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hQcQ4U0YnXzueS0jGVTQvvUVtKg=="/>
    </ext>
  </extLst>
</workbook>
</file>

<file path=xl/sharedStrings.xml><?xml version="1.0" encoding="utf-8"?>
<sst xmlns="http://schemas.openxmlformats.org/spreadsheetml/2006/main" count="7011" uniqueCount="2722">
  <si>
    <t>note</t>
  </si>
  <si>
    <t>auteur</t>
  </si>
  <si>
    <t>avis</t>
  </si>
  <si>
    <t>assureur</t>
  </si>
  <si>
    <t>produit</t>
  </si>
  <si>
    <t>type</t>
  </si>
  <si>
    <t>date_publication</t>
  </si>
  <si>
    <t>date_exp</t>
  </si>
  <si>
    <t>avis_en</t>
  </si>
  <si>
    <t>avis_cor</t>
  </si>
  <si>
    <t>avis_cor_en</t>
  </si>
  <si>
    <t>marco-60881</t>
  </si>
  <si>
    <t xml:space="preserve">ou est passée la MACIF d'entant ??? Sociétaire depuis 32 ans, mes parents et famille y était déjà bien avant moi. Mais à priori en 2018 la fidélité n'a plus d'importance pour la MACIF. 3 mois d'échanges ou plutôt de tentatives avec la messagerie MACIF et le service qualité et rien pas de réponse hormis , votre dossier est en attente, le responsable va vous recontacté avant le 22 on est le 27 et toujours rien. Merci la MACIF je ne vous reconnais plus et d'après ce que je constate je ne suis pas le seul. 
Pour remédier à mes soucis je décide de prendre RDV à l'agence de VALENCIENNES, ma femme et moi prenons congé une après midi pour honorer notre RDV afin de revoir l'ensemble de nos contrats ( 3 véhicules, la maison, assurances individuelle, assurances vie .....) arrivée à l'agence en pensant enfin obtenir des réponses, là l'incompétence est à son comble " on retrouve pas mon RDV " !! après avoir insisté et attendu une personne me reçois et là l'incompétence continu car je n'obtiens aucune réponse à part des propos incohérents , la personne avait de ne pas être à sa place !! Pire ensuite par son nom nous constatons que c'est elle qui avait donné le RDV "perdu" !! 
J'ai informé la MACIF de ces déboires quasiment un mois est passé depuis ma visite et rien ! je n'ose imaginer ce qui risque d'arriver en cas de sinistre important. 
Je n'ai jamais eu de problème pendant 30 ans ( jamais eu d'accident responsable) et un relationnel parfait avec cet assureur que j'ai conseillé à mes amis et famille , mais ça c'était avant. </t>
  </si>
  <si>
    <t>MACIF</t>
  </si>
  <si>
    <t>auto</t>
  </si>
  <si>
    <t>train</t>
  </si>
  <si>
    <t>27/01/2018</t>
  </si>
  <si>
    <t>01/01/2018</t>
  </si>
  <si>
    <t>sandy-82014</t>
  </si>
  <si>
    <t>Honteux ! Ils détournent le sinistre avec jugement pour ne pas devoir vous apporter un remboursement. AUCUN SERIEUX ! Personnel incompétent et sans pouvoir au niveau de leur hiérarchie pour une réclamation.</t>
  </si>
  <si>
    <t>Groupama</t>
  </si>
  <si>
    <t>habitation</t>
  </si>
  <si>
    <t>17/12/2019</t>
  </si>
  <si>
    <t>01/12/2019</t>
  </si>
  <si>
    <t>noni-20818</t>
  </si>
  <si>
    <t xml:space="preserve">Rembourse bien, mais vraiment trop cher, à garanties égale. même après 25 ans de fidélité et maximum de bonus 50% depuis de très nombreuses années. Suite à la première suspension de permis ( 5 mois) depuis que j'ai mon permis, 39 ans, jamais d'infraction, jamais d'accident responsable.
A garantie égale plus que doublement de la cotisation annuelle, même si j'ai récupérer mon permis et mes 12 points depuis 6 mois. </t>
  </si>
  <si>
    <t>AXA</t>
  </si>
  <si>
    <t>03/06/2021</t>
  </si>
  <si>
    <t>01/06/2021</t>
  </si>
  <si>
    <t>jlochon-104794</t>
  </si>
  <si>
    <t>Madame Monsieur,
Cela fait maintenant plus de 53 ans que je fais partie de la M.G.P.
Cette Mutuelle m'a toujours donné entière satisfaction, toujours présente dans des moments difficiles.
Je suis actuellement en retraite, j'espère garder encore longtemps cette mutuelle. Dommage que les prix sont relativement élevés.
Bien cordialement
Jacques LOCHON</t>
  </si>
  <si>
    <t>MGP</t>
  </si>
  <si>
    <t>sante</t>
  </si>
  <si>
    <t>25/02/2021</t>
  </si>
  <si>
    <t>01/02/2021</t>
  </si>
  <si>
    <t>renoux-v-122960</t>
  </si>
  <si>
    <t xml:space="preserve">Je suis satisfaite du service, les conseillers sont à l'écoute et sympathiques ! De plus les prix sont très convenables comparés à d'autres assurances </t>
  </si>
  <si>
    <t>L'olivier Assurance</t>
  </si>
  <si>
    <t>09/07/2021</t>
  </si>
  <si>
    <t>01/07/2021</t>
  </si>
  <si>
    <t>giusi-93494</t>
  </si>
  <si>
    <t xml:space="preserve">La MGEN ne rembourse pas ce qui est marqué dans ses statuts : vous payez très cher la cotisation qui prévoit l'ensemble des ressources, même les salaires complémentaires sur lesquels vous ne versez aucune cotisation maladie.
Résultats:en cas de congé maladie la MGEN ne prend pas en charge ce deuxième salaire.
Vous payez pour les deux mais vous n'êtes couverts que sur votre emploi principal. Leur politique d'éthique et de respect des adhérents ne correspond pas à la réalité.
 </t>
  </si>
  <si>
    <t>Mgen</t>
  </si>
  <si>
    <t>09/07/2020</t>
  </si>
  <si>
    <t>01/07/2020</t>
  </si>
  <si>
    <t>cyd-87964</t>
  </si>
  <si>
    <t>Attractif pour les tarifs sinon à  fuir... soi disant bugs informatiques,  sinistre de plus de 15 jours toujours pas traité.. ordre de mission jamais envoyés aux professionnels, il faut appeler sans cesse le professionnel concerné sinon on ne sait jamais où en est le sinistre</t>
  </si>
  <si>
    <t>04/03/2020</t>
  </si>
  <si>
    <t>01/03/2020</t>
  </si>
  <si>
    <t>kyuuki-52214</t>
  </si>
  <si>
    <t>Client depuis pratiquement deux ans chez eux...
Je suis Maluser à 1.32, possède que 4000 km par ans de trajet ...
Actuellement, les devis sont à 1100 euros pour mon usage chez eux hors, mon contrat de juillet 2016 ( reconduction tacite ) me coute ... 1900 euros !
800 euros de différence qui sont uniquement sur l'explication de : 
- ce sont les prix de l'année dernière, on ne peut rien pour vous.
Le service client vous demande donc d'attendre votre échéance pour bénéficier d'une réduction éventuelle ( car oui, ils sont pas sur !!! )
Et quand on leur dit qu'on va résilier, ils sortent la grande phrase complètement fausse :
Vous ne pouvez pas, vous êtes obligé d'attendre la fin de votre contrat ! Chose complètement fausse depuis la loi Hamon ...
L'année dernière, leur service client était rapide, j'aurai même mis 5 étoiles .
Aujourd'hui, il faut attendre entre 10 et 15 minutes pour enfin avoir un conseillé au bout du fil ! Heureusement que nous sommes à l'air de l'illimité !</t>
  </si>
  <si>
    <t>08/02/2017</t>
  </si>
  <si>
    <t>01/02/2017</t>
  </si>
  <si>
    <t>mc-mak-50800</t>
  </si>
  <si>
    <t>Incompétent, la secrétaire va toujours demander l'autorisation à sa chef, lamentable.</t>
  </si>
  <si>
    <t>MAAF</t>
  </si>
  <si>
    <t>30/12/2016</t>
  </si>
  <si>
    <t>01/12/2016</t>
  </si>
  <si>
    <t>moriso-97847</t>
  </si>
  <si>
    <t xml:space="preserve">Bonjour,
je suis mécontent de votre mutuelle, car j'ai une personne de l'agence de Lyon au mois de juin 2020,  qui m'as contacter pour compléter mon contrat.
Je lui ai poser une question sur le remboursement santé suite a l’opération du genoux que je devais subir le 8/09/2020.
Sa réponse a été précise je le cite: On prendra une partie des soins et aussi une partie des dépassement d'honoraires mais pas tous.
Que fut mon entonnement quand la semaine dernière, j'ai envoyer la prise en charge des soins, et en retour on me réponds que cela n'ai pas possible vu le contact que j'ai souscris.
Pour finir vous serez t'il possible de me faire parvenir par vois postales les Formules DÉCOUVERT ainsi que la TRADITION.
Cordialement
</t>
  </si>
  <si>
    <t>25/09/2020</t>
  </si>
  <si>
    <t>01/09/2020</t>
  </si>
  <si>
    <t>toinou085-138731</t>
  </si>
  <si>
    <t>Les anciens contrats sont plutot bons (fonds euros), par contre la gestion c'est une catastrophe... difficile d'avoir une personne au téléphone, personnel non compétent, renvoi vers d'autres services... bref tout le charme de l'administration mais vraiment pénible. Il s'agit simplement d'avoir du bon sens pour traiter des opérations simples.</t>
  </si>
  <si>
    <t>Afer</t>
  </si>
  <si>
    <t>vie</t>
  </si>
  <si>
    <t>02/11/2021</t>
  </si>
  <si>
    <t>01/11/2021</t>
  </si>
  <si>
    <t>yasmine75-76127</t>
  </si>
  <si>
    <t>Je vois deconseille d avoir un sinistre non responsable car ne donne pas de nouvelles malgré relances sur relances. Ce permette de transférer mon dossier d une agence a l' autre sans me le dire ....je pense changer d assureur très prochainement si les choses ne s améliore pas .DU JAMAIS VU !!!!!!</t>
  </si>
  <si>
    <t>GMF</t>
  </si>
  <si>
    <t>21/05/2019</t>
  </si>
  <si>
    <t>01/05/2019</t>
  </si>
  <si>
    <t>bruno-m-111154</t>
  </si>
  <si>
    <t xml:space="preserve">bonjour ,
A ce jour vos service ne peuvent m'expliquer l'augmentation .
Vous n’êtes plus les moins chères après avoir consulter d'autre compagnie d'assurance avec les mêmes prestations. Je suis client depuis 15 ans .
Cordialement .
Un client depuis 15 ans . </t>
  </si>
  <si>
    <t>Direct Assurance</t>
  </si>
  <si>
    <t>21/04/2021</t>
  </si>
  <si>
    <t>01/04/2021</t>
  </si>
  <si>
    <t>celine-67498</t>
  </si>
  <si>
    <t xml:space="preserve">Bonjour je suis en arrêt depuis le 3 mars et nous sommes le 9 octobre et j ai toujours pas reçu mon complément de salaire de la mutuelle c est une honte !!!!!!.Je fait que vous appelez et mon travail aussi et toujours la même réponse on sait pas pour votre dossier on Attent sa fait juste 5 mois que j attent mais mes factures n attendent pas eux  par contre pour prélever sur le compte pour la mutuelle si il y a pas de soucis .une vrai honte de cette mutuelle!!!!!!!A partir de demain je vais entamer des procédure car c est plus impossible !!!!!!
Céline </t>
  </si>
  <si>
    <t>Ag2r La Mondiale</t>
  </si>
  <si>
    <t>prevoyance</t>
  </si>
  <si>
    <t>09/10/2018</t>
  </si>
  <si>
    <t>01/10/2018</t>
  </si>
  <si>
    <t>gabrielle-d-125903</t>
  </si>
  <si>
    <t xml:space="preserve">je suis satisfaite du prix et de l'accueil en agence.
site facile d'acces, intuitif et agréable.
les conseils sont avisés et adaptés.
respect des règles sanitaires en agence
</t>
  </si>
  <si>
    <t>01/08/2021</t>
  </si>
  <si>
    <t>olive-72278</t>
  </si>
  <si>
    <t>Je suis désolée je paie depuis 2 ans et jamais remboursé plus de 20 euros par an 
Sterilisation de ma chienne et vaccins obligatoire 20 euros 
je résilie mon contrat en fin d'année de plus le prelevement des mensualites a augmente</t>
  </si>
  <si>
    <t>SantéVet</t>
  </si>
  <si>
    <t>animaux</t>
  </si>
  <si>
    <t>19/03/2019</t>
  </si>
  <si>
    <t>01/03/2019</t>
  </si>
  <si>
    <t>bruno-s-115334</t>
  </si>
  <si>
    <t xml:space="preserve">Je suis satisfait de la démarche j espère J aurais pas de problème par la suite, j espère qu un conseiller va m appelé pour la suite de ma demande. Merci </t>
  </si>
  <si>
    <t>APRIL Moto</t>
  </si>
  <si>
    <t>moto</t>
  </si>
  <si>
    <t>30/05/2021</t>
  </si>
  <si>
    <t>01/05/2021</t>
  </si>
  <si>
    <t>bizuy-51333</t>
  </si>
  <si>
    <t>Les gens en agence deviennent paranos et pas courtois de surcroit. Le siège ne répond que par des évidences bien imposantes et ils vous laissent le bec dans l'eau. Honteux.</t>
  </si>
  <si>
    <t>Allianz</t>
  </si>
  <si>
    <t>16/01/2017</t>
  </si>
  <si>
    <t>01/01/2017</t>
  </si>
  <si>
    <t>sandoval-e-134116</t>
  </si>
  <si>
    <t>je suis très satisfaite, la rapidité, la bienveillance et l'écoute. Les prix sont très abordables et l'attente au téléphone pour avoir un conseiller très raisonnable.</t>
  </si>
  <si>
    <t>23/09/2021</t>
  </si>
  <si>
    <t>01/09/2021</t>
  </si>
  <si>
    <t>humeau-s-137542</t>
  </si>
  <si>
    <t xml:space="preserve">Je suis satisfait du service très reactif le site est très bien et très facile nous sommes bien guidee pas a pas donc je suis très satisfait de cette collaboration </t>
  </si>
  <si>
    <t>15/10/2021</t>
  </si>
  <si>
    <t>01/10/2021</t>
  </si>
  <si>
    <t>snobird16-62411</t>
  </si>
  <si>
    <t xml:space="preserve">La Macif ne vous considère que si vous n avez pas de sinistres j’etais client depuis 37 ans et vous vire sans aucune scrupule </t>
  </si>
  <si>
    <t>16/03/2018</t>
  </si>
  <si>
    <t>01/03/2018</t>
  </si>
  <si>
    <t>andre-a-109679</t>
  </si>
  <si>
    <t xml:space="preserve">très satisfait de la qualité des services les tarifs service client exemplaire bonne ecoute des besoins tres bon conseils vraiment je recommande a mes proches </t>
  </si>
  <si>
    <t>08/04/2021</t>
  </si>
  <si>
    <t>alex69-87917</t>
  </si>
  <si>
    <t xml:space="preserve">j'ai prêté ma voiture en leasing le gars c'est fait rentrer dedans par un scooter Uber,
donc accident corporel non responsable avec plusieurs témoins!
le mec de direct assurance m'a dit on s'occupe de tout ça va prendre environ 6 mois pour établir les responsabilités malgré les témoins de l'accident, parce que c'est corporel et c'est la police qui a fait les constatations.
Pour ne pas perdre mon emploi je me suis tape 4h de rer/jour !
et au final je l'ai quand meme perdu, mon emploi !
Alors que c'est le tiers qui est responsable, il sous evalue la valeur de mon vehicule,
et n ont aucune intention de faire valoir mes droits aupres de la compagnie adverse,
afin que je retrouve un vehicule neuf sans remettre la main a la poche, hallucinant.
D'un coup d'un seul et sans aucune communication il indemnise partiellement sur mon compte a decouvert le vehicule qui appartient à la Diac!
je les appels furieux et la le discours a changer du tout au tout de mensonge en mensonge,
d'excuse en excuse a chaque c'est un interlocuteur different, une horreur, il font tout pour ne pas me rembourser et se cache derriere les lois les delais etant dépassé a priori j'avais 30jours, je n'aurai plus droit au remboursement pour couronner le tout j'ai carrement ete resilie par direct assurance et la diac va me mettre interdit bancaire puisque sans emploi je ne peux rien rembourser!
j'etais le seul a travailler puisque ma conjointe est handicapee comme mon fils de 5ans
donc toute la partie non prise en charge par la secu je ne peux plus la paye donc mon petit garçon n'a plus le droit a ses soins et tous ca grace a direct assurance ! imaginez ce que je vis actuellement, imbuvable inacceptable, intolérable!
 </t>
  </si>
  <si>
    <t>03/03/2020</t>
  </si>
  <si>
    <t>fabaji-61348</t>
  </si>
  <si>
    <t>assurance a fuir de toute urgence. trés compliquer pour les joindres.ne rapele jamais</t>
  </si>
  <si>
    <t>12/02/2018</t>
  </si>
  <si>
    <t>01/02/2018</t>
  </si>
  <si>
    <t>zaky-95556</t>
  </si>
  <si>
    <t xml:space="preserve">Cela fait un an et demi que je paie une assurance tout risques. 
Le seul jour où j'ai un problème avec ma voiture aucune aide malheureusement. 
Cela fait un mois que je demande à parler à un responsable et jusqu'au jour d'aujourd'hui je n'ai jamais été rappelé comme indiqué au téléphone </t>
  </si>
  <si>
    <t>29/07/2020</t>
  </si>
  <si>
    <t>willystyle-55417</t>
  </si>
  <si>
    <t>Je suis globalement content de mon assurance auto et de la gestion des problèmes que j'ai pu rencontrer.Niveau relationnel RAS.Client depuis 7 ans et pour l'instant aucune raison de changer</t>
  </si>
  <si>
    <t>16/06/2017</t>
  </si>
  <si>
    <t>01/06/2017</t>
  </si>
  <si>
    <t>mikka66-62475</t>
  </si>
  <si>
    <t>J'aimais bien l'olivier jusqu'au jour ou cette assurance ma  rajouté 20euros de frais pour un prelevement  refusé, Des frais aussi colossaux pour une mensualité va faire fuir la moitié de vos clients, je vais résilier cette assurance, des prix attractifs mais on comprend mieux ou compense cette assurance pour récupérer des bénéfices, honteux à FUIR !!</t>
  </si>
  <si>
    <t>19/03/2018</t>
  </si>
  <si>
    <t>jean-yves-h-125742</t>
  </si>
  <si>
    <t>Je suis satisfait, si non j'aurai changer d'assurance.Je demande seulement à avoir une nouvelle attestation d'assurance mes papier de véhicule ayant été volés</t>
  </si>
  <si>
    <t>31/07/2021</t>
  </si>
  <si>
    <t>aud89260-66016</t>
  </si>
  <si>
    <t>Gros problème au niveau de mes remboursements. On m'a rembourser deux mois et maintenant il faut les factures. Alors que je vais que chez le médecin. Je n'ai jamais vu un médecin donner une facture. On me dit que le problème c'est parceque je paye au tiers payant. Avec mon ancienne mutuelle sa n'a jamais déranger et sur le site de cette mutuelle il indique bien que si on paye au tiers on est remboursé directement. J'ai aussi des collègues qui sont dans le même cas.</t>
  </si>
  <si>
    <t>06/08/2018</t>
  </si>
  <si>
    <t>01/08/2018</t>
  </si>
  <si>
    <t>grenouille-79326</t>
  </si>
  <si>
    <t xml:space="preserve">Bonjour, juste pour dire que le dossier de mon compagnon viens à été enregistré il y à une semaine à peine, on me dit qu'il y en a pour environ 4 à 5 semaines. Et en voyant les commentaires je prends peur. Mon compagnon et en arrêt suite à une opération en novembre 2018, l'employeur vient de transmettre les papiers, son compte bancaire est à sec et bloqué et moi de même, la situation et plus que précaire. On a vraiment plus un sous depuis deux mois, à peine de quoi manger et lorsque j'ai expliqué à mon interlocutrice elle m'a répondu qu'elle y pouvait rien, même pas mettre le dossier en urgence, on à deux enfants ! Alors déjà 4 à 5 semaines c'est énorme mais si c'est plus, on est morts ! 
On a vraiment pas besoin de plus de problèmes c'est déjà la cata...
</t>
  </si>
  <si>
    <t>19/09/2019</t>
  </si>
  <si>
    <t>01/09/2019</t>
  </si>
  <si>
    <t>sbthomas44-110463</t>
  </si>
  <si>
    <t>Fuyez axa pour souscrire une assurance vie. Sachez que lors du décès d'un titulaire d'une assurance vie AXA, vous en qualité de bénéficiaire, malgré vos demandes, AXA fait ce qu'il veut de cet argent et vous communique un montant qui ne justifie pas. Vous ne pouvez rien vérifier dois prétexte que le client est le défunt et que c'est confidentiel !
Axa peut vous communiquer n'importe quel montant de cette assurance en ne rémunérant pas l'AV la dernière année du décès, en prélèvement des frais inconnus. Bref fuyez cet assureur non transparent</t>
  </si>
  <si>
    <t>15/04/2021</t>
  </si>
  <si>
    <t>maxou43-58061</t>
  </si>
  <si>
    <t>Intervention supprimée à la demande de l'internaute.</t>
  </si>
  <si>
    <t>Cardif</t>
  </si>
  <si>
    <t>credit</t>
  </si>
  <si>
    <t>27/10/2017</t>
  </si>
  <si>
    <t>01/10/2017</t>
  </si>
  <si>
    <t>noemieg-123335</t>
  </si>
  <si>
    <t xml:space="preserve">La pire des assurances cela fait 6 mois que j’attend le remboursement de mon sinistre on me balade de service en service. Personne ne me donne la même réponse et au final on fini par me raccrocher au nez. Je vais donc me rapprocher de mon avocat. </t>
  </si>
  <si>
    <t>MAIF</t>
  </si>
  <si>
    <t>13/07/2021</t>
  </si>
  <si>
    <t>michael-w-128496</t>
  </si>
  <si>
    <t>Je suis satisfait du service, je suis satisfait du tarif, je vais recommencer votre organisme à autrui, je vais me fidéliser chez direct assurance pour mon assurance auto.</t>
  </si>
  <si>
    <t>18/08/2021</t>
  </si>
  <si>
    <t>eugen-alexandru-z-113771</t>
  </si>
  <si>
    <t xml:space="preserve">Quels sont les motifs d'augmentation de ma prime d'assurance auto ? le contrat fait l'année dernière  en tant que jeune conducteur était a un tarif plus bas que celui de cette année, tout en sachant que je suis plus sous permis probatoire , donc ça devrait baisser le prix en suivant la logique... après 3 ans de permis sans incidents ....  </t>
  </si>
  <si>
    <t>15/05/2021</t>
  </si>
  <si>
    <t>jung-k-112349</t>
  </si>
  <si>
    <t>Le contrat viens de commencer donc difficile de ce faire un avis à voir dans le futur si les garanties sont à la hauteur de ce que prétend l'assureur.</t>
  </si>
  <si>
    <t>rebiel-67929</t>
  </si>
  <si>
    <t xml:space="preserve">La dernière campagne publicitaire de la MAIF m'a fait rire jaune. En effet, VOUS TROUVEZ NORMAL D'AVOIR A RECLAMER CE A QUOI VOUS AVEZ DROIT ? NOUS NON PLUS.
Dans une résidence secondaire parisienne vétuste, et où les fuites d'eaux sont nombreuses à tous les étages, étant au premier étage je  subis  les sinistres des étages supérieurs. Ayant fait à mes frais les travaux nécessaires pour sécuriser la conduite d'eau, je ne suis la cause d'aucun sinistre, mais j'ai des dégâts issus des étages supétrieurs.
Assuré à la MAIF depuis environ 40 ans j'ai contacté le service concerné en lui transmettant le constat établis avec le propriétaire du troisième étage qui reconnait sa responsabilité. Après un très bon contact, je reçois une confirmation écrite de la MAIF m 'indiquant que le dégât est pris en compte pour une somme forfaitaire de 400. Je comprends qu'une telle somme puisse mettre en péril l'équilibre financier de la MAIF ! Mais cela me convient en raison de l'ampleur des dégâts et de ma capacité à les prendre en charge.
Quelques temps après une personne fort désagréable m'indique, je cite  "que je n'ai droit à rien car je ne suis assuré qu'au tiers et donc seulement pour les dégâts qu'occasionnerait mon appartement aux autres" . Consternation et énervement de ma part, car c'est la double peine, j'ai fait les travaux pour mon appartement et je dois supporter les frais des autres qui ne l'ont pas fait.
Par ailleurs en suivant la logique de mon appartement assuré au tiers, cela ne devrait pas poser de problème pour se retourner auprès de l'assurance de l'appartement du troisième étage ? Sinon dites-moi à quoi sert cette assurance qui ne défend même pas ses sociétaires ?
Mon avocat suit cela de très près, notamment sur l'engagement initialement notifié puis démenti.
Que cet exemple édifiant  serve de leçon à ceux qui le liront.
Quand je pense à mes parents enseignants, qui faisaient bénévolement il y a bien longtemps du porte à porte pour porter l'idéal sociétaire MAIF, ils doivent se retourner dans leurs tombes. Et c'est bien triste.
</t>
  </si>
  <si>
    <t>21/10/2018</t>
  </si>
  <si>
    <t>mimi-80405</t>
  </si>
  <si>
    <t xml:space="preserve">J ai étais reçu au téléphone par Caroline personne très agréable, très sympathique, très efficace au traitement de ma requête, si toutes les operatrices téléphonique pouvaient être comme elle, sa serait magnifique !!! Merci pour votre accueil et votre bonne humeur. </t>
  </si>
  <si>
    <t>Santiane</t>
  </si>
  <si>
    <t>25/10/2019</t>
  </si>
  <si>
    <t>01/10/2019</t>
  </si>
  <si>
    <t>sallaberry-e-139148</t>
  </si>
  <si>
    <t>Jusqu'à ce jour tout est OK, pourvu que ça dure.
Prix intéressant,  dommage que les franchises soient élevé.
Et pourquoi mettre cent-cinquante caractères minimum, c'est trop :)</t>
  </si>
  <si>
    <t>07/11/2021</t>
  </si>
  <si>
    <t>maxime5415-75983</t>
  </si>
  <si>
    <t>Tres bon service client avec melly rien à reprocher
Un très bon accompagnement.</t>
  </si>
  <si>
    <t>16/05/2019</t>
  </si>
  <si>
    <t>moonfreud-56681</t>
  </si>
  <si>
    <t>Pour les contacter, numéro surtaxé. Après 5 minutes d'attente, la téléconseillère joue la mauvaise qualité de la ligne, qu'elle ne m'entends pas, que le son est saccadé qu'elle n'entends qu'un mot sur deux. Mon téléphone fonctionnait juste avant et juste après et j'entends parfaitement ses collègues derrière elle. Et quand je lui dis que je n'appelle pas d'un portable mais d'un fixe pouf, ça raccroche.</t>
  </si>
  <si>
    <t>Mutuelle des Motards</t>
  </si>
  <si>
    <t>16/08/2017</t>
  </si>
  <si>
    <t>01/08/2017</t>
  </si>
  <si>
    <t>mat30-68202</t>
  </si>
  <si>
    <t>Client auparavant convaincu de la MAIF mais désormais très très déçu en raison d'une résiliation abusive et unilatérale de tous nos contrats (!) pour un motif incompréhensible: impossible de régler cette situation ubuesque ("la décision a été prise au siège") : aucun sens de l'humain, du dialogue: déception profonde!</t>
  </si>
  <si>
    <t>30/10/2018</t>
  </si>
  <si>
    <t>philippe-t-105805</t>
  </si>
  <si>
    <t>Accueil et prestations sont parfaits.
En 4 ans les prix ont augmenté de 27% et même cette année malgré la crise sanitaire.
Je compte poursuivre mon contrat</t>
  </si>
  <si>
    <t>08/03/2021</t>
  </si>
  <si>
    <t>01/03/2021</t>
  </si>
  <si>
    <t>hakima-a-108468</t>
  </si>
  <si>
    <t>Vous devriez avoir honte, parce que quand on regarde de plus prêt les conditions générales c'est scandaleux je n'ai jamais vu ça vous profitez de la difficultés des gens pour leur proposer des prix abordable est encore mais quand on a un sinistre vu les somme que vous réclamez vous enterrez les gens à ce moment.
Vous savez je travaille dans l'automobile et je dois croiser une trentaine de personne et quand ils me disent qu'ils sont assurés chez vous je les mets en garde et leur dit de jeter un œil à vos façon de faire et à vos conditions.</t>
  </si>
  <si>
    <t>30/03/2021</t>
  </si>
  <si>
    <t>passepartout-134499</t>
  </si>
  <si>
    <t>délais de remboursement excessif, aucune note de remboursement , lorsque qu'il y a remboursement il est global aucun détail, on ne sait pas à quoi cela correspond c'est le foutoir, et on ne parle pas du téléphone c'est une galère pour les obtenir........ à fuir</t>
  </si>
  <si>
    <t>Cegema Assurances</t>
  </si>
  <si>
    <t>25/09/2021</t>
  </si>
  <si>
    <t>01/01/2021</t>
  </si>
  <si>
    <t>brigit-sc-47527</t>
  </si>
  <si>
    <t>Une Mutuelle dont deux conseillers différents vous affirment qu'il n'y a pas de période de stage alors que le Règlement Mutualiste prévoit un stage de 12 mois avant de garantir la prestation, ce n'est pas très sérieux et limite abusif.</t>
  </si>
  <si>
    <t>Intériale</t>
  </si>
  <si>
    <t>30/11/2017</t>
  </si>
  <si>
    <t>01/11/2017</t>
  </si>
  <si>
    <t>lefou-78531</t>
  </si>
  <si>
    <t xml:space="preserve">Plus compliqué en terme d'administration c'est difficilement possible, je ne reconnais pas de qualité au service. Mise à part "l'amusement" lorsque l'on veut les contacter pour créer un compte car leurs mots de passe est déja dépassé et qu'ils vous disent d'un thon nonchalant :"Crée un compte pour nous envoyer un mail" </t>
  </si>
  <si>
    <t>19/08/2019</t>
  </si>
  <si>
    <t>01/08/2019</t>
  </si>
  <si>
    <t>fred65-67811</t>
  </si>
  <si>
    <t>Sociétaire depuis mes 18 ans à la GMF avec à mon actif un accident non responsable et de simples bris de glace. J'ai subi une attaque d'un rongeur sur l'ensemble du cablage moteur pour un véhicule quasi neuf avec des dégats de prés de trois mille euros. Naievement étant assuré tous risques et cette situation ne relevant pas d'une clause d'exclusion contractuelle je pensais pouvoir bénéficier d'une prise en charge assurentielle. Refusée, car pas de choc. J'ai donc aprés maintes médiations du recourir à un contentieux judiciaire qui m'a été défavorable confirmant l'absence de choc, même si d'évidence, la situation de choc ne correspondait pas du tout à la situation me concernant, mais les dégats bien présents eux. Dans ces conditions, pourquoi ne nous dit on pas clairement que l'on ne couvre que les accidents en tous risques. On est obligé d'attendre d'être confronté à la situation particulière pour s'apercevoir d'une non prise en charge. Quel intérêt de mettre des clauses d'exclusion, si en dehors de ces dites clauses, on exclue tout de même d'une prise en charge. La GMF a préféré dépenser son argent en frais d avocat plutôt que de m'indemniser en première intention. Quelle bonne gestion client et bonne gestion financière. De toute facon tant que l'on paye sans sinistre sa cotisation tout va bien. Dès que vous exprimez votre sinistralité en dehors d un accident, un mur s'oppose à vous sans dialogue possible avec le service de gestion des sinistres délocalisé sur Paris. Assurément humain, mon oeil.</t>
  </si>
  <si>
    <t>17/10/2018</t>
  </si>
  <si>
    <t>camagni-e-129941</t>
  </si>
  <si>
    <t xml:space="preserve">Très bonne information 
Exçellent échange avec mon interlocuteur 
Je verrais par la suite à probablement prendre d’autres contrats si celui-ci me satisfait </t>
  </si>
  <si>
    <t>28/08/2021</t>
  </si>
  <si>
    <t>geoffroy-f-122016</t>
  </si>
  <si>
    <t>Service qui semble satisfaisant
Pas mal de questions sur You Drive, en attendant de voir la pratique
En revanche dommage, de ne pas avoir le même conseiller sur l'ensemble du parcours client... Le premier était parfait, le second... beaucoup moins...</t>
  </si>
  <si>
    <t>jean-luc67-33490</t>
  </si>
  <si>
    <t xml:space="preserve">Sinistre ouvert il y a un mois pour la toiture mais toujours pas prévu qu'il la repart!!
J'ai une bâche en attendant, qui fait un bruit monstre la nuit, tjrs mon trou au plafond, tjrs mes tuiles en moins, de nouvelles fuites et surtout il fait froid dans la maison.
Ils ont reçu le devis de l'artisan il y a deux semaines et après 15 jours de réflexion, décident plutôt de faire intervenir un expert (j'attends donc ce rdv mais dans combien de temps..), pour refaire un devis etc....
</t>
  </si>
  <si>
    <t>Pacifica</t>
  </si>
  <si>
    <t>02/03/2017</t>
  </si>
  <si>
    <t>01/03/2017</t>
  </si>
  <si>
    <t>batty-s-121153</t>
  </si>
  <si>
    <t>Je viens de souscrire et je suis satisfaite des tarifs proposées qui me font économiser considérablement par rapport à mon ancienne assurance. J'attends de voir l'efficacité de L'olivier si malheureusement survient un sinistre...</t>
  </si>
  <si>
    <t>25/06/2021</t>
  </si>
  <si>
    <t>diavel13-138095</t>
  </si>
  <si>
    <t>C’ est l’assurance qui m’a proposé les meilleures garanties au meilleur prix, j’espère ne jamais avoir de sinistre pour juger de leur efficacité. En tous cas, le personnel est disponible, à l’écoute et réactif.</t>
  </si>
  <si>
    <t>AMV</t>
  </si>
  <si>
    <t>23/10/2021</t>
  </si>
  <si>
    <t>cissou6sou123-75535</t>
  </si>
  <si>
    <t>Une cata pour les remboursements on attend des lustres on nous ballade au tel en disant que c'est traité plus de trois semaines après une demande de remboursement toujours rien sur le compte. Je vais leur envoyer mes frais bancaires car ce n'est pas la première fois !!! A fuir.</t>
  </si>
  <si>
    <t>Génération</t>
  </si>
  <si>
    <t>frederic-c-117944</t>
  </si>
  <si>
    <t>Je suis très satisfait du service, accueil excellent de la personne au téléphone.
le service proposé correspond à mes attentes.
Je vous remercie.
Cordialement</t>
  </si>
  <si>
    <t>23/06/2021</t>
  </si>
  <si>
    <t>simon-t-106351</t>
  </si>
  <si>
    <t>Je n'ai fait que commencer à rappatrier mes contrats avec Direct Assurance, mais pour l'instant je suis très content du service proportionné. Il me reste encore l'assurance habitation et bientôt l'assurance moto mais je suis vraiment content d'être chez eux !</t>
  </si>
  <si>
    <t>12/03/2021</t>
  </si>
  <si>
    <t>spad-59539</t>
  </si>
  <si>
    <t>A FUIR SANS DEMANDER SON RESTE pour ceux qui ont la chance de ne pas encore être tombés dans leurs filets. Je ne peux pas dire explicitement ce que je pense de leur méthode la loi étant ce qu'elle est, car a lire tous les post je revis ma mésaventure qui n'est toujours pas finie.
J'attends une réponse du Furet.com qui m'a mis en relation avec ces eux, de toute manières il n'est pas question qu'ils s'en sortent a si bon compte.</t>
  </si>
  <si>
    <t>Active Assurances</t>
  </si>
  <si>
    <t>10/12/2017</t>
  </si>
  <si>
    <t>01/12/2017</t>
  </si>
  <si>
    <t>nono-101573</t>
  </si>
  <si>
    <t xml:space="preserve">Une catastrophe 
Mon fils a résilié son contrat car il bénéficie d'une mutuelle entreprise , envoie avec accusé de réception. Rien n'y fait, il ne veulent rien entendre. Il continuent à lui envoyer l'échéancier pour 2021 avec des menaces si il ne paye pas ses échéances.  Quand à moi ,il viennent d'interrompre la télétransmission avec ma caisse  d'assurance d'assurance-maladie  
Gros retard sur mes remboursements  
 A fuir de toute urgence </t>
  </si>
  <si>
    <t>Harmonie Mutuelle</t>
  </si>
  <si>
    <t>17/12/2020</t>
  </si>
  <si>
    <t>01/12/2020</t>
  </si>
  <si>
    <t>houllebey-k-139577</t>
  </si>
  <si>
    <t>Passant d'une assurance "classique" a l'olivier , je suis passé de 95e a 35e par mois pour les mêmes garanties, et une plus grande facilité pour les demarches.</t>
  </si>
  <si>
    <t>14/11/2021</t>
  </si>
  <si>
    <t>decu73-52687</t>
  </si>
  <si>
    <t xml:space="preserve">Etant client Direct Assurance, je les ai contacté dans le cadre d'un changement de véhicule puisque je trouvais moins cher que ce qu'ils me proposaient sur leur site dans la rubrique "Changer de véhicule" sur un comparateur d'assurances, et devinez chez qui... Direct assurance !
Je prends mon téléphone comme tout bon client fidèle pour leur mentionner le problème. Après plusieurs minutes de recherche de numéro et d'appels je tombe sur une conseillère clientèle qui au bout du compte me recrache le script qu'on lui a appris dans les centres d'appels au Maroc et me dit grosso-modo: on peut rien faire et vous engagements ne vous permettent pas de résilier. Merci loi Hamon, je vais maintenant changer d'assurance même si ça me coûte plus cher mais au moins je ne serais pas un pigeon qu'ils réussiront à avoir et à faire payer leurs frais énormes de compagnes de pub!
Je vous invite à faire pareil afin qu'ils savent que l'on est pas de pigeons!  </t>
  </si>
  <si>
    <t>23/02/2017</t>
  </si>
  <si>
    <t>bouhdidi-m-115459</t>
  </si>
  <si>
    <t>pour l'instant je suis pleinement satisfait surtout en ce qui concerne le prix et la rappidité avec laquelle vous avez traiter le dossier,je ne manquerai pas de vous commander a mes amis.</t>
  </si>
  <si>
    <t>31/05/2021</t>
  </si>
  <si>
    <t>kty-71-96969</t>
  </si>
  <si>
    <t>accueil super, réactivité excellente, contact facile je recommande vivement, les réponses à mes questions traitées très rapidement, très satisfaisant.</t>
  </si>
  <si>
    <t>02/09/2020</t>
  </si>
  <si>
    <t>francois13-68006</t>
  </si>
  <si>
    <t xml:space="preserve">Je déconseille fortement cette assurance ne traite pas les dossier et font poireauter leur client </t>
  </si>
  <si>
    <t>23/10/2018</t>
  </si>
  <si>
    <t>verheyen-s-129111</t>
  </si>
  <si>
    <t xml:space="preserve">Le prix est un peux chère mais je gagne par rapport a mon ancienne assurance voiture
je vais voir si je serais content de cette nouvelle assurance, c'est ma première fois chez vous </t>
  </si>
  <si>
    <t>23/08/2021</t>
  </si>
  <si>
    <t>pastent-60304</t>
  </si>
  <si>
    <t>Après 37 ans en tant qu'adhérente à la MGEN, je peux vous dire à quel point cette mutuelle, quasi imposée par l'éducation nationale en début de carrière, est à éviter le plus possible...Prix élevés par rapport aux remboursements effectués, dépassements, même liés à un cancer, non pris en compte et, surtout, une exceptionnelle incompétence au niveau administratif...Il n'y a qu'à voir la tête des médecins ou secrétaires quand vous leur annoncez que vous êtres à la MGEN ! Pourquoi n'ai je jamais changé de mutuelle ? Parce que, après une maladie grave, on avait du mal à être accepté dans une autre  !
Pour mon fils, il a fallu des mois, lorsqu'il est devenu étudiant, pour que sa carte vitale soit enfin valide...suite à de nombreux "bugs" dus à l'incompétence de certains employés !</t>
  </si>
  <si>
    <t>09/01/2018</t>
  </si>
  <si>
    <t>agnes10-88742</t>
  </si>
  <si>
    <t>Assureur compétent et honnête, personnel disponible et à l'écoute.
Le prix de l'assurance est convenable au produit et les avantages qu'il présente.
leur intervention est vraiment rapide en cas de besoin.</t>
  </si>
  <si>
    <t>MetLife</t>
  </si>
  <si>
    <t>07/04/2020</t>
  </si>
  <si>
    <t>01/04/2020</t>
  </si>
  <si>
    <t>wattinne-a-124739</t>
  </si>
  <si>
    <t>Je suis satisfaite de mon experience dans le cadre de la procédure d'inscription. Je vous remercie pour la facilité avec laquelle les conseillers peuvent être joints par téléphone sans avoir à attendre longtemps ni avoir à écouter les instructions d'un robot.</t>
  </si>
  <si>
    <t>26/07/2021</t>
  </si>
  <si>
    <t>nath-76867</t>
  </si>
  <si>
    <t>Des conseillers incompétents
Mauvais remboursement 
Franchise importante 
Prix élevés. Cette assurance n est pas à recommander
La qualité  n est pas au rendez- vous.</t>
  </si>
  <si>
    <t>18/06/2019</t>
  </si>
  <si>
    <t>01/06/2019</t>
  </si>
  <si>
    <t>simaju-75233</t>
  </si>
  <si>
    <t xml:space="preserve">La pub est vraiment alléchante mais derrière ce nuage de fumée il n'y a que des désagréments.J'ai souscris une assurance auto tous risques avec le pack sérénité, mon land cruiser à subi une tentative de vol avec du vandalisme en complément, dépôt de plainte, déclaration à l'assurance, l'expert passe voir le véhicule et il conclu que je suis responsable et que j'ai moi-même vandalisé ma voiture donc pas de prise en charge. Ahurissant, aucun retour de l'assurance qui se base sur le rapport de l'expert. Par contre c'est comptabilisé comme sinistre et mon malus. Impossible de dialoguer avec des personnes qui se trouvent de l'autre coté de la Méditerranée, qui ne sont jamais les mêmes et ne sont pas fichues de vous adresser un mail ou un courrier à la bonne adresse. A FUIR A EVITER SI VOUS POUVEZ RELAYER CELA ÉVITERA A DE NOMBREUSES PERSONNES DE VIVRE LA MÊME GALÈRE </t>
  </si>
  <si>
    <t>19/04/2019</t>
  </si>
  <si>
    <t>01/04/2019</t>
  </si>
  <si>
    <t>catyalan-104398</t>
  </si>
  <si>
    <t>Accueil parfait,site internet facile pour télécharger les documents, reçu ma carte verte de suite par mail et courrier, prix compétitifs, assurance de confiance,</t>
  </si>
  <si>
    <t>17/02/2021</t>
  </si>
  <si>
    <t>clion-o-106836</t>
  </si>
  <si>
    <t>tres bonne assurance recommander par mon pére 
pratique simple et d un prix concurentiel
idem pour assurance apart.
avec de nonbreuses options libre. a la carte</t>
  </si>
  <si>
    <t>16/03/2021</t>
  </si>
  <si>
    <t>jean-m-116035</t>
  </si>
  <si>
    <t>Simple d'utilisation au niveau du site internet, je ne sais pas si vous êtes compétitif par rapport à la concurrence.
J'espère que je suis bien assuré et surtout une assistance dépannage de O KMS</t>
  </si>
  <si>
    <t>05/06/2021</t>
  </si>
  <si>
    <t>rui-n-108449</t>
  </si>
  <si>
    <t xml:space="preserve">les cotisations ne cessent d' augmenter malgrès un bonus qui augmente lui aussi car je n ai jamais eu d'accident les prix reste assez élevé  pour les bons conducteurs </t>
  </si>
  <si>
    <t>29/03/2021</t>
  </si>
  <si>
    <t>cedric-g-107068</t>
  </si>
  <si>
    <t xml:space="preserve">on ne peux même pas télécharger l'échéancier actuel. le site est très mal fait. je n'ai pas de documents recents alors que j'en ai besoin pour monter un dossier. je ne recommanderais pas le site direct assurance. </t>
  </si>
  <si>
    <t>18/03/2021</t>
  </si>
  <si>
    <t>saaida-78457</t>
  </si>
  <si>
    <t>Invalidité 1 suite à un cancer du sein</t>
  </si>
  <si>
    <t>16/08/2019</t>
  </si>
  <si>
    <t>herfeld-c-128548</t>
  </si>
  <si>
    <t xml:space="preserve">Service très satisfaisant avec une interface simple et pratique. Un conseiller a rapidement pris contact avec moi pour les démarche. Espérant que la suite sera identique </t>
  </si>
  <si>
    <t>dede-138614</t>
  </si>
  <si>
    <t>inadmissible , apres multiples appels et mails , pas de retour, on me repond que mon dossier est en traitement ,ou que le dossier est bloque alors que la conseillere me dit avoir tout les documents, avoir deja soucis de soutis et maintenant souci financier a cause du non paiement de ma rente invalidite, que se passe t il?? je n'avais pas de souci avant, le reglement suivait!!</t>
  </si>
  <si>
    <t>Malakoff Humanis</t>
  </si>
  <si>
    <t>30/10/2021</t>
  </si>
  <si>
    <t>christ74-101224</t>
  </si>
  <si>
    <t>cette assurance n'est bonne que quand nous ne sommes pas encore client mais dès que nous avons signé le contrat il n'y a plus personne, donc je décommande de prendre cette assurance, vraiment pas sérieux, pour les avoir au téléphone c'est impossible et pas de réponses aux mails</t>
  </si>
  <si>
    <t>Eca Assurances</t>
  </si>
  <si>
    <t>10/12/2020</t>
  </si>
  <si>
    <t>gerald--r-124419</t>
  </si>
  <si>
    <t>je viens juste de faire mon contrat auprès de vous , dans l'attente de me servir des différents termes de mon contrat je reste dans l'attente . mais j'avoue que 
de la transparence des informations que donner me va très bien, et me permet d'apprécier .</t>
  </si>
  <si>
    <t>23/07/2021</t>
  </si>
  <si>
    <t>med-95846</t>
  </si>
  <si>
    <t>C'est vrai que cette assurance est pas chère mais même pour une formule tout risque avec ' pack de tranquilité  ' n'attendez pas a ce que vous soyez correctement indemnisé  en cas d'accident. Ils vous demandent d'avancer tout et ils vous confirment la prise en charge ( par telephone). une fois que vous payez , une autre personne vous confirme par ecrit que c'est à votre charge ...:) pas de voiture de remplacement, expertise incomplète , seulement 300 euros pour indemnisation dommage coroporel ( alors que le droit est a des milliers d'euros..)
Meme si vous n êtes pas responsable , DA va tout faire  pour défendre l'assurance adverse .
Bref,  à prendre en compte quand vous penser a assurer une voiture , ne pensez pas qu'au prix et évitez cette assurance.</t>
  </si>
  <si>
    <t>03/08/2020</t>
  </si>
  <si>
    <t>01/08/2020</t>
  </si>
  <si>
    <t>farigou-103491</t>
  </si>
  <si>
    <t xml:space="preserve">Réceptionne votre argent en quelques minutes seulement, mais vous le restitue avec difficulté après plusieurs mois !!! Il faut se battre pour fournir plusieurs fois les mêmes preuves, ainsi le temps passe et votre argent ne vous est toujours pas donné !
Comment peut-on faire confiance ?
</t>
  </si>
  <si>
    <t>CNP Assurances</t>
  </si>
  <si>
    <t>paillard-j-137680</t>
  </si>
  <si>
    <t>Un des seuls contrats qui prévoit un conducteur secondaire hors foyer,  alors que les autres compagnies font l impasse sur le conducteur secondaire souvent confondu avec conducteur prêt de volant</t>
  </si>
  <si>
    <t>18/10/2021</t>
  </si>
  <si>
    <t>abdou75-100753</t>
  </si>
  <si>
    <t xml:space="preserve">Scooter neuf acheter en juin chez Honda qui me propose AMV. J'aurais du regarder les avis avant de souscrire. Un cauchemar ! Surpris au bout de 5 mois de couverture par un courrier AR m'annonçant la résiliation de mon contrat.Soit disant, ma précédente compagnie d'assurance m'aurait résilié, j'ai transmis les informations prouvant que c'était bel et bien moi qui avait décider de résilier. Depuis Silence radio.. Pour conclure, à éviter absolument ! </t>
  </si>
  <si>
    <t>29/11/2020</t>
  </si>
  <si>
    <t>01/11/2020</t>
  </si>
  <si>
    <t>mercedes-85758</t>
  </si>
  <si>
    <t>Première assurance auto chez qui je suis resté assuré plus de 3 ans (assuré pour 2 véhicules depuis bientôt 10 ans). 
Je teste régulièrement la concurrence (tous les 2 ans) et personne ne me propose moins cher pour 2 contrats tout risque. J'ai eu des accidents ou des dégâts climatiques donc j'ai pu tester le "SAV". Aucun problème rencontré jusqu'à ce jour.</t>
  </si>
  <si>
    <t>10/01/2020</t>
  </si>
  <si>
    <t>01/01/2020</t>
  </si>
  <si>
    <t>christ14-52667</t>
  </si>
  <si>
    <t>Je suis assuré depuis janvier 2011 sans aucun sinistre. J'avais souscrit en option le pack sérénité qui  fait bénéficier au bout de 5 ans, d'une réduction de 20 % sur votre cotisation. Or, cette réduction n'a pas été appliquée, au contraire, ma cotisation a encore augmenté. J'ai appelé au moins 5 fois Direct Assurances, je ne suis jamais tombé sur le même conseiller bien évidemment. Chaque fois on me confirmait que j'avais droit à cette réduction et que le nécessaire allait être fait et que je recevrais un mail de confirmation. Cela fait deux mois et je n'ai toujours rien reçu et je suis toujours prélevé du même montant. J'ai  adressé un courrier recommandé au service consommateurs de Direct Assurances. Suite à ce courrier, j'ai eu une conseillère en ligne qui m'a expliqué qu'en 2011 lors de la souscription de mon contrat, le pack sérénité n'était encore pas commercialisé et qu'il l'a été en 2012 et qu'en conséquence, ma réduction de 20 % serait appliquée qu'en janvier 2018. C'est vraiment n'importe quoi ! Cela signifierait qu'en 2011, j'ai souscrit et payé pour une option qui n'existait pas !!
J'en ai donc plus que marre de cet assureur que je déconseille vivement. Je ne comprends même pas qu'ils puissent encore exercer, vu leur incompétence et leur manque de professionnalisme !</t>
  </si>
  <si>
    <t>celia-98706</t>
  </si>
  <si>
    <t>NUL.....bande de menteurs quand vous rentrez chez vous ,vous arrivez encore a vous regardez dans un miroir tellement vous mentez ....aux personnes vous perdez expres les documents comme ca ont payent chaque mois c honteux</t>
  </si>
  <si>
    <t>13/10/2020</t>
  </si>
  <si>
    <t>01/10/2020</t>
  </si>
  <si>
    <t>moummm--111186</t>
  </si>
  <si>
    <t xml:space="preserve">Satisfait du service jattend de voir maintenant comment sa va se dérouler
Très bonne acceuil téléphonique très bien expliquer et tous compris de suite </t>
  </si>
  <si>
    <t>15/07/2021</t>
  </si>
  <si>
    <t>turquin-f-135063</t>
  </si>
  <si>
    <t>Très bon accueil téléphonique, clair et précis. Après un trentaine d'année chez le même assureur mais des tarifs trop élevées me voilà chez OLIVIER ASSURANCE, en espérant une aussi longue collaboration.</t>
  </si>
  <si>
    <t>29/09/2021</t>
  </si>
  <si>
    <t>sylvain-97404</t>
  </si>
  <si>
    <t>Assuré depuis plus de 15 ans à la mutuelle des motards, je savais que les prix étais plus élevé
Mais une très bonne couverture le premier Août j'ai eu un sinistre assuré tous risque je fait une déclaration l'expert passe je les rappelle 
Ma surprise il font tous pour ne pas prendre en compte mon sinistre 
Qui va pas chercher d'énorme sommes
Plusieurs lettre de réclamation 
Aucune réponse du coup changer d'assurance la même mésaventure est arrivé à un de mes collègue
Je déconseille vivement cet assurance</t>
  </si>
  <si>
    <t>15/09/2020</t>
  </si>
  <si>
    <t>huger-gerard-51457</t>
  </si>
  <si>
    <t>Très satisfait. Ecoute, prestations et tarifs.
Cette mutuelle, proposée par Cocoon, est en parfaite adéquation avec mes besoins de retraité. Niveau 2.
Plusieurs comparaisons faites et tous les 'démarcheurs' me conseillent de rester dans cette mutuelle. Les remboursements sont rapides, les contacts sont aisés. Je recommande.</t>
  </si>
  <si>
    <t>30/07/2020</t>
  </si>
  <si>
    <t>boris04011985-54142</t>
  </si>
  <si>
    <t>Bonjour, client depuis plusieurs années chez Active Assurance je déconseille à toute personne de prendre un contrat auprès de cet assureur calamiteux !!! J'ai été assuré chez 3 autres assureurs et je peux vous dire que active assurance est de loin l'assureur le plus mauvais en tout point avec qui j'ai malheureusement du collaborer. Il s'agit d'une entreprise qui n'est la que pour débiter / facturer sans assurer aucun service (un comble pour un assureur). Fuyez à tout prix cette assurance, je ne pense pas que vous puissiez trouver pire. Si toutefois vous franchissez le cap, ne venez pas vous plaindre vous aurez été prévenu.</t>
  </si>
  <si>
    <t>18/04/2017</t>
  </si>
  <si>
    <t>01/04/2017</t>
  </si>
  <si>
    <t>ambrase13-52770</t>
  </si>
  <si>
    <t xml:space="preserve">Les conseillers sont sympathiques et à l'écoute ...mais les prix ont beaucoups augmentés en 4 années   </t>
  </si>
  <si>
    <t>26/02/2017</t>
  </si>
  <si>
    <t>jean-f-126635</t>
  </si>
  <si>
    <t>Je suis très satisfait de la relation client. 
Mon interlocutrice sait se rendre disponible chaque fois que c'est nécessaire.
Le centre d'appel a une approche très professionnelle et conviviale.</t>
  </si>
  <si>
    <t>05/08/2021</t>
  </si>
  <si>
    <t>alain-b-134853</t>
  </si>
  <si>
    <t>SITE TRES CLAIR
RAPIDE ET EFFICACE
FRAIS DE DOSSIER TRES FAIBLE ET PAS DE SURCOUT A LA MENSUALISATION
RESTE A SAVOIR LE SAV EN CAS DE SINISTRE....MAIS CELA SEMBLE PROMETTEUR</t>
  </si>
  <si>
    <t>28/09/2021</t>
  </si>
  <si>
    <t>anthony-b-133339</t>
  </si>
  <si>
    <t>Je suis nouveau client et je suis très satisfait des super prix et de très bonnes garanties proposées et surtout de profiter du code promotionnel d'un amis. Merci direc assurance</t>
  </si>
  <si>
    <t>18/09/2021</t>
  </si>
  <si>
    <t>yama-67896</t>
  </si>
  <si>
    <t>Premier sinistre moto, bonus 50% plus 8.
3 mois après aucune avancé significative, ma moto est toujours en cours d'expertise, je me fait balader par la mutuelle des motards et malgrès que je lors ais signalé que cela me pénalisais pour me rendre au travail, toujours le même mépris.</t>
  </si>
  <si>
    <t>jmgrix-97326</t>
  </si>
  <si>
    <t xml:space="preserve">Au décès de mes parents, j'ai repris le contrat de l'appartement et de la maison desquels j'ai hérité. Ces "vieux contrats" augmentent arithmétiquement tous les ans et j'arrive à des sommes vertigineuses. Plus de 3 fois lees prix es plus bas que le marché propose. Par contre, en 2011, une mini tornade fit tomber l'une de mes cheminées. Sans discuter, le cabinet Jadot m'en a financé une toute neuve et de meilleure qualité. J'essaie des les motiver à revoir leurs tarifs mais là, ils ont l'oreille dure :-) Excellente gestion des sinistres mais tarifs prohibitifs. Dommage! </t>
  </si>
  <si>
    <t>12/09/2020</t>
  </si>
  <si>
    <t>sahakian-x-138910</t>
  </si>
  <si>
    <t>LE CONTRAT EST A MON NOM ALORS QUE J AVAIS RENSEIGNE LE NOM DE MON FILS.
JE ME SUIS JUSTE RENSEIGNé EN TANT QUE GESTIONNAIRE DU DOSSIER.
QUAND JE REGARDE LE CONTRAT SEUL LE MAIL FIGURE COMME DIRECTEUR</t>
  </si>
  <si>
    <t>04/11/2021</t>
  </si>
  <si>
    <t>cornubet-j-111767</t>
  </si>
  <si>
    <t>Je suis satisfait du service, mais la souscription à un nouveau contrat n'est pas très fluide! Il faut reprendre les démarches depuis le début, alors que les informations ne changent pas!</t>
  </si>
  <si>
    <t>26/04/2021</t>
  </si>
  <si>
    <t>donzelli-n-139437</t>
  </si>
  <si>
    <t>Personne au téléphone très sympathique !Devis rapide !prix super intéressant par rapport à mon ancien assureur!!je conseille L olivier à tous le monde!</t>
  </si>
  <si>
    <t>11/11/2021</t>
  </si>
  <si>
    <t>fontana-s-107881</t>
  </si>
  <si>
    <t>Très bon contact téléphonique. Prix très intéressant. je recommande vivement cette assurance. En plus j'ai bénéficié d'un parrainage c'est très appréciable !</t>
  </si>
  <si>
    <t>24/03/2021</t>
  </si>
  <si>
    <t>gervais-a-138779</t>
  </si>
  <si>
    <t>Une franchise plutôt élevée même en ajustant les tarifs mensuels ou annuels , très bon interlocuteur au téléphone qui a su répondre a l'ensemble de mes interrogations.</t>
  </si>
  <si>
    <t>duduf84-98568</t>
  </si>
  <si>
    <t>J'étais assuré à Direct assurance. En vertu de la loi Hamon mon nouvel assureur a envoyé en A/R un courrier de demande de résiliation.
Direct assurance dit ne jamais l'avoir reçu et ne veut pas interrompre le contrat.
Leur explication l'avis a été perdu du fait du COVID 19 et du bazar qui en a écoulé.
Pourtant j'ai bien l'avis de réception du recommandé.
Malgré cela il ne veule rien faire</t>
  </si>
  <si>
    <t>09/10/2020</t>
  </si>
  <si>
    <t>mouhsinahamar-1987-136546</t>
  </si>
  <si>
    <t xml:space="preserve">Jai était au téléphone avec madame MARIAMA   c'est une excellente elle ma tout expliquer concernant ma carte je l'ai sa pa reçu encore cest comme j'ai compris il sans en retard 
Merci 
Cordialement 
Ahamar mouhsin </t>
  </si>
  <si>
    <t>Néoliane Santé</t>
  </si>
  <si>
    <t>07/10/2021</t>
  </si>
  <si>
    <t>haline-98516</t>
  </si>
  <si>
    <t>Ayant résilié mon contrat en mars 2020 je reçois en septembre un recommandé pour un impayé de 4.24 avec menaces de poursuites si non payé sous 10 jours.
Un recommandé c'est 4.30 €
Une lettre simple ou un appel téléphonique aurait été plus simple
Maintenant je vais peut être attendre le règlement judiciaire de cette dette !</t>
  </si>
  <si>
    <t>08/10/2020</t>
  </si>
  <si>
    <t>anny-86955</t>
  </si>
  <si>
    <t>Ayant subit des dégradation sur mon toit suite à un très FORT vent, je vous es appeler pour le signaler mais après qu' un soit disant artisan vienne pour  constater les dégâts de tuiles envolées il vous à dit que le TOIT était vétuste donc  oui avait classer le dossier. Mon artisan à fait le travail et j'ai du payer la facture alors que je paye une assurance et que j'ai jamais eu de SOUCIS! Merci à vous</t>
  </si>
  <si>
    <t>10/02/2020</t>
  </si>
  <si>
    <t>01/02/2020</t>
  </si>
  <si>
    <t>micka-65819</t>
  </si>
  <si>
    <t xml:space="preserve">Apres mon accident, un accident ayant plusieurs version parce que la partie adverse ne parle pas du fait qu'elle sortez de ça place de parking. Voila 3 mois que j'attend que mon sinistre que je juge non responsable ne vue des circonstances. Et malgré les éléments ajouté au dossier, le service indemnisation ( que l'on va surnommé les incompétents), n'a soit pas le temps d'examiner le dossier, soit attend une nouvelle pièce, bref ne prend pas le temps de prendre mon cas au sérieux et d’étudier tout les éléments que j'ai apporter au dossier. J'ai même rédiger un mail remettant en question la version adverses mais ces incompétent s'en moque car il n'en ont que faire. Je trouve que c'est un comble de mettre un service indemnisation au mains de personne si peut impliquer dans leur travail. Alors qu'il me parait être le service le plus important d'une assurance. 
Voila 3 mois que j'attend d’être juger non responsable de cet accident. Car actuellement je ne peut pas conduire dans ces conditions car ma moto est passer en épave et ne m'a était rembourser que 3500 euros sur les 5000 prévue. 
Je ne sais pas si un service plus compétent peu prendre le relais mais ce n'est juste pas acceptable de voir un service si nul. 
Assurance à éviter car en cas de conflit en les assurances il vont ce plier et vous faire porter le chapeau. En tout cas c'est bel et bien mon ressenti. </t>
  </si>
  <si>
    <t>27/07/2018</t>
  </si>
  <si>
    <t>01/07/2018</t>
  </si>
  <si>
    <t>pierre-alexandre-l-125287</t>
  </si>
  <si>
    <t>prix attractif, Simple, rapide à souscrire aucun problème depuis un ans je n'ai pas eu de soucis ou d'accident a voir si dans l'avenir cela reste comme ca et que l'assurance sera bien la au cas ou .</t>
  </si>
  <si>
    <t>28/07/2021</t>
  </si>
  <si>
    <t>thomas-n-128499</t>
  </si>
  <si>
    <t xml:space="preserve">Tarifs corrects ????
Pas très claire sur les tarifs au téléphone, il ne faut pas hésiter à redemander plusieurs fois les tarifs précis des 1ers paiement    </t>
  </si>
  <si>
    <t>gregory-52138</t>
  </si>
  <si>
    <t>les assurances manquent de plus en plus de respect aux clients; après plusieurs tentatives d'appel au centre d'appels des communications coupées sans raison; des conseillers qui ne veulent pas faire leur travail ou encore qui disent mettre un terme à la communication sans vouloir donner leur nom et leur prénom ? ou va la qualité client ? je suis complètement déçu de cette attitude déplorable.</t>
  </si>
  <si>
    <t>07/02/2017</t>
  </si>
  <si>
    <t>pcordeli-57778</t>
  </si>
  <si>
    <t>client depuis 20 ans, je suis très satisfait. Sauf de la cotisation qui ne prends pas en compte de la fidélité du consommateur...</t>
  </si>
  <si>
    <t>03/10/2017</t>
  </si>
  <si>
    <t>verhooghe-j-117500</t>
  </si>
  <si>
    <t>Je suis satisfaite des prix et de l'accueil et amabilité des conseillers au téléphone.
Le site Internet par contre dysfonctionne (lenteur, erreurs...).</t>
  </si>
  <si>
    <t>18/06/2021</t>
  </si>
  <si>
    <t>jessica83-98756</t>
  </si>
  <si>
    <t xml:space="preserve">Vraiment ravie ! Une rapidité et clarté des échanges, un très bon tarif proposé !
Ayant fait d'autres devis, et était très déçue d'une autre assurance vous avez été au top ! </t>
  </si>
  <si>
    <t>14/10/2020</t>
  </si>
  <si>
    <t>bily-d-137714</t>
  </si>
  <si>
    <t xml:space="preserve">Souscription par internet / téléphone facile, bonne prise en charge de la conseillère assurance, rapidité de la souscription , qualité de service à confirmer par la suite </t>
  </si>
  <si>
    <t>bdew1801-30078</t>
  </si>
  <si>
    <t>L'olivier assurance facture au prix fort le moindre oubli dans votre inscription ! 15 euros l'avenant pour modification du contrat ! Vous n'avez pas le droit à l'erreur (même de bonne foi )</t>
  </si>
  <si>
    <t>11/04/2017</t>
  </si>
  <si>
    <t>vanessa-b-129526</t>
  </si>
  <si>
    <t>je suis satisfaite.
très bien .
site facile d'accès et très clair.
je suis contente des services .
rappport qualité /prix tres bien et me convient. je recommande la gmf.</t>
  </si>
  <si>
    <t>26/08/2021</t>
  </si>
  <si>
    <t>pierre-alain-n-124940</t>
  </si>
  <si>
    <t xml:space="preserve">Je suis satisfait du service
Des prix est de pouvoir ajuster les options être au tiers mes avoir la protection équipement casque blouson et gants     </t>
  </si>
  <si>
    <t>27/07/2021</t>
  </si>
  <si>
    <t>lionel-m-112555</t>
  </si>
  <si>
    <t xml:space="preserve">Prix attractif pour l'ensemble des garanties proposées.
Un bon choix d'option en fonction des besoins et objets à assurer.
Devis en ligne et confirmation de l'assurance habitation facile.
</t>
  </si>
  <si>
    <t>04/05/2021</t>
  </si>
  <si>
    <t>vincent-p-132687</t>
  </si>
  <si>
    <t xml:space="preserve">Je suis satisfait du service, les prix me conviennent et tout est clair.
Simple rapide et efficace, que demander de mieux?
Le site est assez intuitif.
</t>
  </si>
  <si>
    <t>13/09/2021</t>
  </si>
  <si>
    <t>julien-c-105237</t>
  </si>
  <si>
    <t xml:space="preserve">Une augmentation du tarif annuel tres  forte cette annee par rapport a 2020. je ne comprend pas vraiment cette hausse. a voir lannee prochaine.
cordialement </t>
  </si>
  <si>
    <t>03/03/2021</t>
  </si>
  <si>
    <t>hlnduch-39463</t>
  </si>
  <si>
    <t>dommage qu'il n'y ait pas la possibilité de mettre 0 étoile partout. J'ai été mal informée et c'est MOI qui en paie le prix. Jamais l'on m'a dit qu'il y avait une limite de remorquage Sinon je me serais débrouiller autrement et je n'aurais pas fait appel à ce service Toutes les autres compagnies mentionnent directement dans le devis le nombres de remorquages par année. La Maaf présente cela comme étant illimité ce qui est faux car il m'ont radié car j'en ai eu 2 en 2015, 1 en 2016 et 2 en 2017 ils auraient pu au moins m'avertir mais non au contraire même après avoir été radiée ils continuent de m'envoyer de la pub pour que je m'inscrive à leur assurance auto</t>
  </si>
  <si>
    <t>31/01/2018</t>
  </si>
  <si>
    <t>cyril-n-121865</t>
  </si>
  <si>
    <t>Je suis satisfait du service prix très abordable  rapide simple à l'emploi je recommander se service à d'autre personne qui non pas la connaissance !!</t>
  </si>
  <si>
    <t>30/06/2021</t>
  </si>
  <si>
    <t>marie-france-l-127488</t>
  </si>
  <si>
    <t>Bien merci bien servie bonne journer bon rapport qualité prix pris en charge vite bon rapport qualité prix  et sa va vite et rapide et bon rapport qualité prix .</t>
  </si>
  <si>
    <t>11/08/2021</t>
  </si>
  <si>
    <t>locqueneux-a-126132</t>
  </si>
  <si>
    <t>Pleine satisfaction pour la mise en place du contrat en ligne
Prix raisonnables pour un jeune conducteur
Rapidité pour la finalisation du contrat en ligne</t>
  </si>
  <si>
    <t>03/08/2021</t>
  </si>
  <si>
    <t>le-caer-l-107817</t>
  </si>
  <si>
    <t>Je suis satisfaite de mon service chez l'Olivier.
La mise en œuvre est Simple et rapide.
Conseillés à l'écoute de vos besoins, réactifs et très disponible.</t>
  </si>
  <si>
    <t>patouney-122186</t>
  </si>
  <si>
    <t>Bonjour,
Enseignant à la MGEN depuis 1980, je viens de subir une opération de la hanche avec 4 jours d'hospitalisation et un coût de 3500€. La convalescence a nécessité un arrêt de travail de plus de 90 jours et je suis donc passé en demi traitement pendant deux mois. Mon contrat prévoyait des indemnités journalières pour compenser ces pertes.
Je viens de recevoir un avis stipulant que compte tenu de mes revenus je n'avais droit à aucune indemnité. J'avais choisi la formule "EQUILIBRE" dans l'éventualité de ce cas, précisément.
Je vous conseille donc de bien calculer ce rapport revenus/indemnités avant de choisir votre formule.
Au final, entre la consultation du chirurgien en France puis le déplacement pour me faire opérer 2 mois plus tard à Lyon (je travaille à Mayotte) j'ai payé environ 3000€ pour ces 2 déplacements.
Cette opération me coûte donc 6500€. La MGEN a remboursé 620€ et ma cotisation annuelle se monte à 1818 €.
Je ne vous cache pas ma profonde déception (sans parles des difficultés de communication et le fonctionnement lamentable du site...).
En conséquence, je suis obligé de conserver la MGEN jusqu'à la fin de l'année 2021 mais je résilierai cette mutuelle à ce terme pour soit en choisir une autre, soit ne plus en utiliser et épargner les mensualités au cas ou....</t>
  </si>
  <si>
    <t>02/07/2021</t>
  </si>
  <si>
    <t>ludovic-d-124153</t>
  </si>
  <si>
    <t>simple et pratique .Ce site est très bien fait . 
Les prix sont compétitifs.
vous avez apportez satisfaction aux demandes des clients.
merci beaucoup.</t>
  </si>
  <si>
    <t>21/07/2021</t>
  </si>
  <si>
    <t>bruno-70311</t>
  </si>
  <si>
    <t>Lors de mon adhésion ils m'ont prélevé ma cotisation mensuelle sans avoir reçu la confirmation de résiliation de ma mutuelle qui n a pas accepte la résiliation. Ce qui fait que je me suis retrouvé sans aucune possibilité de télétransmission de la CPAM celle ci ne pouvant effectuer de télétransmission si on possède deux mutuelles.  Aucune possibilité  de contact. Impossible à joindre et quand on leur demande de rappeler .... j attends encore.   Ils restent dans leur deni et j'ai du m'acquitter de deux cotisations mensuelles sans avoir eu droit a me faire rembourser de mes soins occasionnés et d'avoir du les payer de ma poche.  Merci Santiane</t>
  </si>
  <si>
    <t>17/01/2019</t>
  </si>
  <si>
    <t>01/01/2019</t>
  </si>
  <si>
    <t>gurgen-s-123547</t>
  </si>
  <si>
    <t xml:space="preserve">Je n'ai rien a dire a part que la vitesse a la quelle on peut souscrire a un contrat est extrêmement rapide et a part ça pour le moment tout est correcte </t>
  </si>
  <si>
    <t>16/07/2021</t>
  </si>
  <si>
    <t>el-hadji-falilou-s-124009</t>
  </si>
  <si>
    <t>Je ne suis pas satisfait du service car on e fait payer un service que je ne consomme pas...  j'arrete mes contrats à leur termes c'est tout... surtout concernant ma Peugeot 106</t>
  </si>
  <si>
    <t>20/07/2021</t>
  </si>
  <si>
    <t>plc59510-130895</t>
  </si>
  <si>
    <t>Un prix attractif la premiére année, en augmentation de 18% sans sinistre aucun la 2éme.
Un vol de véhicule au mois de mars 2021 toujours non remboursé en septembre 2021.
Valeur à dire d'expert 35 000€, proposition de remboursement 28 000€... Dossier transmis à l'avocat.
Un autre véhicule sinistre de carrosserie non responsable, j'ai dû envoyer une lettre recommandée pour que l'expert expertise.
J'ai dû envoyer une lettre recommandée pour exiger le remboursement toujours non effectué 3 semaines après avoir transmis la facture...
Les excuses sont légions au téléphone : manque de personnel, souci informatique et maintenant période estivale...
Bref, rapide pour vous prélever mais c'est tou.
Ah si, j'ai oublié : 3 envois de carte verte avec un mauvais n° d'immatriculation pour un même véhicule.
Je tiens à la disposition de tous les mails, courriers et conversations enregistrées.
Un cas d'école de tout ce qu'il faut faire pour couler une boite.</t>
  </si>
  <si>
    <t>02/09/2021</t>
  </si>
  <si>
    <t>sandrine-f-126212</t>
  </si>
  <si>
    <t xml:space="preserve">Je suis satisfaite du prix pour le service
Je suis satisfaite de la rapidité
J'attends de voir l'évolution avec vous
Je vous recommande auprès de mes amies </t>
  </si>
  <si>
    <t>julie-b-112739</t>
  </si>
  <si>
    <t>Accueil toujours agréable au téléphone, bonne écoute et disponible pour chaque questions. Le délai d'attente est toujours raisonnable selon l'heure. Je conseille sans hésitation</t>
  </si>
  <si>
    <t>05/05/2021</t>
  </si>
  <si>
    <t>tcmg-51256</t>
  </si>
  <si>
    <t>Voilà maintenant 6 mois que j'attends le remboursement de mon accouchement au Luxembourg... je crois que je ne vais jamais revoir les 800 € auxquels j'ai pourtant droit étant donné que mon contrat prévoit un dépassement d'honoraire de 200% et que le tarif SS du Luxembourg pour une chambre particulière est de 66% de dépassement d'honoraires...
Bref à fuir...</t>
  </si>
  <si>
    <t>13/01/2017</t>
  </si>
  <si>
    <t>dimjo-114176</t>
  </si>
  <si>
    <t>Alors nous avec la swiss life une horreur .ma femme est héritière de sa marraine qui a un contrat de capitalisation chez swiss life avec une somme très confortable. Voila plusieurs mois que l on nous réclame les mêmes papiers fournis 50 fois .il y a deux semaines j aporl on me dit le dossier est complet depuis le 29 mars on vous versent les fonds,ne voiant rien n arriver je rappel aujourd'hui  meme on me dit que le dossier  n est pas complet .il ne savent plus quoi dire c eest une honte. Nous avons saisi  notre avocats  ce jour  qui assigne la swiss life devant le tribunal compétent pour une requête de demande  de dommages-intérêts. Assurance a fuir quelle horreur et quelle honte. Alors un simple particulier  si il a le malheur de ne pas pouvoir  une prime d assurance on lui laisse peut de temps pour régulariser. Si ce n est pas fait en 8 jours on le radit de l assurance .on le fiche sur un fichier mauvais payeur assurance et en prime on lui envoie les huissiers à la porte et la swiss life eu se permettent de jouer avec les nerfs des gens et bien rigoler. Rira bien qui rira le dernier</t>
  </si>
  <si>
    <t>SwissLife</t>
  </si>
  <si>
    <t>19/05/2021</t>
  </si>
  <si>
    <t>roger-j-112045</t>
  </si>
  <si>
    <t>Certes, je suis satisfait du service et de la couverture surtout pour la voiture, cependant, pour une voiture de plus de 20 ans avec un super bonus, je paie toujours pratiquement la même chose. Aucune baisse tangible. Plus de 10 ans à la GMF...
Pour le site, c'est simple et pratique pour obtenir des documents plutôt que de perdre du temps en agence.</t>
  </si>
  <si>
    <t>29/04/2021</t>
  </si>
  <si>
    <t>mgio-67537</t>
  </si>
  <si>
    <t xml:space="preserve">Augmentation de 30 % de ma prime en 2 ans sans aucun sinistre, pour motif d'accidentologie dans le 13. Pourtant, lors de mon inscription chez LOLIVIER, en 2016 la prime avait déjà été surélevée du fait d'un sinistre non responsable subi il y a qq années. Du coup, j'ai l'impression que toutes les excuses sont bonnes pour justifier une augmentation !!! </t>
  </si>
  <si>
    <t>10/10/2018</t>
  </si>
  <si>
    <t>anastasia-100483</t>
  </si>
  <si>
    <t>Bonjour, depuis Mars, j'essaye de réaliser la fin de mes travaux du couloir d'entrée. J'ai eu des gros soucis d'engorgement, heureusement j'ai une autre assurance pour les problèmes de fuite, ce qui fait qu'après différentes interventions le pbm a été résolu. Mais par précaution le dernier plombier (ayant travaillé à la Saur, très pro) a conseillé d'attendre une bonne année pour être sur de ne pas recasser le carrelage...j'ai suivi ce conseil et je m'en mords les doigts car depuis on me fait "poiroter" avec soi disant un 1er cabinet d'expertise, arrêt maladie, pbm informatique et j'en passe jusqu'au jour où j'ai appelé et qu'on me dise nous ne travaillons plus pour Axa ! re cabinet d'expertise délai de vacances...blabla bla  je précise qu'avec photos c'est évident de voir l'ancien carrelage blanc et le nouveau carrelage gris là où le plombier a changé les tuyaux ! La pauvre secrétaire ne fait que de me dire qu'elle transmets, bref nous voilà en fin d'année et le temps d'attente ici pour des artisans est de 6 à 10 mois, voilà où j'en suis. Je précise qu'il n'y a jamais d'excuses, je suis moi même commerçante et je ne pourrais pas envisager de traiter les clients de la sorte ! sans dire que mon fils a souscrit un contrat cet été, dommage ! Très déçue par ce manque de professionnalisme...</t>
  </si>
  <si>
    <t>23/11/2020</t>
  </si>
  <si>
    <t>momone-36371</t>
  </si>
  <si>
    <t xml:space="preserve">- 3 sinistres en 48ans et 3 prises de tete- Ils inventent n'importe quoi pour ne pas payer - La il parait que ma voiture roulait lorsque son bas de caisse a été heurtée - Je savis que j'avais une automatique mais pas une autonome - La j'ai compris - enfin direz vous - Je cherche une autre assurance Honnête </t>
  </si>
  <si>
    <t>15/02/2019</t>
  </si>
  <si>
    <t>01/02/2019</t>
  </si>
  <si>
    <t>chrisologue-h-117121</t>
  </si>
  <si>
    <t xml:space="preserve">C'est bien et très rapide pour s'assurer,  le site est très complet et compréhensible pour tout le monde. Rien de plus à rajouter. 
Merci bonne journée à vous </t>
  </si>
  <si>
    <t>15/06/2021</t>
  </si>
  <si>
    <t>loomis123-55859</t>
  </si>
  <si>
    <t xml:space="preserve">Un service téléphonique déplorable, des augmentations chaque années sans aucune raison, (explication donnée, normal c'est partout pareil :(   </t>
  </si>
  <si>
    <t>07/07/2017</t>
  </si>
  <si>
    <t>01/07/2017</t>
  </si>
  <si>
    <t>eugene-h-105066</t>
  </si>
  <si>
    <t>Je suis satisfait du prix sur le marché et de la démarche..je pourrais  évidement conseillé direct assurance à des relations et aux amis.
La démarche très simplifiée.</t>
  </si>
  <si>
    <t>selin-k-125998</t>
  </si>
  <si>
    <t xml:space="preserve">Très satisfait du service et rapide.
Le site est très facile a utiliser. Je conseille fortement. Les prix sont très intéressants par rapport à la concurrence </t>
  </si>
  <si>
    <t>02/08/2021</t>
  </si>
  <si>
    <t>kaba-67799</t>
  </si>
  <si>
    <t>J'ai eu degats d'eaux. Evenement couvert selon CG. Pacifica refuse le payment par une lettre qui reassemble a un message WhatsUp. Pas d'explication pk ils ne couvrent pas, ni de reference au contrat et ses CG. Je conteste alors par une lettre, avec reference aux contrat, Je calcule pour eux combien ils me doivent. 2j apres je recoit le virement sur mon compte. Le hasard? La faute humaine? Ou bien la politique d'assureur de payer seulement apres la contestation - si jamais y'en a?</t>
  </si>
  <si>
    <t>roland-d-113780</t>
  </si>
  <si>
    <t>J'ai rappelé hier pour corriger le kilométrage "Petit Rouleur" de 400 km (96500-&gt;91077).
Compte tenu du nombre de contrats que j'ai à la GMF, et du budget que cela représente, sans sinistre majeur depuis plusieurs dizaines d'années, j'ai pensé que la GMF aurait fait un "petit" geste commercial en maintenant le kilométrage à 12 mois (96500) ... 
Mais non, application stricte des dispositions annoncées : dommage !</t>
  </si>
  <si>
    <t>mok-92327</t>
  </si>
  <si>
    <t>Les prix ne me conviennent pas étant donné que je suis votre client depuis plus de 9 ans malgré que j'ai ajouté ma femme chez direct assurance. Aucun geste commercial et aucune négociation possible avec vous. Ces contraintes me poussent vraiment à aller vers assureurs même plus chers !
Cordialement.
Votre client insatisfait</t>
  </si>
  <si>
    <t>26/06/2020</t>
  </si>
  <si>
    <t>01/06/2020</t>
  </si>
  <si>
    <t>hereng-p-116167</t>
  </si>
  <si>
    <t>plus cher qu'annoncé initialement sur le devis;  la franchise reste élevée . Reste quand même compétitif . je ne comprends pas pourquoi le bonus est limité a 0,75</t>
  </si>
  <si>
    <t>07/06/2021</t>
  </si>
  <si>
    <t>nicolas33-89827</t>
  </si>
  <si>
    <t>Quel dommage que cet assureur soit si mal organisé (niveau informatique surtout). En temps normal (hors Covid) les conseillers sont agréables, à l'écoute. Les garanties sont bonnes et le tarif compétitif. Mais alors, quel enfer quand on est pro pour payer sa cotisation ! Pas de compte en ligne (on est en 2020 !! ), impossible de payer par CB en ligne. Et avec le covid, plus d'agence ouverte, même plus de ligne telephonique dédiée...un email ou on vous réponds (sous 36 heures en général). Mais le pire, j'ai fait un devis en ligne pour une nouvelle moto à titre perso, et essayé pendant des jours de souscrire, mais impossible : personne ne répond au téléphone, je demande à être rappelé plusieurs fois...j'attends toujours. Au final, j'ai acheté ma nouvelle moto mais l'ai faites assurer ailleurs...simplement parce qu'ils sont incapables de faire souscrire en ligne (en 2020 !! ). Il est triste de constater qu'un "bon" assureur soit au bord de l'effondrement avec le covid. Votre responsable informatique et/ou votre direction est/sont nuls. Le covid a révélé la sclérose de votre organisation. C'est bien dommage, mais c'est ainsi. Vous avez en tout cas perdu un client bêtement (et je ne pense pas être le seul).</t>
  </si>
  <si>
    <t>22/05/2020</t>
  </si>
  <si>
    <t>01/05/2020</t>
  </si>
  <si>
    <t>nicolas-m-124659</t>
  </si>
  <si>
    <t>Un devis rapide à faire. Par contre je suis déçu de ne pas pouvoir payer en ligne par carte bancaire, car vos services ne reconnaissent pas ma carte!!</t>
  </si>
  <si>
    <t>25/07/2021</t>
  </si>
  <si>
    <t>le-vaillant-c-110460</t>
  </si>
  <si>
    <t>Simple et facile.
Une remarque : le zoom sur mobile pour la lecture des documents peu pratique (pas de lisibilité quand on zoome avec les fonctions natives du téléphone)</t>
  </si>
  <si>
    <t>nihad-k-105913</t>
  </si>
  <si>
    <t>je suis satisfais du service , tres bien,  je debute et cela me parait bien et recommender sur de b=nombreux site et prestataire donc je souscrie.....</t>
  </si>
  <si>
    <t>sandy-c-125053</t>
  </si>
  <si>
    <t>Super, rapide, très bon tarif , très simple d'utilisation, je recommande vivement direct assurance pour faire un devis efficace et le finaliser directement en ligne, c'est parfait</t>
  </si>
  <si>
    <t>megan-108145</t>
  </si>
  <si>
    <t xml:space="preserve">Même avis que la plupart d'entre vous. Au téléphone on me dit que si je prends une seconde assurance chien celle ci n'augmentera pas c'est un cadeau qu'on me fait. Je reçois l'avis d'échéance et surprise je paie 2 euros en plus chaque mois!!! De plus je fais vacciner mon chien 10 jours avant la date à laquelle je suis censée le faire car je suis enceinte et ne pourrais plus bouger et surprise comme ça ne fait pas un an on refuse de me rembourser !!!! Ça fait 4 ans que je suis la bas !!! Je rédige ma lettre de résiliation!!! </t>
  </si>
  <si>
    <t>26/03/2021</t>
  </si>
  <si>
    <t>vasile-a-109190</t>
  </si>
  <si>
    <t xml:space="preserve">Je connais pas encore... On va voir avec le temps.. Je viens de découvrir cette assurance...j'espère d'avoir fait un bon choix. Je veux être appelé pour plus d'informations si c'est possible.. </t>
  </si>
  <si>
    <t>05/04/2021</t>
  </si>
  <si>
    <t>baron-a-109432</t>
  </si>
  <si>
    <t>Je suis très satisfait, site internet intuitif et agréable à utiliser, bons prix et contrat rpide à signer en moins de 15 minutes tout était fait je suis ravi</t>
  </si>
  <si>
    <t>07/04/2021</t>
  </si>
  <si>
    <t>manon-f-110936</t>
  </si>
  <si>
    <t>simple et pratique surtout pour un jeune conducteur dont c'est la première expérience. Je conseil fortement cette assurance à tous les jeunes conducteurs</t>
  </si>
  <si>
    <t>19/04/2021</t>
  </si>
  <si>
    <t>valetibe-57777</t>
  </si>
  <si>
    <t>je suis a la maif ou filia maif depuis plus de vingt ans pour l'habitation, l'assurance scolaire , auto scooter et je dois dire que j'en suis tres satisfaite que ce soit pour les relations avec les conseillers par telephone, ou bien la prise en charge lors de sinsitre ...en aucun cas je partirai meme si certains sont plus attractifs la qualite de la prise en charge n'est pas la meme</t>
  </si>
  <si>
    <t>11/12/2017</t>
  </si>
  <si>
    <t>bienvenue--94589</t>
  </si>
  <si>
    <t xml:space="preserve">Je suis satisfait du service ,ayant un faible revenu cela rentre dans mon budget qui me permetra vie vivre ,dans mois avenir est il possible que le tarif perse </t>
  </si>
  <si>
    <t>yohan-f-123404</t>
  </si>
  <si>
    <t>Simple et pratique
dommage d'avoir à avancer 2 mois de cotisations le jour de la souscription, 1 mois avant résiliation du contrat en cours dans le cadre de la loi hamon.</t>
  </si>
  <si>
    <t>14/07/2021</t>
  </si>
  <si>
    <t>titi35-75277</t>
  </si>
  <si>
    <t>l'assureur change sont site sans prévenir personne de plus site qui ne fonctionne pas et lors de vos appel téléphonique les personnes sont agréable mais on sent la technique du " cause toujours on fera ce que l'on veut" et quand on voudra.
ne rembourse pas même après plusieurs relances
mutuelle à fuir de toute urgence.</t>
  </si>
  <si>
    <t>Mercer</t>
  </si>
  <si>
    <t>22/04/2019</t>
  </si>
  <si>
    <t>varlou59-65020</t>
  </si>
  <si>
    <t xml:space="preserve">Mur de séparation qui s écroule dans votre jardin 
Après 3 mois d attente 
On vous dis qu' il n y a aucune prise en charge du sinistre car la cause n est pas accidentelle !!
Je suis consterné car on rejette toute la faute sur la construction du mur (malfacon) 90 ans!!
Et sur son entretien 
Toute les briques son dans mon jardin depuis 3 mois 
30 m2 de mur qui on détérioré toute ma végétation !
Écoeuré de payer dans le vide 
J ai pris la formule sérénité pour tout mes contrats 2000 euros par an pour rien !
Moi qui me disais que je payais cher mais que j avais de bonne garantie !!!
Extrêmement déçu </t>
  </si>
  <si>
    <t>25/06/2018</t>
  </si>
  <si>
    <t>01/06/2018</t>
  </si>
  <si>
    <t>adly-mousa-r-126174</t>
  </si>
  <si>
    <t>Très bon rapport qualité prix et toujours disponible rapidement au téléphone ou par mail.
Je recommande à mon entourage car j’ai déjà 2 véhicules chez eux et c’est top !</t>
  </si>
  <si>
    <t>lecerf-j-132161</t>
  </si>
  <si>
    <t>A la première étape, je suis satisfait des prestations au moment de la souscription. Les prix sont parmi les plus bas, en espérant que le service suive!</t>
  </si>
  <si>
    <t>10/09/2021</t>
  </si>
  <si>
    <t>alainn-89575</t>
  </si>
  <si>
    <t>Je ne suis PAS à la retraite et adis filiale d'agipi axa me demande une attestation signée par ma caisse de retraite disant que je ne suis pas à la retraite !!!
Leur but est d'arrêter de ma payer ma prévoyance.
La carsat caisse de retraite ne veut pas remplir un tel papier car je n'ai fait aucune demande aupès d'eux et ils trouvent cela ridicule.
Je leur ai fait passer mon bulletin de salaire prouvant que je suis toujours payé par mon employeur mais cela ne leur suffit pas.
Je ne sais plus quoi faire.
Cela fait 3 mois que je leur explique au tel et par recommandé le ridicule de leur demande mais rien n y fait</t>
  </si>
  <si>
    <t>07/02/2021</t>
  </si>
  <si>
    <t>alphaa-87047</t>
  </si>
  <si>
    <t>Très contente de cette assurance!!! Surtout au niveau du service client!!! Ils sont très réactifs et ils trouvent rapidement une solution si on a un soucis. J'avais trouvé moins cher que chez eux mais le service n'était pas aussi rapide.</t>
  </si>
  <si>
    <t>14/02/2020</t>
  </si>
  <si>
    <t>josefina-49826</t>
  </si>
  <si>
    <t xml:space="preserve">Bonjour, je suis client eurofil depuis 01/01/2002,Référence clien 125716 aujourd'hui j'ai, demandé un devis ppour un nouveau véhicule et pour avoir des garanties équivalantes le tarif à augmenté de 45 pour cent. Quant j'ai voulu établir un devis dans mon espace personnel le système ne me la pas permis et lorsque j'essaye de passer par un comparateur d'assurance Eurofil l ne propose pas de tarif. Ce qui me laisse à penser qu'ils ne veulent plus m'assurer vu mon age 76 ans alors que j'ai 50 pour cent de bonus et un seul accident responsable en 15 années d'assurance chez Eurofil. De plus des garanties ont été supprimées comme la protection juridique vie courante. Alors attention lorsque vous recevez un devis de EUROFIL, EN CAS DE CHANGEMENT DE VÉHICULE COMPARÉ BIEN TOUTES LES NOUVELLES GARANTIEZS PAR RAPPORT A VOTRE CONTRAT EXISTANT. </t>
  </si>
  <si>
    <t>Eurofil</t>
  </si>
  <si>
    <t>02/12/2016</t>
  </si>
  <si>
    <t>jonathan-c-104955</t>
  </si>
  <si>
    <t xml:space="preserve">Simple, rapide, efficace au tarif imbattable  
Lorsque j'aurai un sinistre, espérant que cela n'arrive pas,  j'espère trouver la même réactivité.  
Il  </t>
  </si>
  <si>
    <t>halima-60775</t>
  </si>
  <si>
    <t>Tres en colere 1 seul sinistre au bout de 19 ans  cambriolage et la gmf cherche ts les pretextes pour ne pas payer...ecoeuree!!</t>
  </si>
  <si>
    <t>24/01/2018</t>
  </si>
  <si>
    <t>elwen-51512</t>
  </si>
  <si>
    <t>Assurés depuis 30 ans et virés pour un sinistre du à une tentative de cambriolage récemment et un simple coup de fil passé il y a quelque annee pour un renseignement sur une cafetière cassée et qui a été enregistré comme un nouveau sinistre. Plus jamais la MAAF !</t>
  </si>
  <si>
    <t>20/01/2017</t>
  </si>
  <si>
    <t>osseux-c-117799</t>
  </si>
  <si>
    <t>Les prix me conviennent et serait prête à vous recommander auprès d'amis et collègues.
N'hésitez pas à me contacter si vous avez de nouvelles offres concernant aussi bien l'auto que l'habitat</t>
  </si>
  <si>
    <t>22/06/2021</t>
  </si>
  <si>
    <t>khelifa-r-104922</t>
  </si>
  <si>
    <t xml:space="preserve">une augmentation phénoménale en 4ans d'assurance habitation , de 11, XX euros à +18,XX euros.
un petit appartement au je n’ai jamais déclarer de sinistre........!!!  </t>
  </si>
  <si>
    <t>sabisab-58433</t>
  </si>
  <si>
    <t xml:space="preserve">Je suis actuellement chez maaf j'ai eu un accident début juillet ils me tiennent responsable a 100 pour 100 or que ce n'est pas ma faute . Une dame m'est rentré dedans malgres les temoins et les photos c'est aberrant. </t>
  </si>
  <si>
    <t>28/10/2017</t>
  </si>
  <si>
    <t>fripouille54-62309</t>
  </si>
  <si>
    <t xml:space="preserve">vu les avis des assurés , ce n'est pas rassurant !!! , suis nouveau , assuré depuis 2018 donc , pas rencontré de difficultés à ce jour , 0,50 % de bonus repris par la mutuelle , </t>
  </si>
  <si>
    <t>14/03/2018</t>
  </si>
  <si>
    <t>anthony-j-124665</t>
  </si>
  <si>
    <t>Je suis satisfait le prix me convient. C'est dommage qu'il faut rentrer les informations personnelles en étant déjà client chez vous. Cordialement Monsieur Jan Antony</t>
  </si>
  <si>
    <t>philippe-75769</t>
  </si>
  <si>
    <t>C'est la cata cette mutuelle. Malgré plusieurs relances je n'ai toujours pas la télétransmission auprès de la sécu. Le problème dure depuis le mois de septembre 2018. Mes mails restent sans réponses. 
Du fait de la non transmission, pas de remboursements mutuelle bien entendu. J'ai envoyé les décomptes par courrier, par mails sur le site VIASANTE, avec le service client AG2R, rien n'y fait. Je pense que je vais résilier et me diriger vers une autre solution pour la couverture santé</t>
  </si>
  <si>
    <t>10/05/2019</t>
  </si>
  <si>
    <t>aremon-l-114224</t>
  </si>
  <si>
    <t xml:space="preserve">je suis satisfaite de ce nouveau contrat, en revanche je ne vois pas a quel moment s'applique la réduction grâce au parrainage. J'espère que cela sera rétablit rapidement . </t>
  </si>
  <si>
    <t>maiia-96859</t>
  </si>
  <si>
    <t xml:space="preserve">En plus d’être cher le service client et les délais de remboursement sont merdiques !!! Les conseillers n’écoutent pas les requêtes donc pas efficace et de surcroît désagréable !!!! Cela fait 3 mois que je trime pour me faire rembourser une facture dentaire : « problème de télétransmission » alors que j’ai fournis mainte et mainte fois mon attestation de droit !! Pas de retour pour m’en informer d’ailleurs et quand j’appelle on me parle de tout sauf de cette facture j’ai pris le soin de l’envoyer par mail mais apparement pas de trace ( j’ai le mail que j’ai envoyé qui prouve que je l’ai bien envoyé mais la conseillère était sure d’elle ( pourtant je doute qu’elle est pris le temps de comprendre et d’écouter ce que je lui disais agressive de mauvaise foi au top !!! ) il en est de même pour mon décompte de la sécurité sociale réellement épuisant je ne recommande pas du tout et envisage sérieusement de résilier pour souscrire ailleurs 
Parcontre tjr ponctuelle pour prélever ça pour ça aucun soucis ils savent faire !!!! </t>
  </si>
  <si>
    <t>31/08/2020</t>
  </si>
  <si>
    <t>melanie-e-107903</t>
  </si>
  <si>
    <t xml:space="preserve">simple et pratique   mais   un peut     chère
je n'ai pas     d'avis plus précis     voila j'ai tout dit
merci  de votre  compréhension 
cordialement </t>
  </si>
  <si>
    <t>frederic-51939</t>
  </si>
  <si>
    <t xml:space="preserve">bonjour
accident non responsable il y a une semaine ,la voiture est toujours chez le remorqueur qui m appelle pour me dire qu il ne sait pas ou l envoyer , direct assurance a envoye une liste de garage agréé par eux que doit appeler le transporteur ! mais rien ne bouge je suis a pied et on me dit que ca prendra que deux jours pour le passage de l expert si un jour il trouve un garage!
</t>
  </si>
  <si>
    <t>claude-70727</t>
  </si>
  <si>
    <t>Ne répondent jamais à nos mails
Laissent traîner les dossiers (volontairement? certainement) 
N'indiquent pas les tarifs
Autrement dit ne souscrivez pas chez eux
J'espère que la loi sur la résiliation des mutuelles va vite changer</t>
  </si>
  <si>
    <t>29/01/2019</t>
  </si>
  <si>
    <t>morvandiaux-117264</t>
  </si>
  <si>
    <t>UN SCANDALE PERSONNE AU TELEPHONE PAS DE REMBOURSEMENTS DEPUIS DE LONGS MOIS / A EVITER DANGER  une mauvaise mutuelle après seulement 6 mois d'adhésion.</t>
  </si>
  <si>
    <t>16/06/2021</t>
  </si>
  <si>
    <t>ebfox-137795</t>
  </si>
  <si>
    <t>Problèmes de remboursement médecin traitant ou spécialiste par exemple une visite médecin du mois d'aout remboursée en octobre, après de multiples appels. Pour ce qui est du prélèvement de la cotisation, là pas de retard. Pas sérieux et j'ai plusieurs comptes sociaux sur internet et je vais faire de la mauvaise pub!</t>
  </si>
  <si>
    <t>19/10/2021</t>
  </si>
  <si>
    <t>ledess-71885</t>
  </si>
  <si>
    <t xml:space="preserve">Assuré depuis presque 15 ans, les prix ne cessent de monté sans que l'on soit prévenu ! Sur leur site il est écrit " Les + mutuelle, tarif annuel forfaitaire et dégressif !!!!", là on est sur du tarif PROGRESSIF ! il est impossible d'avoir le même interlocuteur pour pouvoir avoir des renseignements corrects et discuter. Je pense quitter ce groupe !
</t>
  </si>
  <si>
    <t>05/03/2019</t>
  </si>
  <si>
    <t>amadeus-64522</t>
  </si>
  <si>
    <t xml:space="preserve">Il y a un ans et demi, je découvre une fuite au joint supérieur de mon parebrise. RENAULT me conseille d'appeler mon assureur, ce que je fais. Réponse MACIF, c'est de l'usure, pas de bris de glace ont ne couvre pas! Je regle donc la facture 405 euros. ( nécessité de casser le parebrise ). Aprs echange, celà fuyait encore, j'ai rapporté le master, RENAULT a "bourrer le joint à la pate..." Eux aussi...
</t>
  </si>
  <si>
    <t>06/06/2018</t>
  </si>
  <si>
    <t>jm-80125</t>
  </si>
  <si>
    <t>forte augmentation du tarif en une année, je n'ai eu que des problème avec cette assurance, meme si j'ai eu un accident non responsable, je ne comprend pas cette augmentation?
Je regrette mon ancien assureur, je ne vais pas poursuivre avec l'olivier je retourne a la macif qui est bcp moins cher et bien plus pro</t>
  </si>
  <si>
    <t>28/04/2020</t>
  </si>
  <si>
    <t>max-67540</t>
  </si>
  <si>
    <t>pas de problèmes e n particuliers,j'ai fait plusieurs pharmacies qui prenaient la mutuel ,tout les médicaments qui mettaient prescrit ont étaient remboursés</t>
  </si>
  <si>
    <t>nadia-111549</t>
  </si>
  <si>
    <t>Une conseillère, a été vraiment rassurante au moment où j'en avais besoin.Tres informée sur les réformes, m'a convaincu de la qualité de l'assurance. J'ai signé de suite, car ce que cherche le client c'est d'être informée pour ce sentir en sécurité.</t>
  </si>
  <si>
    <t>24/04/2021</t>
  </si>
  <si>
    <t>brak-71152</t>
  </si>
  <si>
    <t>Remboursements tres longs soit 15 jours apres envoi de la feuille de soin et facture toujours pas rembourse Service.Client difficile à obtenir  peu compétent et evasif quand au suivi des dossiers j ai 7 chats assures chez assuopoil et je je pense résilier si cette gestion continue de cette maniere</t>
  </si>
  <si>
    <t>Assur O'Poil</t>
  </si>
  <si>
    <t>11/02/2019</t>
  </si>
  <si>
    <t>olsen-z-125181</t>
  </si>
  <si>
    <t>Je suis satisfait du service
A voir concernant les réductions possibles liées à Youdrive
Prix un peu élevé mais amené à - je l'espère - diminuer en fonction de ma conduite</t>
  </si>
  <si>
    <t>marie-francoise-g-108306</t>
  </si>
  <si>
    <t>Rapide, simple et pratique. J'ai aimé le tarif proposé pour une assurance tous risques ainsi que les conseils et propositions que vous faites à vos client.</t>
  </si>
  <si>
    <t>28/03/2021</t>
  </si>
  <si>
    <t>virginie-l-132672</t>
  </si>
  <si>
    <t>Tarif attrayant avec options qui permet d'obtenir des garanties identiques. Mon mari est déjà assuré chez vous, j'espère que la finalisation de mon dossier (envoi des PJ notamment) se déroulera mieux que pour mon mari qui a lutté contre un service client pas au niveau de ces tarifs. A voir avec le temps. avec la loi Hamon, nous pourrons aller voir la concurrence à l'issue</t>
  </si>
  <si>
    <t>recidiviste-61421</t>
  </si>
  <si>
    <t>2 sinistres non responsable déclarés en 2017 pour bris de glace (voiture fracturée - coût pour les 2 = 554€)
1 sinistre responsable déclaré en 2016 (coût 1.973€)
Aucun sinistre en 2014et2015 
Après avoir été convoqué le 10/02/18 à mon agence pour m'annoncer une hausse de 20%, j'ai reçu par mon couurier daté du 07/02 reçu le 12/02 un avis de résiliation? Je suis soudain devenu un délinquant multi-récidiviste pour avoir été victime de vandalisme!!! bienvenue à la GMF</t>
  </si>
  <si>
    <t>14/02/2018</t>
  </si>
  <si>
    <t>guillaume-a-132018</t>
  </si>
  <si>
    <t>Je suis satisfait du service et la qualité du prix et du produit je recommande vivement direct assurance au jeune chauffeur . satisfait cordialement merci</t>
  </si>
  <si>
    <t>09/09/2021</t>
  </si>
  <si>
    <t>marie-georges-p-121130</t>
  </si>
  <si>
    <t>je suis satisfait du service depuis ces quelques années que je suis adhérente.
j'ai plusieurs véhicules assurés chez vous , le service lors d'accident se passe bien.</t>
  </si>
  <si>
    <t>jeremie-o-111622</t>
  </si>
  <si>
    <t>Pas satisfait suite à une augmentation de 8€ de l'assurance, alors que le véhicule a passé le plusclair de son année sur place !! ce qui est inadmissible</t>
  </si>
  <si>
    <t>steph62-60182</t>
  </si>
  <si>
    <t>Bonne assurance, j'ai la chance d'avoir une agence Allianz dans ma ville et du coup des que j'ai une question il me suffit de me rendre directement en agence ou l'accueil, le service et la gestion des dossiers est excellente. L'assistance 0km est un veritable avantage certains facturent cette option tres cher alors que la c'est tres raisonnable et illimite et heureusement car sur la meme annee j'ai creve 3 fois et la batterie de ma voiture ne fonctionnait plus.</t>
  </si>
  <si>
    <t>04/01/2018</t>
  </si>
  <si>
    <t>manez-p-115944</t>
  </si>
  <si>
    <t>très bon service contact toujours parfait aimable et efficace. Je vous recommanderai à mes amis et entourage. Continuez ainsi. Peut être un peu plus de publicité ne nuirait pas</t>
  </si>
  <si>
    <t>04/06/2021</t>
  </si>
  <si>
    <t>dd-97685</t>
  </si>
  <si>
    <t xml:space="preserve">bonjour je suis plutôt satisfait de la mutuelle je les ai toutes essaye et toujours pareil pour prélever aucun soucis pour rembourser ou avoir quelqu'un au bout du fil impossible standard sature enfin avec Santiane c'est mieux qualité prix et service beaucoup mieux merci bien  cordialement  </t>
  </si>
  <si>
    <t>22/09/2020</t>
  </si>
  <si>
    <t>amine--124434</t>
  </si>
  <si>
    <t>Assurance pitoyable, j’ai eu un sinistre en date du mois de mai , je n’ai toujours pas récupérer mon véhicule, les conseillers sont même pas capables de répondre à mes questions, plusieurs minutes d’attente au téléphone pour au final raccroché au nez des clients, attention au clauses général de cet assurance car au moment de la suscription du contrat y a un manque total d’informations, car en cas de vol de pièces sur le véhicule il rembourse pas les optiques et plus pièces détacher , ils prennent les gens pour des *** , je vous la recommande pas du tout cette assurance , j’ai deux contrats chez eux je vais les résilié, quitte à payé plus cher et être tranquille , plus de 2mois d’attente pour un sinistre pitoyable.</t>
  </si>
  <si>
    <t>brun-d-116633</t>
  </si>
  <si>
    <t xml:space="preserve">Je suis satisfait du service  
les pris sont  correct  rien a dire je vais certainement 
assurer  un deuxième  véhicule dans les prochain  mois  
merci </t>
  </si>
  <si>
    <t>10/06/2021</t>
  </si>
  <si>
    <t>chrisalix78-104775</t>
  </si>
  <si>
    <t>Une mutuelle à l'écoute, avec des contrats évolutifs en fonction des besoins, un réseau de professionnels bien fourni et des remboursements rapides...
J'en suis plus que satisfaite et je recommande !</t>
  </si>
  <si>
    <t>alex76-77565</t>
  </si>
  <si>
    <t>Bonjour, j'ai voulu souscrire une assurance chez April moto. La couverture paraissait bonne et les prix interessants. A pres 2 mois d'echanges (documents additionnels, ils vous demandent de les rappeler mais ne repondent jamais, leur dossier informatique ne prend pas en compte les appels, ne rappellent pas quand vous faites une demande de rappel automatique), j'ai abandonné...Je prefere une assurance un peu plus chere mais dont le service est correct. Ce qui est loin d'etre le cas pour april moto...</t>
  </si>
  <si>
    <t>12/07/2019</t>
  </si>
  <si>
    <t>01/07/2019</t>
  </si>
  <si>
    <t>billy-75889</t>
  </si>
  <si>
    <t xml:space="preserve">Attention pour le placement assurance retraite 
obliger de rester 20 ans sinon si vous arrêtez votre contrat avant le terme  un rendu de 65% seulement et des difficultés pour le rompre </t>
  </si>
  <si>
    <t>Afi Esca</t>
  </si>
  <si>
    <t>14/05/2019</t>
  </si>
  <si>
    <t>pirlouit-98666</t>
  </si>
  <si>
    <t xml:space="preserve">Cette mutuelle utilise des méthodes de démarchage inadmissibles:
On vous appelle sur votre portable (comment a-t-on votre numéro?), on a votre adresse postale, on vous dit que votre "assurance" actuelle qui vient de votre banque (on connaît votre banque et on la cite)est "obsolète", et qu'on vous propose beaucoup mieux et moins cher. Le discours vous laisse à penser que ceci se fait en liaison avec votre banque.
A la fin, comme vous dites ne pas vouloir décider quoi que ce soit sans avoir lu les propositions de contrats (que l'on a de toute façon l'intention de refuser), on vous envoie un texto portant un code à 5 chiffres que vous devez renvoyer. OK, vous le faites. On vous prévient que le "chef" doit rappeler un ou deux jours après pour s'assurer qu'on a été bien gentil et clair. On spécifie que Neoliane n'est pas en lien, ni avec votre assurance ni avec votre banque.
Moyennant quoi un ou deux jours plus tard vous recevez un appel du "chef" en question, qui vous explique que le code que vous avez renvoyé vaut signature des contrats, ce que bien sûr on ne vous avait jamais dit.
D'autre part, l'affirmation initiale qui vous dit qu'actuellement vous payez 48€ une assurance obsolète est un mensonge total. Mais comme vous écoutez le babil de  la personne en n'espérant qu'une chose, c'est qu'il s'arrête, vous n'y aviez pas tout de suite pris garde.
Bref, j'ai pu refuser, furieux, que l'on continue cette histoire (heureusement je n'avais pas donné mon numéro de compte en banque!) ce que, heureusement on a pris en compte
En résumé: Démarchage reposant sur le mensonge et la tromperie, acquisition d'une "signature électronique" sans prévenir qu'il s'agit effectivement d'une signature du contrat.
ce sont des méthodes dont je ne comprend spas qu'elles ne tombent pas sous le coup de la loi!
Mutuelle à éviter à tout prix!
</t>
  </si>
  <si>
    <t>jijoonettee-91585</t>
  </si>
  <si>
    <t xml:space="preserve">Le prix me convient, devis simple et réponse immédiate. Je recommande et notamment pour un nouveau conducteur, l'assurance répond à tous les critères </t>
  </si>
  <si>
    <t>19/06/2020</t>
  </si>
  <si>
    <t>conducteur-du-45-102285</t>
  </si>
  <si>
    <t>Mon véhicule a un problème et doit aller au garage et y rester toute la journée et j'ai demandé un véhicule de remplacement, je précise que je suis en tout risque avec option véhicule de remplacement et monsieur au téléphone ah non monsieur je peux rien faire pour vous et en plus es de mauvaise fois me dit que je n'ai pas l'option remplacement du véhicule alors que je l'ai je l'ai vérifié moi même. Alors dite moi ce que je paye?? Du vent??? Non mais sérieusement..</t>
  </si>
  <si>
    <t>06/01/2021</t>
  </si>
  <si>
    <t>mady-81058</t>
  </si>
  <si>
    <t>un service client lamentable !!! j'ai pris contact par tel pour assurer un nouveau véhicule on m'annonce alors un tarif à 29 euros/mois, je valide l'offre mais une fois le contrat validé, surprise le tarif est en faite passé à 45 euros parce ce que le contrat a été fait au nom de ma fille sans mon accord, elle  n'a que 17 ans et pas encore le permis (sous prétexte que j'avais évoqué que ce véhicule lui sera destiné dans qq mois). Je refuse donc de valider et demande un contrat à mon nom jusqu'à l obtention du permis de ma fille. Et bien non, impossible !! on m'oblige à payer la surprime jeune conducteur pour un véhicule que ne sera pas utilisé par un jeune conducteur. je fais valoir mon droit de rétractation, non seulement on remet en cause ma version, me disant que le téléconseiller à respecté ma demande et la Matmut prend 1 mois pour résilier le contrat. Tellement déçu j'ai résilie les 4 autres véhicules assurés chez eux, belle fidélisation de ses clients !!! à fuir</t>
  </si>
  <si>
    <t>Matmut</t>
  </si>
  <si>
    <t>16/11/2019</t>
  </si>
  <si>
    <t>01/11/2019</t>
  </si>
  <si>
    <t>berf-139216</t>
  </si>
  <si>
    <t xml:space="preserve">Cela fait plusieurs années , aucune relation clientèle, remboursement faible malgré de gosse échéances mensuel de ma part et de mon employeur de 1200 salariés  
Forcing pour la carte de mutuel numérique!!!
En comparaison avec la mutuel Intermarché, le ITM est 2 fois moins chère, plafond lentilles lunette dents bien mieux couvert
Très déçu par le manque de communication , mutuel inconnu des centre de mutualisation... mauvaise image auprès des professionnelles de santé
</t>
  </si>
  <si>
    <t>08/11/2021</t>
  </si>
  <si>
    <t>kavirly-53226</t>
  </si>
  <si>
    <t>Depuis 7 ans à la Macif je n'avais pas eu de soucis jusqu'à ce que je décide de résilier un de mes contrats et que je me rende compte qu'il y avait plus intéressant ailleurs. Et là les sérieux ennuis commencent.</t>
  </si>
  <si>
    <t>13/03/2017</t>
  </si>
  <si>
    <t>alyson-p-128296</t>
  </si>
  <si>
    <t>Je suis satisfaits de services proposés, les tarifs sont raisonnables et adaptables ! Je recommande les yeux fermés! Merci pour vos comseils ! Parfait</t>
  </si>
  <si>
    <t>17/08/2021</t>
  </si>
  <si>
    <t>fatiha-b-108467</t>
  </si>
  <si>
    <t>simple et rapide conseillère très professionnelle, donne les bonnes informations, réactive,  Elle est à l'écoute, attentive à ma demande et très agréable</t>
  </si>
  <si>
    <t>hdhdhdhd-70982</t>
  </si>
  <si>
    <t>A FUIRE 
 Premiere assurance et je constate qu ils essayent d en profite 
1mois et demi pour un pare brise et aucune nouvelle
Oblige de les apeller tout les jours pour suivre et tout les jours le meme discours nous n arrivons pas a contacter l assurance adverse nous allons faire un rappelle demain
De plus ils me font payer 90 x2 et pour prendre l argent ils sont en a l heure meme en avance mais pour gerer les sinistres il faut avoir le temps
BEAUCOUP DE TEMPS
Je vais contacter un avocat voir se que je peux faire</t>
  </si>
  <si>
    <t>05/02/2019</t>
  </si>
  <si>
    <t>cyril-d-116047</t>
  </si>
  <si>
    <t>Je suis satisfait du prix de l'assurance DIRECT ASSURANCE ainsi que du service rendu.
La gestion facilité par internet permet de simplifier les démarches.
Je recommande.</t>
  </si>
  <si>
    <t>srosy-49578</t>
  </si>
  <si>
    <t>Bonjour a vous , je viens d'avoir une réponse positive de la part de l'assurance Néoliane qui annule mon contrat ,le contrat étant fait par un courtier pas très sérieux ,si vous avez des soucis comme moi une adresse mail : reclamation@neoliane.fr  
Vous faites votre réclamation avec vos coordonnées une personne  très aimable et sérieux  vous rappel aussitôt 
Je suis contente mon affaire est résolue</t>
  </si>
  <si>
    <t>04/01/2017</t>
  </si>
  <si>
    <t>lusqued-111888</t>
  </si>
  <si>
    <t xml:space="preserve">Si vous n'avez besoin de rien, cette assurance est pour vous. Je me suis fait renverser par une auto qui a reconnu sa faute à 100%. Je suis livrée à moi même. Aucun contact de la part de l'assurance depuis que j'ai contesté l'avis de l'expert. Que faire???
En fait, c'est pas cher mais on en a pour notre argent. </t>
  </si>
  <si>
    <t>27/04/2021</t>
  </si>
  <si>
    <t>el-hariouli-o-117819</t>
  </si>
  <si>
    <t>Je suis satisfait des prix, le devis c’est fais rapidement personnel à l’écoute. Content de l’assurance je la recommande. Simple et efficace site internet facile d’acces</t>
  </si>
  <si>
    <t>plancke-c-108574</t>
  </si>
  <si>
    <t>Les prix me conviennent: ma précédente assurance était deux fois plus chère.
Je viens de souscrire, donc je n'ai pas assez de recul pour évaluer le service.</t>
  </si>
  <si>
    <t>azizi-y-123578</t>
  </si>
  <si>
    <t xml:space="preserve">Je ne sais pas encore si je suis satisfait ou pas. Je ne peux me prononcer sur cela car on attend d'une assurance une réactivité et une bienveillance surtout en cas de sinistre, hors , ce n'est pas encore le cas :) </t>
  </si>
  <si>
    <t>tony-g-128795</t>
  </si>
  <si>
    <t xml:space="preserve">Sava c’était bien lapel c’est bien passer et les prix son bien aussi je suis satisfait de lapelle et des prix de l’assurance merci pour tout et pour votre temp accordé </t>
  </si>
  <si>
    <t>20/08/2021</t>
  </si>
  <si>
    <t>sab-116924</t>
  </si>
  <si>
    <t>Le 8/5 une moto a atterri dans ma voiture stationnée devant chez moi car une voiture lui a coupé la priorité. Radiateur Turbo HS donc voiture non roulante.
Le 10/5 après plusieurs appels sans succès auprès de mon assurance Pacifica, je décide de télécharger leur application afin de déclarer mon sinistre. 
Le 11/5, mon sinistre est pris en compte et apparemment, il fallait un "justificatif médicale" ??.
Ainsi, j'appelle encore et encore! Enfin je réussis à avoir un interlocuteur. J'explique mon histoire et ce dernier me rassure finalement aucun document m'est demandé. Puis, il me dirige vers l'assistance afin qu'une dépanneuse vienne chercher ma voiture. 
Ainsi, ce service m'organise l'intervention et 1h après ma voiture partait en direction du garage. Le garage me prévient de sa réception et me confirme qu'elle me préviendra du suivi. 
Le 12/5, je rappelle le garage qui m'informe que l'ordre de mission n'est toujours pas reçu. Elle ajoute "la voiture de courtoisie ne sera disponible qu'à partir du moment où les travaux commenceront". Donc, je rappelle mon interlocuteur Pacifica qui m'informe que le nécessaire sera fait que vendredi . Alors, je rappelle l'assistance pour obtenir une voiture de location et cette dernière me dit demande hautainement "dans combien de temps pouvez vous vous rendre à la société de location ?" Je lui demande où elle se trouve (# je suis piéton) et elle me rétorque " il faut que je recherche la société ?". ?? J'attends ! les heures passent alors je rappelle l'assistance et un homme me répond = nous avons fait le nécessaire. Sois disant un SMS envoyé ??. Il reporte le rdv au lendemain. 
13/5, jour férié, la sté de location "enterprise" est fermée. De nouveau, je rappelle l'assistance qui me réserve la voiture pour samedi 16/5. 
Vendredi 14/5, je rappelle le garage pour savoir s'ils ont bien reçu l'email de Pacifica  : message laissé sur le répondeur et apparemment ils font le pont # ils ne doivent pas être si débordé que ça. 
Samedi, je récupère la voiture de location chez Enterprise et ravie de la bonne humeur ce réceptionniste. 
Lundi 17/5, la secrétaire AD me rappelle pour que je dépose ma voiture ! Je lui rappelle qu'elle est déjà chez eux et "non roulante" ??. Jeudi 20/5 Enterprise me rappelle si on perdure la location ? Donc, je renouvelle mon appel auprès du garage qui m'informe que l'expert doit se déplacer car les photos ne suffisent pas mais il ne passera que mercredi 26/5 ??. Désespérée, je rappelle l'assistance pour lui exposer mon souci. Alors il me prolonge la location jusqu'à mardi 25/5! Et n'ont pas le pouvoir de faire plus. Alors je rappelle Pacifica pour exposer mon problème et elle prolonge le contrat de location (12 jrs normalement) exceptionnellement jusqu'à mardi 2/6 soit 16 jrs pas plus après tu te débrouilles. 
Mercredi 26/5 après midi, je rappelle le garagiste qui me signale que l'expert est passé dans la matinée et ils attendent 48h le compte rendu. J'expose ma situation = 15 jrs que ma voiture fait pot de fleur, marre de cette situation ! J'appelle l'expert  (en attente pendant 20 min.) Et  miracle un double appel du garagiste qui m'avertit qu'ils vont changer les pièces constatées (intercooler, bouclier, grille) #c'est les pièces que j'ai déclaré dans mon sinistre. Il faut 48h pour la réception de ces dernières et m'appelleront pour une voiture de courtoisie que je n'ai jamais eu pour info et ni d'appeler non plus. Jeudi 3/6, je rappelle à 10h30, pour connaître le suivi des réparations. Finalement, ils faut changer d'autres pièces non constaté lors de l'expertise ! Bref, ils ont les pièces et elle sera prête fin de journée ou le lendemain. 16h30, enfin, ma voiture est réparée. 
Je retourne la chercher vendredi à 8h tapante, c'est un soulagement ! La secrétaire me demande quand même s'il doivent récupérer une voiture de courtoisie . Je lui réponds NON (s'ils prenaient la peine de lire mon dossier bande de ??). 
Lors de la souscription auprès du Crédit Agricole on te vante un super service d'assurance et d'assistance assez coûteuse tous les mois ( sachant que j'ai aussi une assurance pour une seconde voiture ainsi que qu'une assurance maison,  assurance vie). Franchement, je me pose la question ? Je reste ou pas ?
 Je constate que je suis un dommage collatéral et personne ne s'occupe de ton dossier ! 
 Par contre, on ne t'oublie pas de prélever tout les mois !
 BRAVO pour l'incompétence de PACIFICA et leur expert. 
Le garagiste a fait du bon boulot mais le suivi de clientèle est à revoir. 
??????????
J'espère recevoir un questionnaire de satisfaction auprès de Pacifica et croyez moi, je vais les pourrir ??</t>
  </si>
  <si>
    <t>13/06/2021</t>
  </si>
  <si>
    <t>gillot-t-127957</t>
  </si>
  <si>
    <t>les prix sont extrêmement raisonnables, reste à voir dans le temps avec les augmentations.
service clients disponible et professionnel. pour l'instant j'en suis satisfait.</t>
  </si>
  <si>
    <t>14/08/2021</t>
  </si>
  <si>
    <t>crew26-22904</t>
  </si>
  <si>
    <t>Bonjour,
Suite à une panne moteur sur l'autoroute, j'ai appelé l'assistance Pacifica pour qu'elle m'aide dans les démarches à suivre.
Je suis très satisfait de cet assureur.Tout a été pris en charge sans que je débourse un seul euro.( remorquage...)
Après avoir été déposé au garage par le remorqueur, Pacifica m'a envoyé un taxi pour que je puisse allé récupérer une voiture de location qu'ils m'avaient réservée pendant le temps des réparations nécessaires.
Ils m'ont tenu au courant de toutes les étapes par SMS.
Rien a redire!</t>
  </si>
  <si>
    <t>19/05/2017</t>
  </si>
  <si>
    <t>01/05/2017</t>
  </si>
  <si>
    <t>osange-76013</t>
  </si>
  <si>
    <t>Très bon avis sur mon échange avec Nadège ce matin  qui non seulement a répondu à mes questions avec justesse mais elle a en plus réparé quelques erreurs sur mon dossier.</t>
  </si>
  <si>
    <t>17/05/2019</t>
  </si>
  <si>
    <t>olenga-p-117892</t>
  </si>
  <si>
    <t>je suis satisfait du service ou accueil
les prix me conviennent pour le moment
simple, pratique et rapide
facilité de connexion sur votre site internet</t>
  </si>
  <si>
    <t>mehdi-87751</t>
  </si>
  <si>
    <t>Je ne comprends pas les avis négatifs. Cette mutuelle est excellente, j'ai aucun soucis de remboursement, quand tout est en règle avec votre travail, carte vitale, ameli  tout fonctionne. Si ce n'est pas le cas ne vous étonnez pas de pas recevoir vos remboursements... Faite vos démarches administratives avant de vous plaindre bon sang.</t>
  </si>
  <si>
    <t>28/02/2020</t>
  </si>
  <si>
    <t>sonia-79556</t>
  </si>
  <si>
    <t xml:space="preserve">J etais au chomage et j ai voulu resilier mon contrat a la date d echeance mais comme je n ai pas recu la lettre de date d echeance mon courier  de resiliation  etait arriver  en retard par rapport a la date d echeance donc m a resiliation a etait refuser mais maintenant je suis arriver au fin de droit  de chomage et je dois attendre que mon dossier soit traiter pour avoir droit a lAss c est comme RSA  alor j ai envoyer un courier de resiliation de ma mutuelle qui est a presque 80 euros par mois sachant que j ai un loyer a payer et d autre charge je leur ai expliquer mon cas dans la lettre de resiliation avec les documents de pole emploi a l apui mais ils m ont refuser la resiliation et qu il faut attendre la date d echeance  je suis vraiment decu je suis sans argent et ils veulent pas comprendre c est inhumaine </t>
  </si>
  <si>
    <t>27/09/2019</t>
  </si>
  <si>
    <t>audrey-l-118066</t>
  </si>
  <si>
    <t>Les prix me conviennent. C'est ma première assurance auto en mon nom et je suis impatiente de voir le système avec le boitier. C'est un avantage pour moi</t>
  </si>
  <si>
    <t>24/06/2021</t>
  </si>
  <si>
    <t>kwong-136749</t>
  </si>
  <si>
    <t>Suite à un cambriolage à mon domicile. Après plus de deux mois d’attente du passage de l’expert et la réponse définitive de l’assurance. Indemnisation 0. Je trouve cela inadmissible on paie tous les mois une assurance et dès qu’il y a un vrai problème il n’y a plus personne.</t>
  </si>
  <si>
    <t>09/10/2021</t>
  </si>
  <si>
    <t>ambresmelanie-110974</t>
  </si>
  <si>
    <t xml:space="preserve">J'ai commencé chez eux depuis le 8 avril et ça commence mal ils m'ont prélevé deux fois le même montant, la blague ils nous retrouvent pas la trace du deuxième prélèvement je leur envoi mon relevé banquaire depuis c'est silence radio. pour vous prélevé ils sont doués mais pour rembourser apareement moins !!! Je regrette si cette semaine et encore j'attends jusque mercredi je n'est pas de retour JE PARTIRAIS !!
</t>
  </si>
  <si>
    <t>20/04/2021</t>
  </si>
  <si>
    <t>nicolas-61054</t>
  </si>
  <si>
    <t>Accident non responsable étant garé normalement. DA Refuse de rembourser de les frais de carrosserie au prétexte qu'il y avait une petite trace sur l'aile antérieure à l'accident, A fuir !!!</t>
  </si>
  <si>
    <t>02/02/2018</t>
  </si>
  <si>
    <t>nico-96360</t>
  </si>
  <si>
    <t>Nouveau slogan » payé quand vous aurez besoin on ne sera pas là!
 Je n'ai jamais fait appel à mon assurance et le jour où j'ai eu besoin....
 J'ai souscrit une assurance il y a 4 ans le jour où j'ai besoin on me dit  non parce que votre maison neuve!!! Le contrat exclut de Maisonneuve en petite ligne!!! Bravo le conseiller...</t>
  </si>
  <si>
    <t>17/08/2020</t>
  </si>
  <si>
    <t>matraf06-81342</t>
  </si>
  <si>
    <t>Cardif ou l'assurance vie qui fait le Mort !!!
Sachez que vous êtes loin d'etre le seul. suite au décès de ma mère je suis en souffrance de réponse moi aussi de leur part.
Je leur ai portant écrire par lettre recommandée car ils ont dans un premier temps refuser une communication par mail.
Mais après plus de trois semaines, et contrairement au code des assurances, ils n'ont pas toujours pas prie attache avec moi.
J'ai du les harceler au téléphone pour qu'enfin il daigne me transmettre une adresse mail qui n'était pas la bonne.
Puis a force de relance apres plus de trois semaines de silence, ils ont enfin prie la peine de m'écrire " Nous accusons bonne réception de votre appel téléphonique et vous en remercions" N'est ce pas de foutre de la gueule des gens qui accessoirement doivent faire leur deuil de leur proche ??!!!
De plus, bien que notifier dans mes écrits que ma soeur (avec coordonnées pour la contacter) est aussi ayant droit sur ce contrat d'assurance vie, ils n'ont non seulement pas prie attache avec elle, mais semble m'envoyer des documents incorrectes puisque les sommes d'abattement correspondent a un ayant droit.
Donc après l'assurance vie qui fait le mort, j'ai le droit a l'assurance vie qui se paie ma gueule.
BRAVO CARDIF !!
Et pendant ce temps la, non seulement je dois faire face a mes difficultés financières, mais ils en plus ils font travailler l'argent de ma mère défunte a leur profit.
C'est une honte !!
Toutefois pour la neutralité des débats, je ne manquerais pas de vous faire par des suites de mon dossier.</t>
  </si>
  <si>
    <t>26/11/2019</t>
  </si>
  <si>
    <t>gelemercier59-115996</t>
  </si>
  <si>
    <t>A fuir !... Très réactifs pour que vous placiez vos fonds chez eux, mais quand il s'agit de les retirer, il vaut mieux avoir souscrit une bonne protection juridique. 
- Impossible de joindre par téléphone le service succession
- le numéro de contact 01 40 82 24 24 ne répond jamais non plus
- Pas de réponse aux mails, ni même aux courriers envoyés en LRAR, 
- Délai anormal de déblocage des capitaux décès (7 mois dans mon cas)
- Délai anormal de versement des primes contractuelles (prime de réemploi, versée au bout de 13 mois)
- Erreurs d'écriture comptable : 
=&gt; une de 102.746,19 € (quand même !) : erreur de support de placement
=&gt; une de 1.857,90 € (non régularisée à ce jour)
- Refus de versement d'intérêts sur capitaux décès
J'ai commencé à avoir des réponses lorsque j'ai déclenché ma protection juridique. 
Au bout de 15 mois de bagarre deux points de litige non résolus me conduisent à faire appel au Médiateur des Assurances et plus, si affinités.
En cas de difficulté avec AFER, vous pouvez vous adresser à la Médiation de l'Assurance : 
- soit par internet à l'adresse www.mediation-assurance.org. Ce canal est à privilégier pour une prise en charge plus rapide. 
- soit par courrier à l'adresse: 
La Médiation de l'Assurance, TSA 50110, 75441 PARIS CEDEX 09. 
Ces informations figurent dans la notice actuellement en vigueur qui vous a été remise lors de la souscription de votre adhésion à l'Afer et également sur leur site internet à la rubrique "Contact" puis "Vous souhaitez faire une réclamation ?".</t>
  </si>
  <si>
    <t>remi-n-133929</t>
  </si>
  <si>
    <t xml:space="preserve">Je trouve que le prix est assez élevé mais ayant eu un sinistre ce dernier est assez correct. Je recommande néanmoins l’assurance car devis simple et efficace </t>
  </si>
  <si>
    <t>22/09/2021</t>
  </si>
  <si>
    <t>maya-35974</t>
  </si>
  <si>
    <t>A plusieurs reprises attentes moyennes de 3 semaines pour un remboursement. De nombreuses erreurs de comptabilité. Pratiquement impossible de les avoir au téléphone et aucun rappel après avoir laissé de nombreux messages.
Aucun respect du client, limite outrancier.
Ils ont perdus deux clients. FUYEZ et vite.</t>
  </si>
  <si>
    <t>28/06/2021</t>
  </si>
  <si>
    <t>tozpat-62379</t>
  </si>
  <si>
    <t>très très mauvaise assurance sinistre le 4/2/2018 non responsable un véhicule ma percuter par l'arriere et grand silence de directe assurance je vais changer d'assureur au plus vite car sufisament cher pour le service qu'il offre</t>
  </si>
  <si>
    <t>15/03/2018</t>
  </si>
  <si>
    <t>alaya-s-133136</t>
  </si>
  <si>
    <t xml:space="preserve">Je suis satisfait du service que propose l Olivier assurance. Le service est rapide avec une tres bonne qualité et le prix de l assurance est raisonnable, continuez comme sa, c est du très bon travail. </t>
  </si>
  <si>
    <t>16/09/2021</t>
  </si>
  <si>
    <t>escalier-77349</t>
  </si>
  <si>
    <t>Concernant le dernier sinistre difficulté quant à avoir une réponse rapide et claire par un seul interlocuteur, remboursement incomplet.</t>
  </si>
  <si>
    <t>04/07/2019</t>
  </si>
  <si>
    <t>pripri-69065</t>
  </si>
  <si>
    <t>Nul. A ne pas souscrire.  Très déçue par cette mutuelle.</t>
  </si>
  <si>
    <t>01/12/2018</t>
  </si>
  <si>
    <t>ulvehjertr-66510</t>
  </si>
  <si>
    <t>J'ai été chez Axa pendant environ 6 ans. Ma mensualité n'a fait qu'augmenter tous les ans malgré n'avoir eu aucun sinistre ni problème. +20 euros par mois en 4 ans!
Je payais 65 euros par mois pour une 206 de 2004! En tiers initial! Pour ma Ioniq neuve en tout risques intégral je paie 77euros par mois, cherchez l'erreur!!! Je suis allée voir ailleurs pour mes 2 autres voitures! Inadmissible.</t>
  </si>
  <si>
    <t>31/08/2018</t>
  </si>
  <si>
    <t>julien-m-123908</t>
  </si>
  <si>
    <t xml:space="preserve">Je suis satisfait du service  bonne prestation merci encore je recommande vivement cette assurance 
Prix convenable  et abordable
Une bonne équipe 
Merci </t>
  </si>
  <si>
    <t>norelli-m-123450</t>
  </si>
  <si>
    <t xml:space="preserve">Super service ! Pour de super tarifs ! Je remercie tout le service client qui est par téléphone et par mail à été génial. De très bon tarifs et par téléphone et sur internent. </t>
  </si>
  <si>
    <t>amy-a-138662</t>
  </si>
  <si>
    <t>Bonne assurance. Ma compagne était assurée chez l'olivier assurance auto et n'a eu aucuns soucis, bonne prise en charge lors d'un accident, bonne prestation.</t>
  </si>
  <si>
    <t>31/10/2021</t>
  </si>
  <si>
    <t>claude-86360</t>
  </si>
  <si>
    <t>Client depuis plus de 30 ans suite accident le 11decembre 2019 DONT JE NE SUIS PAS RESPONSABLE après avis de l'expert proposition de remboursement fixé a 7200E alors que sur le marché de l'occasion le vehicule est coté entre 9500 et 10000E il va falloir encore se battre c'est désolant</t>
  </si>
  <si>
    <t>26/01/2020</t>
  </si>
  <si>
    <t>richardp-59099</t>
  </si>
  <si>
    <t xml:space="preserve">en plein dedans avec un sinistre auto non responsable, c'est juste incroyable, c'est un assureur a fuir, moi qui avait trouvé mauvais le comportement de GROUPAMA il y a quelques années, la avec Allianz on me fait regretter d'avoir quitté GROUPAMA 
Accident le 16/11 a 4h50 du matin, constat d'accident rendu a l'agence a 10h00, on est le 28/11 et l'expert n'a pas le Constat, L'assurance non plus n'en a pas le constat alors que Mon assureur l'a faxé devant moi.
Expert qui passe le lendemain (17/11)  expertiser la voiture, qui donne des consignes de réparation, mais qui n'en envoie pas le rapport de l'expertise ni a l’assurance ni a l’assuré 
Voiture de prêt refusé car voiture non remorqué (ça m'apprendra) 
Expert qui souhaite réparer  un phare qui présente de rayures dues a l'accident ainsi que 2 pattes de fixation cassés 
Expert qui souhaite faire une rustine de peinture sur une jante qui a frotté contre le véhicule qui est venu me percuter a la place de la refaire a neuf. 
c'est a peine croyable </t>
  </si>
  <si>
    <t>28/11/2017</t>
  </si>
  <si>
    <t>papou-57172</t>
  </si>
  <si>
    <t>Lorsque j'ai pris les 2 assurances auto et habit.. j'ai demandé prélèvement mensuel OK mais on ma fait payé 2 et 3 mois d'avance je ne comprends pas de quel droit ou est indiqué cette mention,? la personne qui ne peut sortir 2 ou 3 mois d'avance AXA ne couvre pas???  J'ai signalé cette pratique lamentable a mon agent axa</t>
  </si>
  <si>
    <t>07/09/2017</t>
  </si>
  <si>
    <t>01/09/2017</t>
  </si>
  <si>
    <t>chiara-d-109097</t>
  </si>
  <si>
    <t>Prix a priori très bien étudiés, à voir par la suite. Je viens de signer. Je jugerai donc mieux au cas où j'aurais besoin de recourir à mon assureur..</t>
  </si>
  <si>
    <t>03/04/2021</t>
  </si>
  <si>
    <t>martine-j-134631</t>
  </si>
  <si>
    <t>Je suis satisfaite du service c'est tres rapide et vraiment facile et c'est beaucoup moins cher que mon assurrance actuel  je regrette de ne pas m'etre renseigner plys tit</t>
  </si>
  <si>
    <t>27/09/2021</t>
  </si>
  <si>
    <t>ap-75977</t>
  </si>
  <si>
    <t xml:space="preserve">Mon épouse viens de prendre contact par téléphone le 29 janvier 2021 à  16h42  , la collaboratrice a demandé à plusieurs reprise "de se taire" elle a été tellement surprise qu'elle  n'a pas raccroché. Cette situation est inacceptable, si les conversations sont enregistrées  vos services pourront vérifier. </t>
  </si>
  <si>
    <t>29/01/2021</t>
  </si>
  <si>
    <t>oliver-102307</t>
  </si>
  <si>
    <t>Ma conseillère actuelle, et toute l'équipe de Joué-les-tours est très accueillante et courtoise.Ma conseillère m'a proposé des contrats en fonction de mes besoins, que se soit pour mon auto ou ma mutuelle santé.Je peut donc la remercier vivement de ses compétences et de son agréable gentillesse.</t>
  </si>
  <si>
    <t>07/01/2021</t>
  </si>
  <si>
    <t>agogue-a-115779</t>
  </si>
  <si>
    <t xml:space="preserve">Je suis satisfait de vos services, les prix me conviennent et le service au téléphone est de qualité, merci encore.                                    </t>
  </si>
  <si>
    <t>fernand-m-113295</t>
  </si>
  <si>
    <t>Très satisfait de l’ensemble des services. Je recommande sans hésiter cet assureur tant que pour les prix et le bon service client. je vais le recommander à tous mes amis et ma famille Merci</t>
  </si>
  <si>
    <t>10/05/2021</t>
  </si>
  <si>
    <t>elye01-87902</t>
  </si>
  <si>
    <t>Après un accident de la circulation mon fils attend depuis plus d'1 mois de percevoir ses indemnités, ils sont difficilement joignables au téléphone et vous disent tjrs la mm chose "votre dossier est en cours de traitement".</t>
  </si>
  <si>
    <t>patrice-g-105789</t>
  </si>
  <si>
    <t xml:space="preserve">Simple, pratique et rapide 
personne sympathique et agréable au téléphone
application facile d'utilisation
                                                          </t>
  </si>
  <si>
    <t>bviva34-91494</t>
  </si>
  <si>
    <t xml:space="preserve">Un peut perturbant lorsqu'on a un contrat actif
incoherence entre la prime en cours et le nouveau contrat a venir.
la distinction entre client et les devis comparatifs sont incompréhensibles
</t>
  </si>
  <si>
    <t>shuley-50994</t>
  </si>
  <si>
    <t>Assuré depuis plus de 20 ans, j'ai toujours eu satisfaction de mes remboursements, le prix est effectivement un peu élevé mais je m'y retrouve et les délias pour les remboursements sont courts.</t>
  </si>
  <si>
    <t>APRIL</t>
  </si>
  <si>
    <t>06/01/2017</t>
  </si>
  <si>
    <t>secteura-64758</t>
  </si>
  <si>
    <t>Bonne explication 
Et agréable suivi</t>
  </si>
  <si>
    <t>13/06/2018</t>
  </si>
  <si>
    <t>michel-c-110094</t>
  </si>
  <si>
    <t>prix de la cotisation en croissance , inacceptable en période COVID-19 , aucun paiement par CHEQUE !
aucune souplesse pouvez mieux faire , 
est ce clair , maintenant</t>
  </si>
  <si>
    <t>12/04/2021</t>
  </si>
  <si>
    <t>dede-104244</t>
  </si>
  <si>
    <t>Fuyez cette mutuelle! C'est un organisme qui fera tout pour vous rembourser le moins possible, voir rien du tout. Comme dit ci dessous moi aussi ils ne veulent pas me laisser partir prétextant plus de justificatifs alors que les autres mutuelles ne demandent pas ça. J'ai bataillé 2 mois pour être remboursé pour une paire de lunettes, l'opticien n'avait jamais vu ça! Une horreur cette mutuelle. Au téléphone ils ne répondent pas toujours, et par mail encore moins! 
Passez votre chemin, ne signez pas avec cet organisme</t>
  </si>
  <si>
    <t>16/02/2021</t>
  </si>
  <si>
    <t>edsdf-44594</t>
  </si>
  <si>
    <t>Injoignable une fois client...INADMISSIBLE !!
ne lisent pas les mails...ne répondent pas au téléphone...ne font pas ce qui leur ai demandé...INADMISSIBLE...Une telle incompétence est voulue et ça mérite une plainte pour rupture de service client !!!</t>
  </si>
  <si>
    <t>08/12/2016</t>
  </si>
  <si>
    <t>demba-c-126258</t>
  </si>
  <si>
    <t>Les prix sont intéressants et permettent en effet de réduire la facture de l'ordre de 40 % dans mon cas, pour les mêmes couvertures que mon ancienne assurance.</t>
  </si>
  <si>
    <t>Zen'Up</t>
  </si>
  <si>
    <t>farrera-l-136935</t>
  </si>
  <si>
    <t xml:space="preserve">Je suis très satisfaite de ce service, les prix sont très raisonnables et la souscription est simple et très rapide. 
Je recommande L’Olivier Assurance </t>
  </si>
  <si>
    <t>11/10/2021</t>
  </si>
  <si>
    <t>frederic-a-104938</t>
  </si>
  <si>
    <t>je suis satisfait très bonnes relations Je suis satisfait du prix et de la démarche commerciale
Très bon interlocuteur a l'écoute et très professionnel</t>
  </si>
  <si>
    <t>fdll-49581</t>
  </si>
  <si>
    <t>Je suis assurée depuis plusieurs années à la Maaf. J'ai été victime d'un cambriolage en 2016 et j'ai contacté un conseiller Maaf pour avoir des renseignements par rapport au montant d'une franchise et pour un autre sinistre pour lequel je n'ai pas donné suite et pour lequel je n'ai pas été indemnisée ils m'ont comptabilisé 3 sinistres au lieu de 1 et résilient mon contrat à la date du 31/12. J'ai envoyé un courrier en recommandé avec AR, j'ai envoyé un mail au service réclamation de la Maaf pour obtenir une attestation stipulant que j'ai eu 1 sinistre et non 3 aucune réponse de leur part...aujourd'hui je suis en grande difficulté pour trouver une autre assureur car soit ils refusent les clients résiliés soient ils refusent les clients ayant plus de 2 sinistres. La Maaf fait cela pour enouveler son portefeuille client. DONC MÉFIANCE AVEC LA MAAF</t>
  </si>
  <si>
    <t>26/11/2016</t>
  </si>
  <si>
    <t>01/11/2016</t>
  </si>
  <si>
    <t>patsy13-86920</t>
  </si>
  <si>
    <t>En décembre 2016, au décès de mon Grand Père, j'ai été bénéficiaire d'une assurance vie Actiplus qu'il avait souscrite. MUTAVIE m'a proposé de réinvestir le capital décès me revenant sur un contrat à mon nom, sans frais sur versement. Ce que j'ai accepté. A l'époque, je n'ai pas vérifié la somme que MUTAVIE a versé sur mon contrat sans aucun détails. Récemment, j'ai pris le temps de procéder au calcul du capital décès versé, en fonction des éléments en ma possession. Au bout du compte, je trouve une somme nettement supérieure à la somme qui m'a été versée, soit 940 euros en ma défaveur. J'aimerais bien qu'on m'explique pourquoi une telle différence.</t>
  </si>
  <si>
    <t>helene--126344</t>
  </si>
  <si>
    <t xml:space="preserve">Je viens d’avoir des réponses très claires avec Georges télé conseiller de Néoliane santé encore merci pour vos explications qui m’ont bien servi….
J’ai réussi à me connecter sans problème sur le site en suivant ses conseils.
</t>
  </si>
  <si>
    <t>04/08/2021</t>
  </si>
  <si>
    <t>endrosia-57340</t>
  </si>
  <si>
    <t>à fuir
Votre avis doit contenir au minimum 200 caractères au total.
Votre avis doit contenir au minimum 200 caractères au total.
Votre avis doit contenir au minimum 200 caractères au total.</t>
  </si>
  <si>
    <t>14/09/2017</t>
  </si>
  <si>
    <t>yannick-s-117874</t>
  </si>
  <si>
    <t>Par comparaison à d'autres assurances en ligne, les démarches et options sont très bien expliquées, et l'ensemble est bien fait.</t>
  </si>
  <si>
    <t>foudrat-e-134317</t>
  </si>
  <si>
    <t>C'est bien pour le moment, mais je n'ai fait que souscrire un contrat. On verra dans les mois à venir si j'ai besoin des services proposés par la couverture de cette assurance</t>
  </si>
  <si>
    <t>24/09/2021</t>
  </si>
  <si>
    <t>franck-125816</t>
  </si>
  <si>
    <t>Ce sont des incompétants.
Depuis plus de trente ans je suis assuré.
Aucun accident aucun accrochage.
Juste une perte de points car je fais plus de 150000km par an.
Je me suis retrouvé avec un solde de points à zero dû à une erreur de calcul de la prefecture.
Chez pacifica du coup ils veulent m assurer comme un jeune conducteur. Tous les moyens sont bon pour ganer un peu plus d argent sur le dos des honnètes gens.
Assureur à éviter absolument.</t>
  </si>
  <si>
    <t>guillaume-65951</t>
  </si>
  <si>
    <t>Assureur sérieux mais assez cher.</t>
  </si>
  <si>
    <t>02/08/2018</t>
  </si>
  <si>
    <t>marielle-101390</t>
  </si>
  <si>
    <t>A fuir ! Résiliation depuis 2 mois. Aucun retour ni remboursement. Prélèvements maintenus. 45 min d’attente par tél sans réponse, ou raccroche au nez.</t>
  </si>
  <si>
    <t>14/12/2020</t>
  </si>
  <si>
    <t>martine-52601</t>
  </si>
  <si>
    <t>Je souhaite changer d'assureur car en tant que fidèle client depuis prés de 30 ans chez Pacifica et sans aucun dommage j'ai déclaré un dégât de 1000 euros suite à la tempête de janvier et il m'a été refusé sans aucune explication par un message téléphonique. Pour information, je payais prés de 1600 euros par an d'assurance avec les maisons que nous avons en location.</t>
  </si>
  <si>
    <t>20/02/2017</t>
  </si>
  <si>
    <t>mozart-61628</t>
  </si>
  <si>
    <t xml:space="preserve">Un suivi de dossier très aléatoire avec souvent de fausses réponses (des mensonges) 
des garages agrées pas compétents  </t>
  </si>
  <si>
    <t>21/02/2018</t>
  </si>
  <si>
    <t>saint-laurent-m-116147</t>
  </si>
  <si>
    <t>Je suis satisfait de cette assurance et des services proposés .Simple et rapide l'adhesion ainsi que les devis 
Les documents arrivent en temps et en heure seul bémol le tarif des franchises</t>
  </si>
  <si>
    <t>06/06/2021</t>
  </si>
  <si>
    <t>renato-53375</t>
  </si>
  <si>
    <t>Tarif en hausse</t>
  </si>
  <si>
    <t>22/03/2017</t>
  </si>
  <si>
    <t>jean-paul-d-106213</t>
  </si>
  <si>
    <t>une trop forte hausse du tarif pack sérénité m'a obligé de ne plus y souscrire en 2021 ,dommage!!car de plus en raison de la pandémie de covid 19 , nous avons moins roulé en 2020 et se sera encore le cas en 2021 et vous ne nous avez rien remboursé au contraire de certaines assurances.</t>
  </si>
  <si>
    <t>11/03/2021</t>
  </si>
  <si>
    <t>rene-d-110036</t>
  </si>
  <si>
    <t>La recherche de mon véhicule par n° d'immatriculation ne fonctionnait pas (pourtant il était auparavant assuré par Direct assurance !).
Le reste de la souscription a été simple.</t>
  </si>
  <si>
    <t>11/04/2021</t>
  </si>
  <si>
    <t>potpot-104258</t>
  </si>
  <si>
    <t>déscisions trés arbitraire sur la responsalbilitée suite a un accident avec un choc a l' arierre de mon véhicule  et cela malgrès des photos qui ont été refusées</t>
  </si>
  <si>
    <t>marthe1970-74917</t>
  </si>
  <si>
    <t>Assurance panne mécanique à fuir à la Matmut ne tient pas ses engagements. La Matmut elle n'assure pas correctement ses assurés.</t>
  </si>
  <si>
    <t>09/04/2019</t>
  </si>
  <si>
    <t>laurent-71516</t>
  </si>
  <si>
    <t xml:space="preserve">j'ai 79 ans et suis assuré par la MAIF depuis 60 ans 
je n'ai jamais eu à déclarer de sinistre sauf en date du 11 février dernier suite à une fuite d'eau dans mon appartement  
après maintes actions pour obtenir un expert , j'ai enfin obtenu satisfaction avec une visite espérée le 28 mars prochain 18H30 
je n'ai à ce jour aucun accord de prise en charge , mon eau est coupée et mon parquet ainsi que mes plinthes sont entièrement gondolées 
afin d'éviter des fuites conséquentes l'eau est coupée et je vie difficilement la situation car plus d'eau chaude , pas de possibilité de laver son linge , la vaisselle etc... 
je suis surpris de ce manque de attention et apitoyé par ceux qui ont été entièrement inondées si ils étaient partenaires de la MAIF  
à 79 ans et après 60 ans de cotisations , je m'attendais à plus de respect mais comme expliqué par les interlocuteurs en charge de mon dossier c'est pour tout le monde pareil donc merci de respecter les délais annoncés 
en 2 mots c'est lamentable et je regrette vivement d'avoir cotisé si longtemps à cette assurance </t>
  </si>
  <si>
    <t>25/02/2019</t>
  </si>
  <si>
    <t>jacky-87719</t>
  </si>
  <si>
    <t>soins dentaires de 2054 euros envoyés le 08 février lu par néoliane le 10 février non remboursés. Aucune réponse, néoliane est dans les abonnés absent.</t>
  </si>
  <si>
    <t>27/02/2020</t>
  </si>
  <si>
    <t>martin-d-125421</t>
  </si>
  <si>
    <t>Très satisfait de la procédure pour s'assurer chez vous discutions simple et rapide de prise en charge au téléphone les dossiers sont complet et simple à comprendre</t>
  </si>
  <si>
    <t>29/07/2021</t>
  </si>
  <si>
    <t>heloisep-99189</t>
  </si>
  <si>
    <t>J'ai souscris a une assurance tout risque il y a 2 ans et j'ai constaté une erreur dans le calcul du coefficient en ma défaveur...la régularisation a été faite mais aucune explication fournie.
Le service client n'est pas efficace. J'ai du relancer pour obtenir une réponse après un mois.
Je suis toujours en attente de la réception d'un relevé d'information. Le conseiller m'avait confirmé par téléphone que je le recevrai dans la matinée par mail. Je vais donc relancer!</t>
  </si>
  <si>
    <t>25/10/2020</t>
  </si>
  <si>
    <t>le-carpentier-q-137334</t>
  </si>
  <si>
    <t xml:space="preserve">PARFAIT
RAPIDITE ET EFFICACITE
PERSONNEL COMPETENT ET COURTOIS
RIEN A REDIRE POUR L INSTANT A JUGER EN CAS DE SINISTRE
PRIX ATTRACTIF ET MENSUALISATION OK
</t>
  </si>
  <si>
    <t>13/10/2021</t>
  </si>
  <si>
    <t>charly-m-132092</t>
  </si>
  <si>
    <t xml:space="preserve">je suis satisfait du service. et des personnes qui m'ont renseigné sur mon devis et du tarif proposé par direct assurance et je recommanderai direct assurance à mes proches. </t>
  </si>
  <si>
    <t>elena-128416</t>
  </si>
  <si>
    <t>À fuir!!! La note est de zéro et on ne peut même pas la mettre. Aucune assistance tout est fait pour ne pas vous assister. 2 pannes en 13 jours... on me propose juste une nuit d’hôtel et tous le reste à notre charge. Service international injoignable, ils filtrent les appels, vous raccrochent au nez et vous font attendre des heures interminables avant de vous proposer des solutions délirantes... ne se soucient pas des clients. Font tout pour ne pas payer le service rapatriement. Aucun professionnalisme et aucune compati on.  Fuyez donc et faites passer le message.</t>
  </si>
  <si>
    <t>cbrd-85664</t>
  </si>
  <si>
    <t>Contrat relevant de l article 757b du cgi - oblige de contracter un crédit pour régler les frais de succession.  SOGECAP ne veut pas régler le capital en-cas de décès du contrat.</t>
  </si>
  <si>
    <t>Sogecap</t>
  </si>
  <si>
    <t>08/01/2020</t>
  </si>
  <si>
    <t>moris-63279</t>
  </si>
  <si>
    <t>Un grand merci à M Batut et son service médical qui a traité mon dossier médicale après une opération d’une tumeur au cerveau , prise en charge de la garantie de mon prêt excellente à conseiller vivement .</t>
  </si>
  <si>
    <t>15/04/2018</t>
  </si>
  <si>
    <t>01/04/2018</t>
  </si>
  <si>
    <t>jegou-m-115771</t>
  </si>
  <si>
    <t>Tout est parfait avec une gestion claire et facilitée, cependant, une gestion par le biais d'une application serait plus aisée.
La signature du document n'était pas simple via le navigateur Web.</t>
  </si>
  <si>
    <t>02/06/2021</t>
  </si>
  <si>
    <t>remi-87689</t>
  </si>
  <si>
    <t xml:space="preserve">Bonjour,
Prélevé à tort pour une voiture vendue il y a plus de deux ans soit plus de 3000e, qu'on refuse de me rembourser (même avec acte de vente et assurance du nouveau propriétaire).
Un autre véhicule assuré chez eux accidenté au mois de décembre 2018, toujours sur le bas-côté de la route et toujours pas remboursé...
Depuis 2/3 ans c'est vraiment n'importe quoi avec eux!
</t>
  </si>
  <si>
    <t>joao-a-110004</t>
  </si>
  <si>
    <t xml:space="preserve">je suis satisfait de votre service le prix et rapidité accueil j'ai parlé avec mes connaissances et ma famille 
vous faites aussi l'assurance de professionnels </t>
  </si>
  <si>
    <t>colin-a-135404</t>
  </si>
  <si>
    <t xml:space="preserve">J ai été parrainé et j ai reçu 50€ainsi que mon parrain.
L adhésion à été rapide et correspondait à mon attente.
Très satisfait de l Olivier assurance </t>
  </si>
  <si>
    <t>croixdusud-89971</t>
  </si>
  <si>
    <t>impossible à joindre au téléphone depuis la pandémie alors que mes autres assureurs ont repris le travail...sinistre en souffrance depuis sept mois sans retour...interlocuteurs injoignables...toujours aucun remboursement alors que 100% victime...demande exhorbitante pour fermer contrat alors que vehicule hs</t>
  </si>
  <si>
    <t>27/05/2020</t>
  </si>
  <si>
    <t>fane-70049</t>
  </si>
  <si>
    <t>Très bonne assurance tant que vous êtes client.  Par contre,  quand vous vous voulez résilier , refus de résiliation sous des prétextes bidons.  A fuir !</t>
  </si>
  <si>
    <t>09/01/2019</t>
  </si>
  <si>
    <t>ronan-74537</t>
  </si>
  <si>
    <t>assureur desagreable en cas sinistre nom prise charge une gestion de staline et l inteligence hitlher a strasbourg au siege? ASSUREUR A DECONCELLER VIVEMENT .</t>
  </si>
  <si>
    <t>10/10/2021</t>
  </si>
  <si>
    <t>gaz-66866</t>
  </si>
  <si>
    <t xml:space="preserve">Bonjour victime d un sinistre voiture inondé le 13aout vehicule declare economiquement irreparable  mon assurance tergiverse ca fait 2 mois que je patiente et doit me debrouiller pour aller bosser si je pouvais dire aux 3 millions de souscripteurs à la matmut de fuir cette assurance je leur dirai tant qu il n arrive rien c est ma matmut ma valeur sure et des qu un sinistre vous arrive c est la matmut qui fait l autruche </t>
  </si>
  <si>
    <t>15/10/2018</t>
  </si>
  <si>
    <t>isabelle--97660</t>
  </si>
  <si>
    <t xml:space="preserve">Plus de 15 ans à la macif et toujours très satisfait 
Tres réactif en tout point 
Prix correct 
Facilement joignable 
Je recommande vivement la macif </t>
  </si>
  <si>
    <t>21/09/2020</t>
  </si>
  <si>
    <t>helene-w-134147</t>
  </si>
  <si>
    <t xml:space="preserve">Satisfait du service proposé. Tarifs et packs très bien penses, service rapide et souscription en ligne facile à mettre en place.  Je recommande vivement direct assurance </t>
  </si>
  <si>
    <t>jean-marc-g-109593</t>
  </si>
  <si>
    <t>Pour l'instant, je suis satisfait du service, espérant ne pas rencontrer de mauvaises surprises en cas d'accident. Autrement, mon interlocutrice a été agréable.</t>
  </si>
  <si>
    <t>alicia-c-122177</t>
  </si>
  <si>
    <t>Bonjour
Je recommande l'olivier assurance le prix et raisonnable 
Je suis trés satisfaite de la plateforme facile à s'enregistrer je recommande à tous le mondes :)</t>
  </si>
  <si>
    <t>cle-68788</t>
  </si>
  <si>
    <t xml:space="preserve">Mon conseiller est Georges. 
Il m'a bien renseigné concernant mes prestations pour le remboursement des frais de podologue et ostéopathe. 
Personne à l'écoute. </t>
  </si>
  <si>
    <t>21/10/2021</t>
  </si>
  <si>
    <t>marine62-102993</t>
  </si>
  <si>
    <t>Assurance pour ma part pas cher et qui récompense chaque année la conduite sans sinistre avec baisse de tarif !
Le traitement des demandes à Toulouse été rapide et efficace.
Je n'ai jamais rencontré la moindre difficulté et en suis satisfaite</t>
  </si>
  <si>
    <t>21/01/2021</t>
  </si>
  <si>
    <t>nicolas-d-134559</t>
  </si>
  <si>
    <t xml:space="preserve">Rapide et efficace. Franchise importante notamment pour les bris de glace. A voir sur la durée l efficacité de la prise en charge en cas de sinistre pour juger </t>
  </si>
  <si>
    <t>26/09/2021</t>
  </si>
  <si>
    <t>chris-96825</t>
  </si>
  <si>
    <t xml:space="preserve">10 fois envoi mes document  il arrive pas  les   lire il redemende  encorer  les document  ilisible  mdr     je les envoyer  les meme  une  autre compagnie   aucun souci      ils son incapable    juste bon prendre les sous   </t>
  </si>
  <si>
    <t>30/08/2020</t>
  </si>
  <si>
    <t>karbator-54227</t>
  </si>
  <si>
    <t xml:space="preserve">Bonjour à tous 
Le maitre mot semble être dichotomie !
Un fossé, un abîme entre la communication commerciale et les intervenants.
J’ai 56 ans je suis à 0,50 auto &amp; moto depuis plus de 14 ans, j’ai eu à la Maaf moto, voiture, Société, appartement perso, appartement des enfants, scooter des enfants …
Un seul dégât des eaux, et un sinistre non responsable scooter il y a 7 ans.
Aucun incident de paiement.
Premier épisode :
Je reçois un avis de suspension de permis pour une durée de trois mois.
Je déclare cela à mon assurance, agence de Levallois, là faisant preuve de tact, une employée me jette à la figure : vous n’estes plus assurable 
Très sympa après le choc d’une suspension de Permis.
Apres négociation avec le tribunal je prouve ma bonne fois, je récupère mon permis et 12 points.
Deuxième épisode :
Ma fille achète son premier véhicule, elle vient juste d’obtenir son permis.
Cherchant a optimiser le tarif je demande par téléphone si il serait possible d’assurer le véhicule à mon nom et de designer ma fille en deuxième conducteur.
Avec toujours autant de courtoisie commerciale il m’est répondu ce sera un refus.
J’ai demandé si cela pouvait être envisageable.
Je crois pour le moins  employer un français correct !
Face à cette attitude contre productive j’ai exprimé mon étonnement à mon interlocutrice.
Lui faisant remarquer qu’entre les efforts du marketing et son attitude grossière, pas dans les mots utilisés mais bien dans la teneur du propos,  il y avait un delta assez phénoménal.
En conclusion 
Il y a des locomotives qui tirent le train et de wagons de queue avec les freins serrés !
Enfin, ayant géré des équipes de ventes il me semble vital de former vos agents de comptoir au sourire.
</t>
  </si>
  <si>
    <t>23/04/2017</t>
  </si>
  <si>
    <t>mariettaz-l-113993</t>
  </si>
  <si>
    <t xml:space="preserve">site agréable et facile d'utilisation ; simple d'avoir  un devis  rapide et clair
Au téléphone personne très sympathique et compétente ; 
contrat souscris rapidement
</t>
  </si>
  <si>
    <t>17/05/2021</t>
  </si>
  <si>
    <t>j-a-n-e-93144</t>
  </si>
  <si>
    <t xml:space="preserve">Ancienne étudiante, mon contrat avec la Smeba finissait en août 2019. Ne résidant plus en France et n'étant plus étudiante je pensais l'affaire close et les prélèvements finis. C'était sans compter sur Harmonie Mutuelle qui a récupéré les portefeuilles de la Smeba sans égard pour les contrats déjà terminés. Cela va bientôt faire un an que je suis prélevée sans mon accord et malgré mes demandes de résiliation et de remboursement intégral. Le centre d'appel est incompétent et la lenteur de traitement non professionnelle. Je suis outrée de devoir me battre pour récupérer mon argent alors que je n'ai jamais signé avec eux. </t>
  </si>
  <si>
    <t>03/07/2020</t>
  </si>
  <si>
    <t>jeanli-86816</t>
  </si>
  <si>
    <t>Je n ai jamais vu une assurance avec si peu d égard. Sinistre datant du 4  juillet 2019 non responsable aucune réponse aux mails pour dire on Vous rappèlera dans 6 jours. 20 a 30 minutes d attente au téléphone mlnlmun</t>
  </si>
  <si>
    <t>Crédit Mutuel</t>
  </si>
  <si>
    <t>06/02/2020</t>
  </si>
  <si>
    <t>didine-107910</t>
  </si>
  <si>
    <t xml:space="preserve">A fuir sans se retourner. Mutuelle en dessous de tout avec des chefs totalement incompétents qui ne relisent même pas le courrier adressé et répondent de travers. 
</t>
  </si>
  <si>
    <t>ayral-t-122955</t>
  </si>
  <si>
    <t xml:space="preserve">Je suis très satisfait de la locution de mon interlocuteur "L'olivier ASSURANCE", de son professionnalisme, et de son apport d'informations claires et précises. Le rapport qualité/prix semble attractif. A voir dans le temps. </t>
  </si>
  <si>
    <t>chahchi-n-130937</t>
  </si>
  <si>
    <t>Je suis satisfaite de votre assurance, de votre service par téléphone et votre tarif me convient par rapport ma première assurance il y’a un an en arrière</t>
  </si>
  <si>
    <t>fatima-boukartouta--96916</t>
  </si>
  <si>
    <t xml:space="preserve">Bonjour ... j'ai étais en arrêt maladie depuis le depuis le 5 juin 2019 Jusqu'au 2 mars 2020 ( ALD) ...
Depuis janvier 2020 mon employeur et moi avons fais le nécessaire pour envoiyer tous les documents nécessaire afin que mon dossier soit traiter et que je puisse bénéficier du complement de salaire ...
Hors depuis janvier 2020 ( mois de la demande de prestation )  AG2R nous fais tourné en bourique .... IL NE VEULENT PAS PAYER ??nous appelons régulièrement pour savoir l'avancement du dossier ... à chaque foi on nous dit qu'il N'ont pas reçu les indemnités mais qu'après verification il disent que oui il ont reçu avec eux il y'a toujours un "mais" ...
On nous parle de Si il s'agit d'une l'ALD alors que le terme est bien préciser sur les documents ...
Tous sa pour faire traîner les choses ...
Vraiment je ne recommande pas cette assurance ... c'est une catastrophe !!!!!
Je compte bien faire appel à ma protection juridique pour qu'il entreprenne les démarche juridique .
</t>
  </si>
  <si>
    <t>alassane-d-126255</t>
  </si>
  <si>
    <t xml:space="preserve">Je suis Satisfait du prix et du service ,je n’ai pas trouver moins chère comme assurance donc je vous remercie ,je recommande directe assurance à tout le monde </t>
  </si>
  <si>
    <t>dandy-72206</t>
  </si>
  <si>
    <t>Ayant besoin de fonds pour faire relais avant la signature de la vente de mon ancien appartement, j'ai demandé des avances 50/50 sur 2 assurances vie: 1 chez Cardif, 1 chez une mutuelle. Au bout de 3 semaines avance mutuelle reçue, au bout de 5 mon conseiller Banque Privé BNP n'en peut plus de demander à Cardif où en est le versement de l'avance et ne sais plus quoi me dire. Problème bénin quand je vois ce qui est raconté sur ce forum mais si ça dure encore quinze jours je vais avoir un problème our signer l'achat de mon nouvel appartement</t>
  </si>
  <si>
    <t>15/03/2019</t>
  </si>
  <si>
    <t>ramon-s-122079</t>
  </si>
  <si>
    <t>je suis satisfait de mon contrat ainsi que du prix qui m,est demandé
je n,ai jamais eu de soucis et j'espère que ça continuera encore longtemps merci encore</t>
  </si>
  <si>
    <t>cantilene67-61903</t>
  </si>
  <si>
    <t xml:space="preserve">Clients depuis deux ans. Conseillers agréables, compétents et faciles à joindre. Nous avons eu besoin d'eux une fois, pour une porte de cave vandalisée (nous n'étions pas les seuls de l'immeuble à en être victimes d'ailleurs). Bon suivi du dossier, bons conseils, la porte a été changée (aux frais du syndic et non aux nôtres comme ils voulaient nous le faire croire : Pacifica à su nous expliquer comment nous défendre !). </t>
  </si>
  <si>
    <t>04/03/2019</t>
  </si>
  <si>
    <t>nadia-m-124114</t>
  </si>
  <si>
    <t xml:space="preserve"> Je suis satisfaite des services de direct assurance pour le moment. Je suis assurée chez vous depuis longtemps, rien à signaler à ce jour. Pas d'autres choses à dire.</t>
  </si>
  <si>
    <t>marie-anne-r-124578</t>
  </si>
  <si>
    <t xml:space="preserve">Prix très compétitif, service client au top pour le moment rien a redire. Je recommande sans problème cette assurance .
Les garanties sont très correctes </t>
  </si>
  <si>
    <t>24/07/2021</t>
  </si>
  <si>
    <t>vero-61447</t>
  </si>
  <si>
    <t>1er quand on vous appelle au tel, on vous met en attente pour une raison inconnue et plus personne au tel après
2ème malgré les nombreuses relances, j'attends toujours le prix de mon assurance voiture que je payerai au 21 avril prochain, pas moyen à ce jour de le savoir malgré ma visite à l'agence de propriano et une relance au téléphone à ajaccio</t>
  </si>
  <si>
    <t>socrate-48984</t>
  </si>
  <si>
    <t xml:space="preserve">Je note Club 14 et non AXA qui n'est qu'un intermédiaire en tant qu agent. . Bref j'ai appelé le siège de Club 14 en accrord avec mon agent pour avoir plus de précision sur mes futur garanties. .. je me suis fait envoyer promener par une pintade au bout du fil ... Celle ci ne voulant pas répondre à mes question ... comme son concurrent MM ou AVM on a à faire à des associations et non pas de vrais assureurs. .  Alors imaginez le jour où il y aura un sinistre ! !!  Bref je ne vais donc pas souscrire à cette assurance car le premier contact n'est pas encouragent et d'ailleurs les commentaires précédents des autres clients sont tout juste à la moyenne </t>
  </si>
  <si>
    <t>22/11/2016</t>
  </si>
  <si>
    <t>nathalie--a-116183</t>
  </si>
  <si>
    <t xml:space="preserve">je suis dans l'ensemble satisfaite en revanche concernant votre partenaire pour assurer les 2 roues n'assure pas les 50 comment fait-on?  C'est un risque pour l'assuré il peut partir ailleurs
</t>
  </si>
  <si>
    <t>trobrillant-d-121262</t>
  </si>
  <si>
    <t>JE SUIS  SATISFAIT DE VOTRE SITE , RAPIDE, SIMPLE, ET EFFICACE. Il MA CONVAINCU DETRE UN NOUVEAU CLIENT CHEZ VOUS. RAPPORT QUALITE PRIX VOUS RESTEZ LES PLUS COMPETITEURS SUR LE MARCHÉ DE L ASSURANCE...</t>
  </si>
  <si>
    <t>zomahoun-g-118011</t>
  </si>
  <si>
    <t>services corrects.
je suis satisfait globalement des services . toute fois j'attends toujours ma carte verte bien que je sois preleve chaque mois depuis le mois d'aout dernier.</t>
  </si>
  <si>
    <t>sf88-108304</t>
  </si>
  <si>
    <t xml:space="preserve">Très mauvaise expérience. Vous avez un sinistre, super accueil, réactivité pour ouvrir un dossier et ensuite c’est juste inacceptable car pas du tout soutenu avec intervention d’expert et chiffrage très loin de la réalité et quand vous réaliser avec facture à l’appui on vous dit de prendre un autre expert au frais de client pour une contre expertise. Très compliqué lorsque vous avez réalisé les travaux. J’ai décidé de payer plus cher mes contrats d’assurance 12 au total. Je demande juste un peu de considération. Je vais changer d’assurance. </t>
  </si>
  <si>
    <t>leo-80331</t>
  </si>
  <si>
    <t xml:space="preserve">bien tant que tout va bien.un sinistre non responsable il y a 8 mois avec dommages corporel pour moi, on me ballade depuis 4 mois pour une expertise médicale qui n'arrive pas. pas de remboursement des réparations sur mon véhicule.pas de suivi de sinistre. je déconseille et repart vers une assurance qui a pignon sur rue. </t>
  </si>
  <si>
    <t>23/10/2019</t>
  </si>
  <si>
    <t>cisqo-111244</t>
  </si>
  <si>
    <t xml:space="preserve">Niveaux prix : c’est dans la moyenne , il y a moins cher avec prestation équivalente ailleurs. 
Par contre gros points noir concernant le service client , impossible de les avoirs au téléphone ou être très patient, j’ai réussi à les avoirs après 2 jours , car au bout de 45 minutes d’attente je raccrochais. De plus si vous souhaitez être rappelé en passant par le site internet et bien tout simplement ils ne vous rappellent pas. </t>
  </si>
  <si>
    <t>22/04/2021</t>
  </si>
  <si>
    <t>guigui-85594</t>
  </si>
  <si>
    <t>Refus de prendre en conte la résiliation fait par une autre mutuelle.
Après acceptation de résiliation, il continue de prélever le montant mutuelle. A fuir!!!!
Apparemment n'accepte pas les résiliations par mail??
Et par recommandé aussi???</t>
  </si>
  <si>
    <t>07/01/2020</t>
  </si>
  <si>
    <t>c-line02-111014</t>
  </si>
  <si>
    <t>Je suis tomber sur une opération aimable et à l’écoute très bien, elle a pu répondre à mon attente avec rapidité et avec efficacité.
Merci à elle.
Très très bien.</t>
  </si>
  <si>
    <t>bj-101647</t>
  </si>
  <si>
    <t xml:space="preserve">Ca fait 8 mois, malgré plusieurs relances en simple et LR+AR, que j'attends le paiement du capital épargné, sans aucune justification, alors que les prélèvements se poursuivent...
Le nombre de mécontents est impressionnant.
</t>
  </si>
  <si>
    <t>23/12/2020</t>
  </si>
  <si>
    <t>le3-77195</t>
  </si>
  <si>
    <t xml:space="preserve">Deux lettres de réclamation pour gestion déplorable de mon dossier qui sont envoyees les 27 et 29 mai et toujours rien ni réponse ni accusé de réception le procès verbal vous à été retourne le 17 juin pour le règlement d une provision corporelle l argent n est toujours pas sur mon  compte le rôle d un assureur est de compliquer la gestion d un sinistre  </t>
  </si>
  <si>
    <t>28/06/2019</t>
  </si>
  <si>
    <t>noemie-s-117478</t>
  </si>
  <si>
    <t xml:space="preserve">Je suis satisfaite de mon assurance automobile, les prix sont très satisfaisant 
Je conseille cette assurance 
Conseillé très qualifiés 
Merci 
</t>
  </si>
  <si>
    <t>thierry-123670</t>
  </si>
  <si>
    <t>Merci à la MGEN pour toutes les GALERES auxquelles nous sommes confrontés depuis le COVID. Impossible d'avoir une attestation puisque pas sur améli. Astuce : on peut l'obtenir dans certaines pharmacies qui réalisent les tests ! (astuce apprise sur ce forum, merci les internautes, plus au courant que notre mutuelle). Pas de réception de sms SIPEP pour joindre les attestations sur l'appli Tous antiCovid, donc on voyage avec les résultats papiers, étant persuadé qu'il va y avoir qq accrochages !
Il est grand temps que la MGEN cesse de gérer notre sécurité sociale !!! et que nous puissions être inscrit sur Ameli ! On nous renvoie aussi sur France Connect, l'usine à gaz qui ne fonctionne pas (ne reconnait pas mon e-mail, mais me dit que cet e-mail est déjà attribué quand je veux recréer un compte !!!). MERCI LA MGEN ! (j'ai mis 1 étoile car on ne pouvait pas mettre 0)</t>
  </si>
  <si>
    <t>17/07/2021</t>
  </si>
  <si>
    <t>carcala-55765</t>
  </si>
  <si>
    <t xml:space="preserve">Objet Relance dossier sinistre du 15 04 2017
Réf  4373762907 S01 CLY
Madame Monsieur
Le 09 juin 2017 je vous ai adressé un premier courrier, auquel vous m’avez apporté une réponse laconique et souhaitiez m’indiquer que votre attention était portée sur mon dossier qu’il serait à l’étude et aboutirait à une réponse dans les plus brefs délais 
Votre courrier était daté du 12 juin 2017 et ce jour malgré mon appel téléphonique du 19 juin je n’ai toujours aucune information
L’absence de réponses et le flou dans lequel vous me laissez ne sont pas sans impact sur moi car cela me pèse et me laisse littéralement en suspend et m’affecte au quotidien causant un stress permanent
Je vous ai confié ma tranquillité  en cas de problèmes liés à mon habitat et je me retrouve malgré tout dans une grande détresse car vous ne semblez portez aucune empathie dans le traitement de vos dossiers et ne savez pas faire montre de bientraitance
Je vous adresse cet ultime désarroi en vous demandant de me libérer de cette dépendance psychologique que vous avez sur moi et me sortir de ce cycle quotidien pendu à une attente de réponse qui ne vient toujours pas
Tous les gestes du quotidien me rattachent à vous et à mon impuissance d’aller de l’avant car je suis resté bloqué au 15042017 Quelles sont donc les valeurs que vous portez indépendamment de la dimension économique quel intérêt portez-vous à la considération humaine  J’ai besoin de votre réponse pour savoir quoi faire Vous avez depuis plusieurs semaines le rapport d’expert Vous ne me produisez aucune réponse me privant ainsi d’exercer mes droits 
LIBEREZ MOI je vous en prie 
</t>
  </si>
  <si>
    <t>03/07/2017</t>
  </si>
  <si>
    <t>enguerrandriviere-93931</t>
  </si>
  <si>
    <t>Cela fait 3 ans que je suis assuré chez l'Olivier Assurance Auto. Et franchement, je suis super satisfait. J'ai un pack Tiers Confort + qui me soulage de tous stress si je tombe en panne de voiture, n'importe où. Le service clients est génial et toujours à l'écoute.</t>
  </si>
  <si>
    <t>13/07/2020</t>
  </si>
  <si>
    <t>mao-106684</t>
  </si>
  <si>
    <t>J'ai envoyé un mail en soumettant une question car je n'avais pas envie de faire 25 km pour me déplacer à l'agence. Une conseillère m'a contactée en me proposant un RV. J'ai refusé en lui demandant de répondre à ma question mais elle m'a répondu en être incapable et devoir prendre un RV avec un conseiller en agence.....Contrainte et forcée de faire les 25 km A/R, je me suis au final (comme je le préssentais) déplacée pour rien vu que le conseiller ne pouvait, lui non plus, répondre à ma question. En revanche, il a insisté lourdement pour me vendre un contrat d'épargne (que j'ai refusé) et  a voulu connaître les conditions de mon assurance voiture  qu'il n'a pas eues (non assurée à la macif).....bref, perte de temps, déplacement inutile et j'ai trouvé finalement réponse à ma question sur internet....
Une semaine plus tard, j'ai eu la curiosité d'établir un devis auto sur leur site. A peine, j'ai regardé les différentes options que la macif m'a téléphoné parce que je faisais justement un devis... 
Mon avis :on vous cale des RV pour combler le planning des conseillers en agence, démarche commerciale agressive dès l'instant où vous consultez leurs différentes offres sur leur site. En ce qui me concerne, c'est inacceptable</t>
  </si>
  <si>
    <t>15/03/2021</t>
  </si>
  <si>
    <t>nesp-56975</t>
  </si>
  <si>
    <t>- Démarche téléphonique au client (âgé de préférence)
-Prétexte changement de nom de la mutuelle actuelle, il faut alors valider ce changement par la signature (électronique il va de soit c'est plus rapide...) dudit client, qui ne possède pas ce moyen de communication, qu'à cela ne tienne, les coordonnées téléphoniques d'un membre de la famille, équipé lui, feront l'affaire.
Ledit membre : un enfant dans mon cas, signe sans méfiance le document, croyant sur parole lui aussi mais à tort qu'il s'agit simplement d'une banale formalité (il faut faire sérieux tout de même !!) A ce moment là, ne plagions pas De La Fontaine et son corbeau mais tout est cuit ...où est l'éthique ?</t>
  </si>
  <si>
    <t>30/08/2017</t>
  </si>
  <si>
    <t>dos-santos-silva-d-138291</t>
  </si>
  <si>
    <t>plutot satisfait mais impossible de mettre un RIB N26 qui commence par DE !!
cette limitation est embêtante pour nous !
la gamme des prix est correct maintenant il faut voir la qualité du service si jamais il y a sinistre.
cordialement</t>
  </si>
  <si>
    <t>26/10/2021</t>
  </si>
  <si>
    <t>richard-j-124345</t>
  </si>
  <si>
    <t xml:space="preserve">Rien à dire , simple pratique et tarif correct. Réponses claires et trés bon accueil.
Voir à l 'usage et en cas de sinistre mais pour l 'instant tout se passe correctement </t>
  </si>
  <si>
    <t>bernadet-m-114778</t>
  </si>
  <si>
    <t xml:space="preserve">L'inscription à cette assurance est rapide, elle est efficace. Et en comparaison à d'autres assurances (beaucoup moins chère) je payais le double chez un concurrent pour un ancien contrat.. </t>
  </si>
  <si>
    <t>25/05/2021</t>
  </si>
  <si>
    <t>legresy-j-124363</t>
  </si>
  <si>
    <t>TAXE APRÈS DEVIS TROP ÉLÉVÉ ! IL FAUT PRÉVENIR AVANT DE PAYER ET L'INCLURE DANS LE DEVIS, LE SERVICE CLIENT TÉLÉPHONIQUE EST TRÈS MOYEN, HEUREUSEMENT QUE VOUS RESTEZ DANS UN PANIER MOYEN NIVEAU TARIFAIRE</t>
  </si>
  <si>
    <t>terelandes-65053</t>
  </si>
  <si>
    <t xml:space="preserve">Atteinte d'un cancer, je prete mon 4/4 a ma fille pour partir a la neige aux vacances de février. Je le récupere rayé suite a des coups de pelle pour le deneiger et avec une calandre abimée. Le véhicule n'a pas bougé pendant une semaine entiere du parking Innocemment je fais une déclaration a la Maif qui demande a ma fille sa déclaration, ce qui est fait. il n'y a qu'avant hier que j'ai enfin eu la réponse de la MAIF. Figure comme auteur une personne que je ne connais pas ce qui montre bien la maniere dont la  déclaration de ma  fille a été lue ou plutot pas lue par la personne chargée du dossier puis un refus de prise en charge des dommages malgré la formule "tout risques". Le courrier de la chargée du sinistre est consternant; acte de vandalisme intentionnel, vehicule non stationné pour la calandre etc....un compte rendu de rapport d'expert pour le moins curieux qui juge , ce qui n'est pas a mon sens son role. Donc si vous déneigez votre véhicule vous faites expres de le rayer!! et si on vous abime l'avant c'est parceque vous roulez. Conclusion refus de prise en charge. 35 ans d'assurance,50% de bonus et des sommes versées pour rien. Non la solidarité, la fraternité représentées dans le triangle de la MAIF sont un mensonge et il faut se poser la question du conflit d'interet entre cabinets d'expertises et assureurs ainsi que des directives données pour limiter les prises en charge. Multipliez 700 euros par 32 et ca fera la somme que j'ai betement versée pour que le seul sinistre ne soit pas remboursé. Merci a la MAIF de ne pas mettre son commentaire laconique. Je pense contacter Julien Courbet en tant que consommatrice qui se sent lésée     </t>
  </si>
  <si>
    <t>didge-58343</t>
  </si>
  <si>
    <t>UN BRIS DE GLACE   DEUX ACCIDENT NON RESPONSABLE   CE QUI DONNE QUE JE SUIS RESILIER COMME UN CHIEN ET J AI UN BON BONUS     LA GMF QUIBSE VANTE D ETRE ASUREMENT HUMAIN EST  UNE HYPOCRISIE TOTALE</t>
  </si>
  <si>
    <t>24/10/2017</t>
  </si>
  <si>
    <t>omar-i-130035</t>
  </si>
  <si>
    <t>Satisfait du service en attendant d avoir un conseiller pour les détails concernant les changements d option ou autre donc a confirmé mais les prix sont intéressants.</t>
  </si>
  <si>
    <t>29/08/2021</t>
  </si>
  <si>
    <t>mamadu-s-125826</t>
  </si>
  <si>
    <t>Je suis très satisfait au niveau du service, de la qualité du service prestes au client et le prix me convient convient parfaitement...,..
.....</t>
  </si>
  <si>
    <t>emma-m-136864</t>
  </si>
  <si>
    <t>Je pense être satisfaite dans les jours suivant quant à ma mutuelle ! C’est très simple pour s’en créer une. Facile d’accès et de création. Les prix sont abordables.</t>
  </si>
  <si>
    <t>fab-127438</t>
  </si>
  <si>
    <t xml:space="preserve">Aucun remboursement si vous n'envoyez pas l'intégralité de toutes les factures même chez un généraliste ....
Santiane vous répond qu'ils ne savent pas la quote part que nous avons payé !!!!!
Pourtant la sécurité sociale m'envoie régulièrement les bordereaux de remboursement en me précisant transmission faite à votre organisme de mutuelle.... Un scandale à fuir absolument.
J'envoie ce jour ma demande de résiliation au moins ils ne pourront pas dire qu'ils ne l'ont pas !!!!!
</t>
  </si>
  <si>
    <t>10/08/2021</t>
  </si>
  <si>
    <t>aucun-pseudo-101593</t>
  </si>
  <si>
    <t xml:space="preserve">le coût de la prime est assez élevé mais c'est logique par rapport aux remboursements des frais de santé
J'ai beaucoup de problèmes avec ma connexion (mot de passe incorrect )
même après vous avoir contacté , pas de réponse à mes demandes de reconnexions !!!
</t>
  </si>
  <si>
    <t>rahim-m-116797</t>
  </si>
  <si>
    <t>Bonjour, disposant de nombreux contrat auto, une remise durable seraient appréciable.
Toujours étonnant, les tarifs proposés sur internet et tarifs proposés par le conseiller sont différents, pour un même véhicule</t>
  </si>
  <si>
    <t>11/06/2021</t>
  </si>
  <si>
    <t>bibe-c-112324</t>
  </si>
  <si>
    <t>Je suis ravie de souscrire à nouveau pour un second véhicule. Niveau souscription internet pas trop simple mais sa fonctionne quand-même niveau tarif c'est raisonnable.</t>
  </si>
  <si>
    <t>mahir-h-124328</t>
  </si>
  <si>
    <t>Bonjour,
La souscription sur le site est simple et claire, avec une distinction des garanties optionnelles.
Parfait, rien à ajouter.
Merci direct assurances</t>
  </si>
  <si>
    <t>cherv-71221</t>
  </si>
  <si>
    <t xml:space="preserve">Je suis en train d'essayer de joindre Allianz depuis exactement 46 minutes.. A chaque fois je suis envoyé d'un service à un autre, d'un numéro à un autre avec 15 minutes d'attente à chaque fois bien sure... Quand on ne me racroche pas au nez... J'appele pour un probléme de virement de trois fois le prix de ma cotisation, d'ou ma mauvaise note pour le prix aussi, qui est de base en effet peu chère... Mais bon.. </t>
  </si>
  <si>
    <t>12/02/2019</t>
  </si>
  <si>
    <t>lydie-77785</t>
  </si>
  <si>
    <t>Bonjour
Je demande des explications sur des remboursements partiels depuis des mois.... Cette mutuelle fait la sourde oreille a toutes mes demandes. Impossible de correspondre avec une personne et de joindre quelqu'un en direct.. Je vous deconseille cette mutuelle absolument.</t>
  </si>
  <si>
    <t>20/07/2019</t>
  </si>
  <si>
    <t>mart-96113</t>
  </si>
  <si>
    <t xml:space="preserve">Mon époux est décédé depuis janvier 2020. Axa lui doit un capital décès et à ce jour, pas de nouvelles. Étant salarié je dois passé par les ressources humaines de son entreprise étant en CDI et bénéficiait d'un emploi retraite, il cotisait pour une prévoyance santé. Je trouve honteux que son capital décès ne soit pas réglé à ce jour. On laisse la famille endeuillée dans de gros problèmes comme toujours. </t>
  </si>
  <si>
    <t>10/08/2020</t>
  </si>
  <si>
    <t>marion--94583</t>
  </si>
  <si>
    <t xml:space="preserve">Cliente AXA depuis presque 10 ans je suis surprise de la difference de tarif.
Dans l'attente d'un contact téléphonique de votre part. 
Je desire garder mes conditions d'assurance AXA </t>
  </si>
  <si>
    <t>19/07/2020</t>
  </si>
  <si>
    <t>kouao-j-111210</t>
  </si>
  <si>
    <t xml:space="preserve"> J'y suis client depuis 5 ans. Pour le moment j'ai un seul sinistre et ça s'est très bien passé. j'ai désormais 2 voitures assurées chez eux. Côté Tarif cest tip top. coté réactivité également.</t>
  </si>
  <si>
    <t>jambon-135015</t>
  </si>
  <si>
    <t xml:space="preserve">L'attente au téléphone est interminable.
Le suivi des sinistres sur internet est vide sans historique.
Aucun véritable accompagnement
tout est oral, rien n'est ecrit
</t>
  </si>
  <si>
    <t>laure8910-97174</t>
  </si>
  <si>
    <t xml:space="preserve">Je suis à la MAAF depuis 30 ans sans aucun accident. Malencontreusement j'ai reculé 2 fois ds la cour de chez moi sans faire attention et j'ai abîmé la voiture de mon conjoint. Je n'ai tué personne et n'ai pas provoqué d'accident grave sur la route. Malgré leur soit disant bonus à vie (très drôle) ils m'ont mis un malus et en plus ont augmenté ma franchise de 300 € !! Je suis dégoûtée. Je suppose qu'ils veulent que je les quitte pourtant les réparations n'ont pas du leur coûter bien chère !  Voilà comment on est traité a la MAAF après 30 ans de fidélité ! </t>
  </si>
  <si>
    <t>08/09/2020</t>
  </si>
  <si>
    <t>langdom86-58142</t>
  </si>
  <si>
    <t xml:space="preserve">Concernant mon contrat d'assurance habitation chez AXA, mon avis sera rapide. Jamais eu besoin de l'assistance et jamais eu de sinistre. Par contre, une belle augmentation d'année en année (sans modification de mon contrat, sans sinistre, sans besoin d'assistance). En résumant: 97 euros la première année, 109 euros en 2014, 116 euros en 2015, 135 euros en 2016 et ... 195 euros en 2017! Alors là non... Après plusieurs appels au service client pour en savoir plus, aucunes explications sérieuses (augmentation des taxes, de la sinistralité, des décrets, etc etc...). Bref résiliation et visite à la concurrence, bien moins chères.  </t>
  </si>
  <si>
    <t>18/10/2017</t>
  </si>
  <si>
    <t>brunet-c-124015</t>
  </si>
  <si>
    <t>Je suis satisfait, très rapide de s'assurer, gain de temps...
Beaucoup d'options, même pour un véhicule d'occasion.
Merci encore pour la rapidité .
merci</t>
  </si>
  <si>
    <t>julien-p-122354</t>
  </si>
  <si>
    <t>Simple et efficace, prix un peu élevé pour une vieille moto sans valeur et avec la plus faible couverture possible sans options et stationnement dans un jardin privé clos</t>
  </si>
  <si>
    <t>05/07/2021</t>
  </si>
  <si>
    <t>brossard-l-122269</t>
  </si>
  <si>
    <t>je suis satisfait du prix.
Il faudrait plus de concentration pour la personne qui nous répond au téléphone.
Devis rapide et possibilité d'accés à l'espace perso pratque.</t>
  </si>
  <si>
    <t>03/07/2021</t>
  </si>
  <si>
    <t>farah-b-117359</t>
  </si>
  <si>
    <t>je suis très satisfaite de services et des prix appliqué .
très sérieux.
le site est très pratique et simple d 'utilisation
je recommande qualité prix.</t>
  </si>
  <si>
    <t>17/06/2021</t>
  </si>
  <si>
    <t>le-roux-j-138349</t>
  </si>
  <si>
    <t>Service client comprehensif et reactif, du moins a l inscription.
Les informations liees au parainage et au versement de la remise sont peu claire. Cdlt.</t>
  </si>
  <si>
    <t>artgitateur-75570</t>
  </si>
  <si>
    <t xml:space="preserve">bonne assurance en general. Très bien placé pour les assurances moto. </t>
  </si>
  <si>
    <t>02/05/2019</t>
  </si>
  <si>
    <t>benoit-v-115415</t>
  </si>
  <si>
    <t>Assurance établie rapidement et tres efficace. 
Prix très satisfaisant. 
Je ne regrette pas mon choix sachant que c est ma première assurance moto en 125</t>
  </si>
  <si>
    <t>fernando--101735</t>
  </si>
  <si>
    <t>Très mauvais,2h30 dans le froid à attendre la dépanneuse avec mes deux filles 14 e 11 ans.
La réponse de l assurance ,c’est normal c’est la moyenne .
A éviter.</t>
  </si>
  <si>
    <t>21/12/2020</t>
  </si>
  <si>
    <t>grellety-m-122632</t>
  </si>
  <si>
    <t>C'est une bonne assurance, je la recommande vivement, elle n'est pas chère, même en tout risque, tout est informatisé, ce qui facilite les démarches, je recommande</t>
  </si>
  <si>
    <t>07/07/2021</t>
  </si>
  <si>
    <t>tedoum-53357</t>
  </si>
  <si>
    <t>Ok pour 2 ou 3 ans, après vous etes moutonisé...</t>
  </si>
  <si>
    <t>17/03/2017</t>
  </si>
  <si>
    <t>tourneru-81184</t>
  </si>
  <si>
    <t>je suis dégoutée par cette assurance, 35 ans de fidelité pour rien, ma maison a été sinistrée par la sécheresse et depuis juin 2019 je me bats pour être indemnisée, son expert a préconisé une reprise en sous oeuvre mais la matmut refuse et a commandé juste un agrafage des fissures en sachant très bien que ca ne tiendra pas et que ca ne va pas suffire pour empecher ma maison de s'affaisser davantage.</t>
  </si>
  <si>
    <t>21/11/2019</t>
  </si>
  <si>
    <t>boucanier-123248</t>
  </si>
  <si>
    <t>Pas de soucis, tarifs en rapport avec l'âge et le genre de la moto, nombre d'années de conduites pris en compte. Pas de sinistres à déclarer, donc je ne peux juger du traitement de ceux ci, mais le reste des rapports est efficace, donc peu d'inquiétude à ce sujet.</t>
  </si>
  <si>
    <t>12/07/2021</t>
  </si>
  <si>
    <t>alain-t-133382</t>
  </si>
  <si>
    <t xml:space="preserve">Pour un premier essai rien à redire, tarifs,facilité, accessibilité même week-end,j en avais entendu parler et je voulais voire par moi même j attends de voire la suite qui je l espère bien essayons à bientôt </t>
  </si>
  <si>
    <t>hali-97086</t>
  </si>
  <si>
    <t>bonjour,deux jours pour réassuré un autres véhicule part téléphone,balancer d un service a l autres sans résultat a plusieurs fois 13 minute d attente pour être mis a un autre service,allianz puis eallianz et me dire calyso. bref déçu.</t>
  </si>
  <si>
    <t>07/09/2020</t>
  </si>
  <si>
    <t>nanou-95753</t>
  </si>
  <si>
    <t xml:space="preserve">Bonjour. Moins 5 étoiles n'est pas possible, dommage. Un minimum de 55 ans d'assurance de la part de mes parents chez cette enseigne, quel qu'ait été leur adresse, puisque militaire, puis policier, qui n'est même pas à fuir, mais à ignorer. Simplement. J'ai 60 ans, eux 90 et 86 ans. Je souhaitais renégocier leurs contrats, une chose qu'ils n'ont jamais faite, car la confiance était pour eux, plus qu'un mot. Ma mère va rentrer en Ephad (Parkinson), mon père un peu plus autonome attend qu'une place se libère pour la rejoindre. Avec de faibles moyens chaque euro compte pour préparer leur future vie. Mais il ne faut pas compter sur les conseillers de Narbonne pour espérer de l'empathie. Chez eux un vieux contrat ne se renégocie pas, sinon il sera plus cher. Qu'il s'agisse de surface, de valeur de mobilier peu importe. S'il doit être modifié tant pis pour nous. 290 euros pour 50m2 c'est le prix(170 chez une autre mutuelle connue), et en guise de chantage, d'après notre interlocuteur du jour (11h30) il nous est impossible d'aller ailleurs en raison de l'âge du souscripteur. N'est ce pas là de la discrimination ? Pour la voiture, mêmes considérations. A 91 ans, mon père parcourt 14 kms par semaine pour ses courses. Je n'exclue aucunement les risques lié à cet état. Mais la Loi lui permet d'utiliser son véhicule. J'ai souhaité alléger les mensualités de l'assurance auto. Tous risques pour une Fiesta de 2004 c'est osé. Grand déballage de ce conseiller sur les risques; le remboursement probable de 2100 euros qui permettrait d'acheter un véhicule d'occasion ou d'ajouter cette somme pour l'acquisition d'un modèle plus cher. Raisonnement pas plus logique au vu de son âge. Le raisonnement à la limite irrespectueux de mon interlocuteur Mr Frederic M. qui a raccroché avant la fin de mes salutations, ses répliques cinglantes que corroborent paraît il ses calculs sur son logiciel, sont autant d'indicateurs de l'état dans lequel vous tient cet assureur qui certifie que sur ces contrats il fait son maximum. </t>
  </si>
  <si>
    <t>lumix-63698</t>
  </si>
  <si>
    <t>je suis très déçu et je décommande absolument de souscrire un contrat chez Afer, toutes les formalités sont extrêmement longues, les délais ne sont pas respectés lors d'un retrait, frais de gestions chuchotés lors de la souscription et qui SONT de 0,479%, que des frais et un rendement qui frise le ridicule</t>
  </si>
  <si>
    <t>16/11/2018</t>
  </si>
  <si>
    <t>01/11/2018</t>
  </si>
  <si>
    <t>pasbonaxa-56150</t>
  </si>
  <si>
    <t>Procédés abusifs ,des garanties noyées dans le contrat,
non respect des engagements.Désorganisation entre le siège social  et les agences.Deux discours différents.Je déconseille il y a mieux.</t>
  </si>
  <si>
    <t>20/07/2017</t>
  </si>
  <si>
    <t>passi-f-113290</t>
  </si>
  <si>
    <t>Très très satisfaite, de vos prix imbattables, de l'écoute des conseillers et de leur gentillesse, des explications donnés et de la clarté des offres.</t>
  </si>
  <si>
    <t>lannette-claverie-m-125456</t>
  </si>
  <si>
    <t xml:space="preserve">Très bon accueil pour un premier contact, agent très pro et connaissant parfaitement le domaine. Les tarifs sont intéressants pour certain véhicules, moins pour d'autres. </t>
  </si>
  <si>
    <t>raf666-89765</t>
  </si>
  <si>
    <t>Victime d'une supercherie à la souscription</t>
  </si>
  <si>
    <t>19/05/2020</t>
  </si>
  <si>
    <t>dominique-95813</t>
  </si>
  <si>
    <t>Très compliqué..... Depuis 3 semaines on me demande un relevé d'information que je transmets mais qui ne leur convient jamais.(un adressé depuis 2014 quand même.....)
Je suis très déçu.J'ai eu les coordonnées de cette assurance par les Furets.com.
Mais maintenant je suis convaincu qu'il faut avoir une personne en face de soit afin de se comprendre......
De plus la conseillère que j'ai eu au téléphone plusieurs fois a été très désagréable.</t>
  </si>
  <si>
    <t>kaly-70277</t>
  </si>
  <si>
    <t>18/01/2019</t>
  </si>
  <si>
    <t>patrick-l-116245</t>
  </si>
  <si>
    <t>Interlocutrice très sympathique et précise dans ses explications.un site à retenir dans cette jungle de proposition d’assurance moto.
Bravo encore à Melina</t>
  </si>
  <si>
    <t>dume-130987</t>
  </si>
  <si>
    <t>Contrat auto n'est pas le moins cher du marché mais lorsqu'un sinistre survient la prise en charge est tout à fait satisfaisante en terme de délai et d'indemnisation.</t>
  </si>
  <si>
    <t>03/09/2021</t>
  </si>
  <si>
    <t>farescour-t-122252</t>
  </si>
  <si>
    <t>Simple, pratique et rapide
Je suis satisfait par ce service
La signature est rapide 
Je n'ai pas bien compris comment parapher les pages cependant
Je vérifierai dans le document signé</t>
  </si>
  <si>
    <t>pereira-m-131585</t>
  </si>
  <si>
    <t>Je suis satisfait des devis et très bien expliqué, gens compétents que nous avons eu au téléphone aujourd'hui.Nous verrons par la suite et nous aviserons.</t>
  </si>
  <si>
    <t>06/09/2021</t>
  </si>
  <si>
    <t>coco-61308</t>
  </si>
  <si>
    <t xml:space="preserve">Assurée chez eux depuis 8 ans normalement la franchise est offerte si trois ans sans sinistres et bien on me l à retirée quand même de mon indemnisation alors que je suis chez eux depuis 8 ans sans sinistre ni véhicule ni logement
</t>
  </si>
  <si>
    <t>10/02/2018</t>
  </si>
  <si>
    <t>zoubeir-b-114039</t>
  </si>
  <si>
    <t>je suis très satisfait  je ne m'attendait pas un suivi très clair et professionnel
j'aurais su je serais venu plus tôt superbe  conseillé tes aimable et au top a répondu a toutes mes questions et a pris le temps de m'écoute je recommande vivement au top vos conseillés</t>
  </si>
  <si>
    <t>18/05/2021</t>
  </si>
  <si>
    <t>gosselin-l-122718</t>
  </si>
  <si>
    <t>J'étais satisfaite de mon assurance précédente cependant je la trouvait très onéreuse l'offre de l'olivier semble se rapprocher de mon contrat précédent tout en étant beaucoup moins cher</t>
  </si>
  <si>
    <t>bewans-25340</t>
  </si>
  <si>
    <t xml:space="preserve">+de 30 ans de Macif , 1 cambriolage de mon appart , 3 autres egalement ont ete visité dans l'immeuble , même procedé ,même abscence , 3 sont pris en charge par leur assurance ,1 seul NON le notre </t>
  </si>
  <si>
    <t>02/08/2017</t>
  </si>
  <si>
    <t>helene--d-121183</t>
  </si>
  <si>
    <t>Satisfaite puisque puisque cela fait 30 ans que je suis chez Direct Assurance. J’ai trouvé un peu moins cher ailleurs mais votre site est très pratique et on peut vous joindre facilement.</t>
  </si>
  <si>
    <t>sonia-67321</t>
  </si>
  <si>
    <t>Une fidélité de 20 ans pour s'apercevoir en fin de compte que l'on n'est pas défendu ! Notre maison et nos meubles ont été détruits par un tiers et l'assurance nous a "généreusement" fait une avance de 2000 euros pour nous reloger en urgence (cela a juste payé les 2 mois de caution et le mois en cours). Nous n'avions pas d'argent pour nous remeubler et avons galéré pendant des mois.
 Par après, le service juridique a perdu les justificatifs des pertes qu'on avait fournis, et ne s'est pas porté partie civile, nous faisant perdre tous nos droits.
Quand une famille subit un tel traumatisme en perdant tous ses biens, elle doit utiliser toute son énergie pour avancer et se reconstruire. C'est juste horrible de s'apercevoir qu'il faut se débrouiller seuls alors qu'il ne nous reste plus rien (adieu meubles, vêtements, papiers administratifs...). 
On n'a pas la force de se battre en plus contre son propre assureur. C'est la raison pour laquelle j'en suis partie.</t>
  </si>
  <si>
    <t>04/10/2018</t>
  </si>
  <si>
    <t>delle-monache-l-116773</t>
  </si>
  <si>
    <t>Personnel aimable prix correct pour une voiture assez puissante 143 cv pour un permis de 1 ans sans anné d'assurance eventaille de garantie varié je recommande au jeune permis</t>
  </si>
  <si>
    <t>cyril-d-109911</t>
  </si>
  <si>
    <t>Je suis satisfait du service et des prix, cependant je ne comprends pas qu'on paye 2 mois à l'avance.
De plus je trouve le prix un peu excessif quand on mensualise par rapport au paiement annuel.</t>
  </si>
  <si>
    <t>10/04/2021</t>
  </si>
  <si>
    <t>babette-62648</t>
  </si>
  <si>
    <t>rien de particulier à dire en commentaire, je l'ai testée pendant plusieurs années prise par le biais du crédit agricole</t>
  </si>
  <si>
    <t>24/03/2018</t>
  </si>
  <si>
    <t>gaby-r-106699</t>
  </si>
  <si>
    <t>Je trouve que tous les ans le prix de mes 5 contrats augmente régulièrement, sans que je comprenne pourquoi? au final sur l'année cela représente plus de 500 € d'augmentation.</t>
  </si>
  <si>
    <t>claude-70382</t>
  </si>
  <si>
    <t>Assuré depuis 40 ans, jamais de sinistre. Une inondation en juin, une proposition d'indemnisation après la venue de l'expert qui traîne 1 mois, Comme l'intégralité des dégâts avait mal été évaluée et que la somme prévue pour la réfection de mon rez-de-chaussée est bloquée pour une raison inconnue l'expert revient et la proposition de remboursement traîne à nouveau, rien au bout d'1 mois. Lettre à la DG, message aux délégués, plusieurs appels sur la plateforme, rien ne se passe! C'est honteux!</t>
  </si>
  <si>
    <t>20/01/2019</t>
  </si>
  <si>
    <t>nenot-s-109694</t>
  </si>
  <si>
    <t xml:space="preserve">Merci je vous suis très reconnaissant pour tout. Je vous trouve très efficace surtout ne changez pas et je vous recommanderais à des personnes proches. Merci.
</t>
  </si>
  <si>
    <t>stephane64-58367</t>
  </si>
  <si>
    <t>J' espère que l' olivier se mettra aussi a l' assurance habitation afin que j' y adhère</t>
  </si>
  <si>
    <t>25/10/2017</t>
  </si>
  <si>
    <t>chacha05-103080</t>
  </si>
  <si>
    <t xml:space="preserve">Leur prix sont attractifs mais la seconde année ce n'est plus du tout le cas, soit disant que le nombre d'accidents et de vols a augmenté dans votre ville en ce qui concerne votre voiture. Autre problème rencontrer avec eux, c'est que malgré que mon contrat ait à ce jour un an il n'accepte pas la résiliation alors que la demande a été faite dans les règles et par mon futur assureur. Je suis déçue de cette assurance. </t>
  </si>
  <si>
    <t>22/01/2021</t>
  </si>
  <si>
    <t>charles1066-66166</t>
  </si>
  <si>
    <t>Simplicité et fiabilité</t>
  </si>
  <si>
    <t>13/08/2018</t>
  </si>
  <si>
    <t>bourdier-brigandet-l-117199</t>
  </si>
  <si>
    <t xml:space="preserve">Simple et pratique prix abordable
Dommage que les cartes maestro ne soient pas acceptées lors du paiement. Les prix pourraient etre plus compétitif eu egard aux prix pratiqué par la concurrence. 
</t>
  </si>
  <si>
    <t>tom-j-129139</t>
  </si>
  <si>
    <t xml:space="preserve">Je suis satisfait, les prix sont intéressant. Cela va vite et tout est bien expliqué. Cette assurance, assure c’est client  pour pas trop cher. J’espère qu’elle sera là en cas de besoin. </t>
  </si>
  <si>
    <t>geo-80898</t>
  </si>
  <si>
    <t>Assurance sans interet, garantie en dessous de la moyenne pour des tarifs au dessus de la moyenne Est capable de résilier votre contrat sans aucun motif.   Pas fiable, aucun interlocuteur. je vous déconseille fortement. il y a beaucoup plus sérieux sur le marché.</t>
  </si>
  <si>
    <t>11/11/2019</t>
  </si>
  <si>
    <t>honorine-l-108532</t>
  </si>
  <si>
    <t xml:space="preserve">Assurance à fuir totalement depuis le 1 mois j'ai eu un accident ou l'autre conducteur est totalement responsable car il brûle un stop, ou l'on a considéré ma voiture comme vei au bout de 2 semaines seulement un expert diagnostic qu'elle est réparable. Le garage me dit aujourd'hui qu'il y en a pour 1 mois de réparation mais direct assurance ne veut pas me prêter de voiture en attendant alors que tout ça a pris du temps à cause d'eux et leur manque de communication avec les experts m, le garage... 
Je me retrouve avec un nouveau née sans voiture et ne veulent rien savoir 
</t>
  </si>
  <si>
    <t>nathalie-p-121416</t>
  </si>
  <si>
    <t>Satisfait rapidité  sur site,pour le reste j en ferais part plus tard. Ce qui est sûr c'est que c'est assez rapide .j'en suis contente  bonne recommandation</t>
  </si>
  <si>
    <t>cressent-a-116521</t>
  </si>
  <si>
    <t>opératrice très professionnelle au téléphone et rassurante, répond aux questions sans forcer .vraiment ravi de l entretien qui m a décidé a vous faire confiance</t>
  </si>
  <si>
    <t>09/06/2021</t>
  </si>
  <si>
    <t>sabrina-a-117848</t>
  </si>
  <si>
    <t>Ma cotisation a bondi cette année alors que je n'ai eu aucun sinistre l'année dernière. voilà pour le prix. Quant aux services je n'ai encore jamais fait appel à vous...</t>
  </si>
  <si>
    <t>duprey-81688</t>
  </si>
  <si>
    <t>Personnel peu disponible, ne répond jamais aux demandes de conseil et ne rappelle jamais lorsque vous les sollicitez.</t>
  </si>
  <si>
    <t>06/12/2019</t>
  </si>
  <si>
    <t>anna-s-127524</t>
  </si>
  <si>
    <t>Changement en raison d'un cout prohibitif de notre assurance suite à un sinistre responsable.
Site internet n'est pas hyper performant, mais un appel au service client et tout va mieux. 
A voir sur le long terme...</t>
  </si>
  <si>
    <t>francoise-39650</t>
  </si>
  <si>
    <t>Vous vendent par téléphone un contrat mirobolant, quand vous le recevez par mail ce n'est pas cela du tout, donc j'ai annulé le lendemain soit dans le délai légal. 15 jours plus tard prélèvement de 160.60, cela s'appelle t'il du vol autorisé</t>
  </si>
  <si>
    <t>07/02/2019</t>
  </si>
  <si>
    <t>do-90656</t>
  </si>
  <si>
    <t>Rapide et performant.Une vision simple des garanties qui sont parfaitement adaptées à mon véhicule?Les conseils sont également pertinents et permettent de choisir en toute connaissances de cause la formule la mieux adaptée à mes besoins.</t>
  </si>
  <si>
    <t>13/06/2020</t>
  </si>
  <si>
    <t>snoopy74-69088</t>
  </si>
  <si>
    <t>totalement satisfait du conseiller que jai eu au tel, elocution, carté, tarif proposé. maintenant a voir sur les litiges, jai eu un souci sur lautre contrat, jai fais change mon pare brise et la, comme par hasard, il manque un document a mon contrat...</t>
  </si>
  <si>
    <t>buron-a-130250</t>
  </si>
  <si>
    <t>Satisfait du service client par téléphone le collaborateur s'est montré très compréhensif, a très bien expliqué les termes de l'assurance et nous avons pu avancer rapidement.</t>
  </si>
  <si>
    <t>30/08/2021</t>
  </si>
  <si>
    <t>rousselg-138743</t>
  </si>
  <si>
    <t xml:space="preserve">Bien que je trouve toujours le tarif des assurances élevé, le service rendu est correct et les intervenants très compétents. Un petit reproche toutefois, c'est le temps d'attente lors d'un appel téléphonique. Sinon jepeux dire que je suis globalement satisfait de mes assurances </t>
  </si>
  <si>
    <t>delacourt-j-110760</t>
  </si>
  <si>
    <t xml:space="preserve">Je suis satisfaite de la rapidité et du prix. Apre on vera si un jour j'ai une panne  comment sa se gère.je verrais par la suite. En attendant cela me convient </t>
  </si>
  <si>
    <t>17/04/2021</t>
  </si>
  <si>
    <t>denis50560-87070</t>
  </si>
  <si>
    <t xml:space="preserve">Le service qui traite les sinistres est devenu injoignable et inefficace.
ACM c'est une assurance tous risques sur le papier mais au bout du compte le dossier traîne, on demande des pièces et justificatifs à n'en plus finir: ras le bol
</t>
  </si>
  <si>
    <t>13/02/2020</t>
  </si>
  <si>
    <t>mumu-76537</t>
  </si>
  <si>
    <t xml:space="preserve">mutuelle reactive et prix positif par rapport aux garantie explication claire facilité de changer de module </t>
  </si>
  <si>
    <t>06/06/2019</t>
  </si>
  <si>
    <t>charlotte-p-122559</t>
  </si>
  <si>
    <t>Les prix sont satisfaisants par rapport à d'autres concurrents.
Le site internet est facile d'utilisation et les informations disponibles sont claires.</t>
  </si>
  <si>
    <t>06/07/2021</t>
  </si>
  <si>
    <t>david-c-111558</t>
  </si>
  <si>
    <t>Je suis satisfait du service et je souhaiterai que le service initié avec le conseiller soit suivi dans le temps dans le cadre d'un devis au téléphone.</t>
  </si>
  <si>
    <t>cliente69-64588</t>
  </si>
  <si>
    <t>Je rejoins nombreux avis vus précédemment. tant que vous leur rapportez de l'argent et que vous ne leur coûtez rien, tout se passe bien ! Par contre si vous voulez une assurance sur laquelle on peut compter et qui fasse son job, passez votre chemin ! Rien pendant des années et là 2 accidents en 2 mois dont 1 non responsable et on me dit gentiment d'aller voir ailleurs ! Le comble il est noté "responsabilité totale" sur mon relevé d'information alors que ce n'est pas le cas ! On m'a violemment percuté sur l'autoroute, délit de fuite. je porte plainte mais comme il n'y a pas de blessé grave la police me fait comprendre qu'ils ne feront rien, ne me dites pas qu'il n'y a pas de caméra sur l'A7 !!!. Donc pas de tiers, de grosses réparations à leurs frais ok mais ce n'est pas de ma faute si la police estime que ce n'est pas assez grave pour qu'ils s'en occupent ! Je refuse de payer pour la bêtise humaine...mais ça n'a pas l'air de déranger l'assureur...</t>
  </si>
  <si>
    <t>07/06/2018</t>
  </si>
  <si>
    <t>tlemsani-a-112492</t>
  </si>
  <si>
    <t>Je suis  satisfait  des  services  et des prix  avantageux. Le conseiller  a été  très explicatif  concernant  la procédure  à suivre.  Merci bien  je recommande  vivement  assurance  l'olivier  .</t>
  </si>
  <si>
    <t>03/05/2021</t>
  </si>
  <si>
    <t>anne-139007</t>
  </si>
  <si>
    <t>Suite à un accident de voiture sur l'autoroute, Maif, mon assureur, a contacté l'assureur du véhicule en cause il y a 5 mois. Je ne suis pas responsable. Depuis la maif se contente d'un courrier de rappel une fois par mois! Le litige ne risque pas d'être résolu!!! Impossible de faire réparer le véhicule puisque l'expert ne peut pas passer. Je suis à la recherche de solutions pour faire bouger les choses puisque l'assureur ne semble pas prêt à le faire!
Ouf, j'allais souscrire une assurance-vie...Je l'ai fait mais auprès d'Axa avec un conseiller très à l'écoute et qui n'hésite pas à intervenir pour régler des problèmes</t>
  </si>
  <si>
    <t>05/11/2021</t>
  </si>
  <si>
    <t>mamissa-106276</t>
  </si>
  <si>
    <t>Bonjour ce matin je vous aie appelé pour un renseignement concernant mon inscription pour pouvoir consulter mes remboursements car vous m'envoyez  un courriel m'avisant que j'ai des documents mais le courriel n'a pas de pièce jointe et je ne pouvais pas entrer sur votre site. Votre aide Madame Ouria m'a été d'un grand secours. Je vous remercie de votre amabilité.
Madame Sévin</t>
  </si>
  <si>
    <t>kate0408-46462</t>
  </si>
  <si>
    <t>Très charge mauvaise expérience en termes  de prise en charge : anonymat, réponses standardisées, demandes incessantes "conseil médical"  lenteur du traitement</t>
  </si>
  <si>
    <t>13/03/2018</t>
  </si>
  <si>
    <t>haby75-110372</t>
  </si>
  <si>
    <t xml:space="preserve">AXA a eu la bonne idée de délocaliser le service sinistre au Maroc.
Ils jugent et gèrent nos dossiers en fonction de ce qu'on leurs impose .
Délocaliser l assurance des gens qui peut être ne comprennent pas nos sinistres .
pas le même environnement météo c est du grand n importe quoi .
A chaque fois nous mettent en attente pour poser une question a son supp "AU SECOUR"
Encore une nouvelle Facon pour ne pas payer les gens car des interlocuteurs qui ne comprennent rien!!!. 
</t>
  </si>
  <si>
    <t>14/04/2021</t>
  </si>
  <si>
    <t>mercenne-a-130577</t>
  </si>
  <si>
    <t xml:space="preserve">Je suis satisfais de mon assurance le service client est parfais , au niveaux du prix je n’est rien à redire les service qui me sont proposer réponde à mes attente </t>
  </si>
  <si>
    <t>chrisjoe90-64786</t>
  </si>
  <si>
    <t>prestations à hauteur de l'attendu et du contratconseiller disponible et à l'écoute. plate forme électronique. adaptation du contrat au besoin</t>
  </si>
  <si>
    <t>14/06/2018</t>
  </si>
  <si>
    <t>pierre-marie-r-128635</t>
  </si>
  <si>
    <t>Les tarifs sont très compétitifs.
Rien à voir avec mon ancien assureur.
J'espère obtenir satisfaction avec votre socièté.
Pour le moment, je n'ai rien à signaler de négatif car l'interlocuteur en ligne a été très clair.</t>
  </si>
  <si>
    <t>19/08/2021</t>
  </si>
  <si>
    <t>dangilopi-63933</t>
  </si>
  <si>
    <t>attention, ne souscrivez pas chez eux, ce sont des menteurs et pas professionnel, j'ai demander un devis pour assurer ma saxo, leur devis était convenable, j'ai accepter mon devis et régler 200 euros, j'ai envoyé mes documents, et là il m'envoye un deuxième devis avec une augmentation de 60 euros, je refuse et leur envoie une LRAR, je suis dans le délai des 14 jours de réflexion, et depuis plus de nouvelle, je n'ai plus accés à mon espace client, toujours pas rembourser comme le prévoit la loi, donc je vais les assigner au tribunal, je sont des non proffessionnels.</t>
  </si>
  <si>
    <t>31/07/2018</t>
  </si>
  <si>
    <t>rizwan-h-132831</t>
  </si>
  <si>
    <t>Satisfait, bon prix, rapide et efficace. Très content de pouvoir assurer ma voiture aussi rapidement et facilement ! Merci encore ! Bon travail !!!!!!!</t>
  </si>
  <si>
    <t>14/09/2021</t>
  </si>
  <si>
    <t>coleni-134979</t>
  </si>
  <si>
    <t>Depuis plus de 25 ans chez MACIF, une canalisation chauffage de l'immeuble a explosé, donc aucunement responsable du dégât causé, ce qui a obligé le plombier à casser ma salle de bain pour déplacer et replacer ma baignoire, la MACIF a refusé toute prise en charge (1.200€ de réparation) de ma poche alors que pendant 25 ans la MACIF a encaissé les primes d'assurances sans jamais avoir à m''indemniser. Et lorsque j'insiste, la MACIF me déclare : voyez avec le fonds de garantie !!!! En gros allez .....voir ailleurs (C'est quand on a vraiment besoin d'eux qu'on peut savoir si une assurance est utile), pourtant aucune sinistralité depuis des années pour ma part vis à vis de MACIF</t>
  </si>
  <si>
    <t>yoda-59266</t>
  </si>
  <si>
    <t>Super m'a permis d'obtenir de la part de mon banquier une réduction de 75%. Ensuite conformément à la législation j'ai voulu résilier le contrat zen up.</t>
  </si>
  <si>
    <t>55gregs55-105000</t>
  </si>
  <si>
    <t xml:space="preserve">Bonjour la mutuelle est trop cher par rapport aux autres mutuels privées niveau de remboursement bas par rapport à la prime de cotisation. Bien cordialement </t>
  </si>
  <si>
    <t>gerard34000-59195</t>
  </si>
  <si>
    <t>Je suis sociétaire MAIF depuis 44 ans et je vais quitter cette mutuelle suite au traitement de mon dernier changement de véhicule. Les devis qui m'avaient été proposés, bien que beaucoup plus élevés que ceux de la concurrence pour un assuré retraité à 50% de bonus depuis plus de 35 ans, m'avait convenu mais à la livraison de mon véhicule j'ai la surprise de constater que le  tarif dépasse de 200 € le devis initial avec une franchise de 770€ pour un contrat plénitude. Je me suis rendu dans l'agence proche de mon domicile pour tenter d'obtenir des explications et un jeune homme particulièrement peu aimable m'a expliqué "c'est le tarif".....un point c'est tout. Ayant eu tout au long de ma vie d'assuré des véhicules haut de gamme sans aucun sinistre responsable, je me sens trahi par une mutuelle qui n'a jamais su récompenser la fidélité de ses adhérents et qui pratique des tarifs bien plus élevés que les mutuelles concurrentes.</t>
  </si>
  <si>
    <t>gwizdo-57467</t>
  </si>
  <si>
    <t>J'ai reçu mon avis d'échéance: augmentation de 60% (je passe de 650€/an à 1035€/an) !!! Qui dit mieux ? Pour information, je n'ai eu aucun sinistre ces dernières années, j'ai 50% de bonus depuis très longtemps, pas de changement de garanties, en fait absolument rien qui justifie une augmentation de cotisation aussi exorbitante.
Après appel au service clients, on me répond que c'est dû à un recalcul de mes garanties (pourtant inchangées !). Je rétorque que c'est inadmissible, on me dit que... c'est comme ça ! Il consent à me faire un rabais de 10%. Evidemment, je lui dis de m'envoyer un relevé d'informations afin de contracter une assurance chez un concurrent plus respectueux de ses assurés.
Bye bye L'Olivier ! Résiliation en cours...</t>
  </si>
  <si>
    <t>20/09/2017</t>
  </si>
  <si>
    <t>franck83-69375</t>
  </si>
  <si>
    <t>excellente prise en charge, tant au niveau des réparations que du prêt de véhicule. Pa sde "pinaillage" avec les experts . Réparations réglées au garage rubis sur l'ongle.</t>
  </si>
  <si>
    <t>13/12/2018</t>
  </si>
  <si>
    <t>jbmetreau-88646</t>
  </si>
  <si>
    <t>Bonjour, cela fait 5 mois que j'essaye de saisir un arbitrage via Hello Bank et cela ne fonctionne pas. J'ai eu un conseiller en ligne qui était bloqué informatiquement également, j'ai envoyé un formulaire d'arbitrage à la main, il n'a pas été traité. Possible de faire quelque chose svp ? J'aurais bien aimé ne pas avoir à en arriver là afin d'attirer votre attention.</t>
  </si>
  <si>
    <t>02/04/2020</t>
  </si>
  <si>
    <t>caffier-l-134645</t>
  </si>
  <si>
    <t xml:space="preserve">Je suis super satisfaite de vos services ainsi que vos tarifs très attractif comparé à d'autre assureur qui eux sont super chers et ne sont pas très aimable et je suis sur que je ne serai pas déçu par votre assurance pour ma voiture </t>
  </si>
  <si>
    <t>ilah-74731</t>
  </si>
  <si>
    <t>Il y a un an refus de la résiliation complète de mon contrat lorsque j'ai quitté cette mutuelle pour une mutuelle obligatoire d'entreprise.
Aujourd'hui je suis face à un refus de résiliation d'une garantie alors que je suis bénéficiaire de la CMU-C.
La possibilité de résilier une mutuelle avant la date de renouvellement de contrat sous les deux conditions mentionnées ci-dessus est pourtant inscrite dans la loi. Ces informations sont disponibles sur les sites du service public, mais Harmonie Mutuelle semble se croire au dessus des lois et ils n'hésitent pas à vous mentir par téléphone !</t>
  </si>
  <si>
    <t>03/04/2019</t>
  </si>
  <si>
    <t>fouinette-67310</t>
  </si>
  <si>
    <t>A fuire.
Ce ne sont que des courtiers .... traiter qu'avec AXA
 qui se trouve etre etre le vrai assureur
Les assurances par internet , malgré leur prix alléchants, sont à fuire très vite......</t>
  </si>
  <si>
    <t>Assur Bon Plan</t>
  </si>
  <si>
    <t>03/10/2018</t>
  </si>
  <si>
    <t>titine-86104</t>
  </si>
  <si>
    <t xml:space="preserve">Trés déçu de cette mutuelle, j ai résilier courant décembre 2019, car augmentation de 35% , soit 700 euros de plus pour l'année sans explication. Je téléphone plusieurs fois, les personnes que j ai en ligne,me répondent effectivement que cela est énorme, mais ils ne savent pas pourquoi.
Après plusieurs mails et coup de fil, une personne me dit que c'est normal, cars j ai changé de tranche d'age  et que mon contrat est ancien (mon ancienne mutuelle a été rachetée par harmonie mutuelle )
Janvier 2020, un prélèvement de 220 euros ce présent,( ayant résilier le 16 décembre en lettre avec AR reçu chez eux le 18 décembre) je fais donc  opposition aprés de ma banque, je téléphone à Harmonie ,la personne me dit qu'elle n 'a pas reçu ma demande de résiliation, alors que j ai la preuve du l'accusé de reception, heureusement,
Donc faite attention les retraités, au changement de tranche d'age </t>
  </si>
  <si>
    <t>20/01/2020</t>
  </si>
  <si>
    <t>maya89-110568</t>
  </si>
  <si>
    <t xml:space="preserve">Supre assurance  AMV pour les motards  je le commande 
Même  quand vous avez des problèmes  
Ils sont réactifs  dans tous les des marche et le prise en charges </t>
  </si>
  <si>
    <t>bea-57788</t>
  </si>
  <si>
    <t>Bonjour j'était assurée chez eux pendant un ans et j'ai  résilié avant ma date anniversaire, il non pas pris en compte ma demande soit disant que se n'ai pas la bonne loi et me demande de payer la prime pour l'année 2018 de 260, ma conseillère actuelle a téléphone et leur a dit que j'était dans les temps et  refuse ils ont envoyer une lettre recommandé que j'ai refuser et aujourd'hui j'ai reçu un courrier d'un service de recouvrement</t>
  </si>
  <si>
    <t>cobra68-70754</t>
  </si>
  <si>
    <t>assurance inefficace. 
réseau de garage agrée sans disponibilité, lenteur et aucune solution n'est chercher pour solutionner le problème.
voila trois jour que j'ai subit un sinistre non responsable. mon véhicule est immobilisé a mon domicile je ne peut plus circulé avec (plu de rétroviseur) on me dit d'attendre 15 jour pour qu'une place ce Libert dans l'un de leur soi-disant garage, et aucune solution de mes proposé en attendant. je sui sens voiture avec trois enfant impossible de me rendre au travaille.
je déconseille fortement cette assurance
pour info je sui assuré tous risque pour un véhicule neuf.</t>
  </si>
  <si>
    <t>30/01/2019</t>
  </si>
  <si>
    <t>nico-67825</t>
  </si>
  <si>
    <t>J'ai été client plusieurs années.
Je le regrette aujourd'hui.
Je vous conseille d'être très jeune et en excellente santé pour leur demander un tarif..
Dans le cas contraire évitez de perdre du temps.
L'accueil téléphonique est déplorable.</t>
  </si>
  <si>
    <t>18/10/2018</t>
  </si>
  <si>
    <t>heinzi-76800</t>
  </si>
  <si>
    <t>Difficulté de joindre un resposable: La notion du Service est absente:</t>
  </si>
  <si>
    <t>15/06/2019</t>
  </si>
  <si>
    <t>pat7338-123304</t>
  </si>
  <si>
    <t>Apparemment moins cher, mais après la première année augmentation de 24,1%, puis 8,98% la deuxième année et, pourtant, sans aucun accident ou incident déclaré...</t>
  </si>
  <si>
    <t>boymonoi-63648</t>
  </si>
  <si>
    <t xml:space="preserve">Suite à l'explosion de notre table en verre, nous avons appelé la MACIF à Niort siège social, une interlocutrice nous répond, IL FAUT LA RECOLLER, malgré tout nous recevons en urgence au bout de 10 jours le dossier de la déclaration de sinistre, nous constatons que sur ce dossier, était mentionné " UNE PAIRE DE LUNETTE  " Qu'il fallait Garder la MONTURE. </t>
  </si>
  <si>
    <t>29/04/2018</t>
  </si>
  <si>
    <t>stephane-75533</t>
  </si>
  <si>
    <t>Je suis en cours de rahat total de mon assurance-vie qui est árrivér á terme,et je rencontre des probleme pas mal le conseiller qui m'envoi des documents un par un et qui n'explique rien vu que je suis devenue non resident fiscale.Mon accés á mes comptes aussi bloquér suit un cervice technique et service clientelle dit esseye fin de semaine, ensuit le mot passe qui est trés vieux ca marche pas non plus.Donc on gagne du temps á tout prix et on a méme pas accés sur l'évoluation du dossiér ou sur nos économie.Je trouve tout ca trés bizarre et désolent que un grande assurance comport comme ca.</t>
  </si>
  <si>
    <t>naim-b-104956</t>
  </si>
  <si>
    <t>je suis satisfait de ce qui m a ete proposé ,la conseillere est tres receptive ,le prix ainsi que les garanties repondent bien a mes attantes et je trouve qu on peut vous joindre assez facilement .</t>
  </si>
  <si>
    <t>dp60-80450</t>
  </si>
  <si>
    <t xml:space="preserve">Ayant eu 2 sinistres responsables au cours de l'année 2019 et bénéficiant du Bonus à vie, la MAAF refuse d'assurer mon nouveau véhicule.
Ils m'ont pourtant fait un devis en ligne pour ce même véhicule mais une fois à la validation du changement, la directrice de l'agence avait laissé une note dans le dossier afin de refuser toute assurance pour un nouveau véhicule.
Tous cela bien sur sans en informer le client.
J'étais client depuis plus de 30 ans .. et effectivement, ce n'est plus la Maaf que je préfère.
</t>
  </si>
  <si>
    <t>27/10/2019</t>
  </si>
  <si>
    <t>dwaps-57122</t>
  </si>
  <si>
    <t>Un année sans incident : récompense, une augmentation de 35% (oui !) avec comme seule explication une mauvaise année dernière pour leur société. Résultat : Bye bye l'Olivier ...</t>
  </si>
  <si>
    <t>05/09/2017</t>
  </si>
  <si>
    <t>jean-104973</t>
  </si>
  <si>
    <t xml:space="preserve">Satisfait, je suis adhérents à depuis la MGP 1978 je n'ai jamais eu de problèmes avec cette mutuelle. Accueil téléphonique  très professionnel surtout en cette période de pandémie. </t>
  </si>
  <si>
    <t>pam-topaz-75921</t>
  </si>
  <si>
    <t>mécontent car les 2 personnes que j'ai eu au téléphone pour un sinistre mineur m'ont raconté des bobards et mon conseil juridique m'a dit qu'ils mentaient.</t>
  </si>
  <si>
    <t>15/05/2019</t>
  </si>
  <si>
    <t>roe-123162</t>
  </si>
  <si>
    <t>Je suis adhérent à cette mutuelle depuis mai dernier et je n'ai eu que des problèmes depuis lors. Un mois pour être relié à ma sécurité sociale après maintes rappels, impossibilité de transmettre des demandes de remboursement en ligne, un mois pour répondre au messages et/ou demandes. Je vais donc quitter au plus vite cette pseudo mutuelle santé.</t>
  </si>
  <si>
    <t>naserdine-88995</t>
  </si>
  <si>
    <t>A fuir absolument. J'ai déclaré un sinistre car j'ai perdu mon emploi le 26 février 2019 et aujourd'hui le 20 avril 2020 aucune indemnisation . On m'as non vous n'avais pas droit après réclamation il m'ont dit :ah oui vous avez frois c'est une erreur de notre part puis après non . Bref cela fait plus d' 1 an et mon dossier et toujours  pas traité .</t>
  </si>
  <si>
    <t>20/04/2020</t>
  </si>
  <si>
    <t>cratoune-80699</t>
  </si>
  <si>
    <t>Ma conseillère Lamia a été très agréable, très efficace et très réactive. Un véritable plaisir ! J'ai pu poser l'ensemble de mes questions, elle a su réagir avec rapidité et gentillesse.</t>
  </si>
  <si>
    <t>04/11/2019</t>
  </si>
  <si>
    <t>rafet-d-128810</t>
  </si>
  <si>
    <t xml:space="preserve">Bonne assurance, tarif abordable, service client bien entretenue, je recommande a toute les personne qui cherche une assurance par cher et bien, ideale aussi pour les jeune conducteur </t>
  </si>
  <si>
    <t>siri-g-109582</t>
  </si>
  <si>
    <t>Je suis satisfait du service
J'ai eu les réponses attendues à toutes mes demandes
Les prix me conviennent en tant que jeune conducteur
Simple et rapide
Interlocuteur très courtois</t>
  </si>
  <si>
    <t>ale92300-53407</t>
  </si>
  <si>
    <t>Client depuis 1 an en tout risque, je me fais voler mon pot d'échappement et mes rétroviseurs. Après avoir porté plainte, mon assureur me dit que non, ces pièces ne sont pas prises en charge. Au final, une assurance tous risques, très loin de couvrir "tous" les risques.
Tout se passe bien lorsqu'on établi le contrat, mais au premier problème qui survient, c'est pour votre pomme.</t>
  </si>
  <si>
    <t>Peyrac Assurances</t>
  </si>
  <si>
    <t>22/06/2018</t>
  </si>
  <si>
    <t>jaxx-88137</t>
  </si>
  <si>
    <t xml:space="preserve">Résiliation assurance refusée pour défaut d'objet dans le courrier. Au lieu, de m'appeler pour correction, la compagnie a refusé la résiliation pour ce motif. Dans le corps du courrier était bien écrit la demande de résiliation. </t>
  </si>
  <si>
    <t>09/03/2020</t>
  </si>
  <si>
    <t>pat-46420</t>
  </si>
  <si>
    <t>très cher pour selon que je suis déjà client chez vous, cela mériterai d'avoir un tarif privilégié, j'espère que vous ferez le nécessaire pour améliorer les tarifs pour les jeunes.</t>
  </si>
  <si>
    <t>celeme-71189</t>
  </si>
  <si>
    <t>suite à une dégradation, la serrure de l'immeuble ne fonctionne. Les réparations me reviennent à 1200euros. J'appelle l'assurance, fais un constat à la police, envoie la facture. L'expert d'Axa revoit la facture à la baisse. J'apprends également que la franchise est de 700 euros (je vous conseille de bien lire le contrat peu clair à ce sujet : 0,89 fois un indice). Du coup axa ne me rembourse que 165 euros sur les 1200 euros de la facture. Je payais pourtant 1000 euros d'assurance par an pour l'assurance des communs de l'immeuble.</t>
  </si>
  <si>
    <t>david-74871</t>
  </si>
  <si>
    <t>Une honte. Conseillers injoignables. Service client d'une plateforme (difficilement joignable également) d'une arrogance inégalée. Des délais incommensurables. Quel plaisir de voir que je nuis pas seul être autant insatisfait. Je déconseille au plus haut point.</t>
  </si>
  <si>
    <t>08/04/2019</t>
  </si>
  <si>
    <t>alisson-81036</t>
  </si>
  <si>
    <t xml:space="preserve">2 mails envoyés dont un avec une demande de RV téléphonique restés sans réponse au bout de 6 jours. Appel de ma part pour en connaître la raison. On me donne un RV téléphonique, mais la personne ne me rappelle pas à l'heure fixée. Je rappelle dans la même journée ; et j'ai de nouveau ce standard épouvantable, avec la déclinaison, nom, prénom, adresse, etc alors que j'avais au préalable composé mon numéro d'adhérente. Je refuse de rabâcher une fois de plus toutes ces informations. La personne en ligne me passe son Responsable qui après quelques mots, me raccroche tout bonnement au nez !!!! </t>
  </si>
  <si>
    <t>15/11/2019</t>
  </si>
  <si>
    <t>mayer-a-127663</t>
  </si>
  <si>
    <t>Top, rapide et efficace, rien à ajouter, assurance pour une voiture faite en15 minutes avec de très bonnes conditions, service client à la hauteur, TOP !</t>
  </si>
  <si>
    <t>12/08/2021</t>
  </si>
  <si>
    <t>sophie-67099</t>
  </si>
  <si>
    <t>Incompétents !! Ma banque me demande un simple certificat avec mes renseignements dessus et pas moyen !!! Des semaines pour répondre aux mails et incapables de noter les bonnes informations sur le certificat donc un dossier à recommencer du début dans peu de temps à cause de leur incompétence et les délais de réponse !!! Fuyez si on vous propose cet assureur ! C'est ce que je vais faire dès que possible !!</t>
  </si>
  <si>
    <t>25/09/2018</t>
  </si>
  <si>
    <t>01/09/2018</t>
  </si>
  <si>
    <t>bratak77-66042</t>
  </si>
  <si>
    <t xml:space="preserve">ATTENTION si vous voulez perdre votre argent  pour rien  allez chez eux !
après souscription on m'a demandé de fournir des documents supplémentaires 
que j'ai envoyé a chaque fois mais bizarrement ils ne les recoive jamais.
en fait il faut passer par le numéro surtaxé pour avoir confirmation de réception
J'appelle pour ma carte verte et la on me dit que je dois envoyer un RIB et un certificat de non assurance que j'envoie sur le champ et toujours pas de carte verte.
La je viens d'appeler on me dit que mon contrat est résilié car ils n'on pas reçu mon RIB
Par contre je ne serais pas remboursé  des 100 euros que j'ai donné car se sont les frais de résiliation le hic c'est que je n'ai rien résilié c'est eux qui on prix cette décision.
 Ils  m'on fait payer 6 mois sans m'assurer .je vous déconseille fortement d'aller chez eux 
de plus en cas de problème seul le numéro surtaxé (qui ne vous avancera pas plus) est disponible sincèrement je ne pense pas que ce sont de vrai assureur rien de sérieux dans tout ca passez votre chemin
</t>
  </si>
  <si>
    <t>07/08/2018</t>
  </si>
  <si>
    <t>joelle-c-113118</t>
  </si>
  <si>
    <t xml:space="preserve">Bonjour
je n ai jamais demandé d obtenir mon attestation en dématérialiser c'est pas malin je roule sans attestation à bord de mon véhicule
vous auriez pu m'en avertir car je n'ai reien annulé
merci
</t>
  </si>
  <si>
    <t>08/05/2021</t>
  </si>
  <si>
    <t>monnier-j-108817</t>
  </si>
  <si>
    <t>pour l'instant je suis satisfait de la réactivité et de l'efficacité et surtout du tarifs et des garanties proposée, je dit bien pour l'instant car comme j'ai souscrit mon contrat que depuis quelques minutes je verrai bien, mais plus tard.</t>
  </si>
  <si>
    <t>amelie--l-129042</t>
  </si>
  <si>
    <t xml:space="preserve">Étant conductrice depuis 10 ans je n’ai pas connu d’assurance capable de m’offrir une offre tout risque en sérénité pour mon véhicule à si bas pris 44€ par mois ainsi qu’une tranquillité offerte. J’aimerai juste savoir comment vous contacter en cas de sinistre et savoir quelles pièces justificatives sont à fournir et à envoyer sur quelle adresse mail. Cordialement </t>
  </si>
  <si>
    <t>22/08/2021</t>
  </si>
  <si>
    <t>ibrahima-d-112461</t>
  </si>
  <si>
    <t>Service de Qualité et rapport qualité prix excellent.
super je suis pret à recommander vos services à mon entourage.
Excellent sur le temps de traitement des demandes est top</t>
  </si>
  <si>
    <t>iode42-54863</t>
  </si>
  <si>
    <t>Direct assurance est une bonne assurance auto a condition de ne jamais avoir d'accident. Je n’étais pas d'accord avec les conclusions de leurs expert et malgré 2 avis d'experts indépendants qui me donnent raison alors ils ne trouvent rien de mieux que de me résilié.</t>
  </si>
  <si>
    <t>23/05/2017</t>
  </si>
  <si>
    <t>clement-p-134257</t>
  </si>
  <si>
    <t>Nickel mon véhicule est assuré rapide pas cher et simple après avoir consulté plusieurs j’ai choisi l’olivine.fr qui 50% moins cher que ces concurrents 
P.clement</t>
  </si>
  <si>
    <t>jules75011-67846</t>
  </si>
  <si>
    <t>Cela fait plus d'un mois et demi que j'ai envoyé un dossier d'adhésion pour cette mutuelle et je n'ai pas d'avancée sur mon dossier. 
J'ai appeler régulièrement leur service pour être informé de l'état de mon dossier, ils me disent bien avoir reçu mon dossier et qu'ils vont le traiter dans la semaine à chaque fois mais non, toujours rien!</t>
  </si>
  <si>
    <t>pauline-52244</t>
  </si>
  <si>
    <t>Concerne EALLIANZ du groupe ALLIANZ; Je vous livre une anecdote très révélatrice. Dans le cadre de la nouvelle loi HAMON, mon nouvel assureur a résilié mon contrat auto  en leur adressant la lettre recommandé. Plus de 6 semaines plus tard, malgré des relances, il n'avait toujours pas reçu  le relevé d'informations et de mon côté les prélèvements continuent sur le compte; Je décide alors de contacter le service client qui répond dans un premier temps pas avoir reçu de courrier puis change de version lorsque je leur donne le numéro de l'accusé réception que m'a fourni mon nouvel assureur pour ensuite m'entendre dire " ah ben non, on refuse la résiliation pour motif...." pas pu identifier la compagnie  " sans commentaire</t>
  </si>
  <si>
    <t>09/02/2017</t>
  </si>
  <si>
    <t>guitoune-134655</t>
  </si>
  <si>
    <t xml:space="preserve">Pas de problème me  concernant dans le fonctionnement de la mutuelle santé. Peut être le montant de la cotisation qui pourrait être revue un peu à la baisse ou ne pas augmenter.  </t>
  </si>
  <si>
    <t>leconti-138986</t>
  </si>
  <si>
    <t>Aucun moyen de joindre qui que ce soit. Les standards téléphoniques vous font attendre 10 min en musique avant de vous dire que tous les conseillers sont en ligne. Ne pas se laisser impressionner par leurs plaquettes commerciales. La réalité est bien moins belle. Ils ne respectent pas leurs engagements pourtant écrits noir sur blanc. Il y a moins cher et plus proche et respectueux des clients ailleurs.</t>
  </si>
  <si>
    <t>cyrille-c-109793</t>
  </si>
  <si>
    <t>Bonjour
J'ai passé beaucoup de temps a joindre quelqu’un et j'ai failli abandonner, au bout d'un long moment j'ai eu une personne qui m'a très bien conseillé.</t>
  </si>
  <si>
    <t>09/04/2021</t>
  </si>
  <si>
    <t>steph-96965</t>
  </si>
  <si>
    <t xml:space="preserve">Tout se fait en ligne. Site simple d’utilisation, grande facilité pour envoyer les documents à partir de l’espace personnel. Réponse par mail très rapide et envoi des documents définitifs par courrier dès réception et contrôle des pièces justificatives. Prix attractifs. Je recommande. </t>
  </si>
  <si>
    <t>hdperso-80985</t>
  </si>
  <si>
    <t>Je viens d'avoir un contact avec une de vos conseillère clientèle, ALICIA, au sujet d'une demande de télétransmission NOEMIE auprès de la MGEN des Yvelines. Contact pleinement satisfaisant. Merci !</t>
  </si>
  <si>
    <t>14/11/2019</t>
  </si>
  <si>
    <t>annie-f-114380</t>
  </si>
  <si>
    <t xml:space="preserve">Service rapide et très pratique, avec des tarifs très compétitifs je recommande direct assurance a de nombreuses personnes ainsi qu'a ma famille . Accès au site très simple d'utilisation, 
</t>
  </si>
  <si>
    <t>20/05/2021</t>
  </si>
  <si>
    <t>falcoz-53800</t>
  </si>
  <si>
    <t xml:space="preserve">A fuir de toute urgence, service pour vendre la prestation qui vous harcèle... Puis j'ai souhaité annuler car ma banque a proposé de s'aligner et je me bagarre depuis 6 mois pour obtenir la résiliation, et APRIL me met en demeure de payer. Pour autant sur les conditions générales, cela paraît très simple de résilier. Il n'en est rien ! Les délais de traitement sont extrêmement longs (un mois et demi entre deux démarches pour obtenir une réponse) et le service recouvrement ne communique pas avec le service de résiliation, d'où une mise en demeure ! </t>
  </si>
  <si>
    <t>03/04/2017</t>
  </si>
  <si>
    <t>christophe-c-114190</t>
  </si>
  <si>
    <t>au top excellent collaborateur assurance a l écoute vivement a recommander je suis enterrement satisfait des préprofessionnels qui sache faire leur iob</t>
  </si>
  <si>
    <t>steve-n-113322</t>
  </si>
  <si>
    <t xml:space="preserve">Service très pratique, prix semblent raisonnables, a voir les CG Service très pratique, prix semblent raisonnables, a voir les CG Service très pratique, prix semblent raisonnables, a voir les CG </t>
  </si>
  <si>
    <t>dupuis-d-122465</t>
  </si>
  <si>
    <t>Très satisfait pour la communication et pour les services fournis, les garanties et la simplicité pour transmettre les documents demandés en ligne, c'est parfait !</t>
  </si>
  <si>
    <t>celine-m-110346</t>
  </si>
  <si>
    <t>Bonjour,
Je trouve que lorsque nous avons un sinistre la procédure n'est pas cohérente.
Les experts ne sont assez rigoureux et il est difficile d'avoir un suivi avec des réponses.
De plus Direct assurance veut clore un sinistre sans interroger l'assuré pour savoir si tout est bien terminé. J'ai perçu mon remboursement avant que mes réparations soient correctement évaluées.</t>
  </si>
  <si>
    <t>ferr59560-107476</t>
  </si>
  <si>
    <t xml:space="preserve">Gestion de sinistre incendie catastrophique, plus d’un mois. Pas de relogement, pas de pré indemnisation, pas de suivi, logé dans la famille par dépit. Aucune perspective pour retrouver mon logement. Où est l’aide, l’accompagnement, le respect ? </t>
  </si>
  <si>
    <t>22/03/2021</t>
  </si>
  <si>
    <t>tascarella-a-125093</t>
  </si>
  <si>
    <t xml:space="preserve">satisfaite pour le moment en espérant l'être pour un moment merci beaucoup pour votre écoute et toutes mes salutations les plus sincères bonne soiree </t>
  </si>
  <si>
    <t>andre-f-110808</t>
  </si>
  <si>
    <t>En cas de sinistre ( trés rare pour nous depuis soixante dix ans ... ), l'indemnisation forfaitaire est si rapide que nous n'avons pas le temps d'évaluer et constater l'ampleur des dégradations et des vols ( cambriolage à Ardon en 2018 .. constat des valeurs et objets manquants constaté plusieurs semaines aprés déclaration de sinistre  ...c'est notre cas .. il est vrai que nous avons tort d'étre trop agés , moins réactifs et trop honnétes )  merci quand méme ...</t>
  </si>
  <si>
    <t>18/04/2021</t>
  </si>
  <si>
    <t>cheick-56473</t>
  </si>
  <si>
    <t xml:space="preserve">Je suis assuré chez DA depuis 2013 habitation et auto mais je vais vous faire par de ma mauvaise expérience avec cette assurance.
J'ai jamais eu d'accident depuis mais mon cauchemar a commencé depuis mon sinistre le 24 juillet dernier dans lequel ma responsabilité était engagé.
J'ai pris une assurance tous risque + option de pack de tranquillité mais cette option est de la poudre au yeux.
Le service assistance de de pennage a mis 72 après l'accident pour déposer mon véhicule dans un garage partenaire.
Pour avoir ce garage,  j'ai du lutté et faire des recherche moi même en demandant une liste de leurs garages partenaires car ils étaient incapables de trouver un garage pour mon véhicule.
Après 2 semaines d'attente l'expert passe et évalu la durée de réparation à 2 jours.
Le comble est que l'option pack tranquilité ne veut pas dire que vous aurez un véhicule de remplacement durant toute l'immobilisation de votre voiture mais UNIQUEMENT LA DUREE DE REPARATION dans mon cas c'est  2 jours.
Le garagiste commencera la réparation de mon véhicule qu'à partir du 4 septembre donc durant ce temps je n'aurai pas de véhicule de prêt.
Je vais donc attendre jusqu'au 4 septembre pour avoir un véhicule de prêt mais pour 2 jours seulement.
Dès que mon véhicule sera réparé je vais résilier tous mes assurances chez eux
 </t>
  </si>
  <si>
    <t>10/08/2017</t>
  </si>
  <si>
    <t>dede-129994</t>
  </si>
  <si>
    <t xml:space="preserve">eurofil a fuir absolument résilier votre contrat dès que vous avez un sinistre même si vous êtes non responsable Attention, si vous n'avez pas de sinistre tout se passera bien  a tord vous.leur coûtait de l'argent ! A fuir a tous prix Et de.plus les.prix.sont fort a l'adhésion mais vérifiez bien l'échéance de l'année d'après, ils augmentent vraiment beaucoup ! Ne vous faites pas avoir. exemple de prix pour une BMW 316d de 2012 le soit disant tous risque eurofil 800 euros par an avec direct assurance 550 euros et plus aimable et surtout plus pro </t>
  </si>
  <si>
    <t>francois-l-126180</t>
  </si>
  <si>
    <t>très satisfaite du service personne aimable et à l'écoute à pris vraiment tout son temps pour m'aider merci pour votre gentillesse prix très attractif</t>
  </si>
  <si>
    <t>alex-75524</t>
  </si>
  <si>
    <t>Me suis fait piéger par un bonus A VIE de 50% à mon nom propre "même en cas d'accident(s) responsable(s) -sic-
Suite à u
ne fracture du bras ,il y a plus de 3 ans, mes gestes devinrent moins adroits et j'ai provoqué 3 accidents matériels à degâts quasi insignifiants en garant ma voiture.Forte de mon bon droit,j ai même eu la décence et la bêtise de laisser mes coordonnées sur la vehicule très légerement endommagé (quelques traces noires)
A la suite de quoi ,au bout de 30 années d'assurance sans accident chez AXA,mon bonus est tombé  à 30%!!
C'est de la publicité mensongère!</t>
  </si>
  <si>
    <t>30/04/2019</t>
  </si>
  <si>
    <t>yassine-92280</t>
  </si>
  <si>
    <t xml:space="preserve">Le prix reste quand même onéreux pr un véhicule de 60cv d’autant plus que pr un marocain qui a eu à conduire pendant des années dans son pays, son expérience en conduite est mise à la poubelle </t>
  </si>
  <si>
    <t>25/06/2020</t>
  </si>
  <si>
    <t>william-louis-123048</t>
  </si>
  <si>
    <t>Nous sommes toujours très bien renseignés et le cas échéant si difficultés ils prennent le temps de comprendre pour résoudre le problème.
............</t>
  </si>
  <si>
    <t>10/07/2021</t>
  </si>
  <si>
    <t>marais-65615</t>
  </si>
  <si>
    <t>Emprunt en janvier 2016 avec assurance incapacite temporaire de travail
Mars 2018 demandé de bénéficier de cette prise en charge car arrêt travail longue durée pour intervention poignet
Juillet 2018 notification de refus de prise en charge car je prend un traitement médical pour la thyroïde levothyrox
Alors qu aucun questionnaire médical n a été demandé lors de la souscription de mon emprunt</t>
  </si>
  <si>
    <t>19/07/2018</t>
  </si>
  <si>
    <t>emmananas-85290</t>
  </si>
  <si>
    <t xml:space="preserve">Un mot: catastrophique. Je n'ai jamais vu une supercherie pareille. Aucune réponse concernant mes demandes de remboursement, jamais reçu ma carte tiers payant après avoir effectué 4 demandes. J'ai tenté de résilier depuis 2017 cette mutuelle scandaleuse en vain. On me dit qu'il manque toujours un papier ou que la date n'est pas bonne. Ce n'est pas possible de traiter les gens de cette manière. Aucune réponse, jamais et on vous prélève toujours plus des assurances qui sortent de je ne sais où qu'on vous demande de rembourser rapidement. Lorsque vous ne répondez plus à cette supercherie. On vous harcèle téléphoniquement. </t>
  </si>
  <si>
    <t>27/12/2019</t>
  </si>
  <si>
    <t>nico083340-68505</t>
  </si>
  <si>
    <t>Assurance bien trop cher et quand on part chez la concurrence AXA et qu'il s'occupe de tout les papiers pour faire résilier chez Pacifica et que Pacifica refuse la résiliation je me retrouve à payer deux assurances par mois et Pacifica faut bien les morts et ne font pas le nécessaire pour me rembourser et pour mettre fin à mon contrat chez eux vraiment très déçu</t>
  </si>
  <si>
    <t>10/11/2018</t>
  </si>
  <si>
    <t>pereira-c-117276</t>
  </si>
  <si>
    <t>Très satisfaite du tarif et très contente de l’amabilité des deux personne que j’ai eu au téléphone , très professionnel ! Génial Merci beaucoup !!!!!</t>
  </si>
  <si>
    <t>sabrina17-63322</t>
  </si>
  <si>
    <t xml:space="preserve">Je suis très satisfaite depuis 2012 de cette mutuelle et j apprécie beaucoup les nouveautés que l'on me propose </t>
  </si>
  <si>
    <t>17/04/2018</t>
  </si>
  <si>
    <t>angel50-98560</t>
  </si>
  <si>
    <t>mutuelle assez chere mais competente.adherent a la mgp depuis 1968 j ai appris aujourd huique le siege a toulon etait ferme depuis un certain temps une lettre m a ete renvoyee ce jour.j aurais aime que le siege de la mgp informe ses adherents.</t>
  </si>
  <si>
    <t>lila-rose--100476</t>
  </si>
  <si>
    <t xml:space="preserve">Service médiocre, aucun suivie.
J’ai dû appeler au minimum 30 fois pour percevoir mes remboursement c’est lamentable ... 
on me raccroche au nez !!! Quand je rappel je dois attendre au minimum 20 min et pour combler le tous les conseiller ne savent pas régler le problème 
</t>
  </si>
  <si>
    <t>labarriere-c-125581</t>
  </si>
  <si>
    <t>Un peu cafouilleux pour fixer le rendez-vous, mais la conseillère a pris le temps nécessaire pour répondre à mes attentes malgré la modicité de mon placement.</t>
  </si>
  <si>
    <t>Carac</t>
  </si>
  <si>
    <t>merabia-s-138207</t>
  </si>
  <si>
    <t xml:space="preserve">Le prix et le service sont biens, prix nouveau conducteur attractif. Toutefois je ne peux donner un avis définitif car je viens à peine de souscrire un contrat, à voir avec le temps. </t>
  </si>
  <si>
    <t>25/10/2021</t>
  </si>
  <si>
    <t>alexythier-97879</t>
  </si>
  <si>
    <t xml:space="preserve">C est une honte le tarif augmente sans raison de 10 euros par mois alors que je n ai eu aucun sinistre. Aucun remboursement suite au covid. Ne souscrivez pas ! 
</t>
  </si>
  <si>
    <t>26/09/2020</t>
  </si>
  <si>
    <t>constance-p-113875</t>
  </si>
  <si>
    <t>très bien quand on est concerné! mais j'ai déménagé il y a un an et mon départ signalé pourtant n'a pas été pris en compte!!! c'est infernal !!!
constance przybyszewski</t>
  </si>
  <si>
    <t>16/05/2021</t>
  </si>
  <si>
    <t>anne-so-59983</t>
  </si>
  <si>
    <t>Je souhaite vous faire part de mon expérience : Le Vendredi 10 Novembre à  18 h 20 j’emprunte la A 86 à Vélizy Villacoublay dans la direction de Chatenay-Malabry, Verrières le buisson... Le trafic était dense, j’étais à l’arrêt, comme tous les autres véhicules, quand je vois que le monsieur devant moi ne freine pas (route en pente) et recule sur mon véhicule. Je klaxonne alors longtemps mais le monsieur étant très âgé (environ 80 ans) n’a pas eu le réflexe de freiner. Le monsieur ne s’arrête pas pour constater les dégâts matériels. Il repart. Je me mets à courir à sa hauteur et je lui demande de se mettre sur le coté, mais il ne veut pas alors je m’accroche à sa voiture et il n’a pas le choix du coup. Je gare mon véhicule sur la voie d’insertion après Bièvres au niveau de Vélizy Villacoublay. J’informe le monsieur de mon souhait d’établir un constat amiable. Il me dit qu’il ne signera rien. J’appelle la police qui me dit de bien prendre la plaque du monsieur et d’établir le constat amiable seul de mon coté. J’essaie une nouvelle fois de convaincre ce monsieur mais il reste sur ses positions et me jure qu’il n’a rien fait !!! Je lui dis ok si c’est comme cela suivez moi nous allons nous rendre dans le commissariat le plus proche à Chatenay-Malabry. Il ne souhaite pas et commence à accélérer avec sa voiture je m’accroche à son véhicule. Une dame s’arrête pour me venir en aide. Me donne sa carte de visite et prend une photo de l’immatriculation du monsieur car j’étais encore agrippé à la Renault Clio de ce monsieur pour éviter qu’il parte. J’arrive enfin à résonner le monsieur pour qu’il me suive au commissariat et là il prend bien la sortie Chatenay-Malabry et au niveau du grand rond point du Quick il fait demi tour. Je l’ai attendu au commissariat de Chatenay-Malabry en pensant qu’il viendrait. Je demande à déposer une plainte à la police pour délit de fuite mais le policier me dit que je l’ai arrêté du coup ce n’est plus un délit de fuite et j’ai réussi à récupérer (sa plaque d’immatriculation CM090CQ, son numéro de carte verte MAIF 039710N et en discutant il m’a dit qu’il habitait Montrouge). Nous regardons dans le fichier des plaques d’immatriculations avec le policier et l’immatriculation correspond bien à la Renault Clio en question et le monsieur habite bien Montrouge. Je n’ai pas pu avoir son nom car le secret professionnel de ce policier ne lui permet pas de me le donner. Hier je reçois un retour de mon conseiller après  mois d'attente d'un retour de l'autre partie me disant : Madame, Monsieur,
Nous vous confirmons la réception des éléments de votre dossier, et vous en remercions.
Les circonstances de l’accident telles que décrites dans les deux déclarations sont contradictoires. En effet, le tiers indique que vous l'avez percuté par l'arrière et vous stipulez dans votre déclaration que le tiers vous a percuté en reculant.
En l'absence d'un témoin ayant vu la scène du début à la fin et n'ayant pas de témoignage recevable nous sommes au regret de vous informer que ces éléments engagent en partie votre responsabilité.
En conséquence nous prendrons en charge le montant des réparations de votre véhicule, plafonné à hauteur de sa valeur de remplacement, après déduction de la franchise de 187,00 €.
Conformément à la réglementation en vigueur, votre bonus/malus est susceptible d'être majoré à la prochaine échéance contractuelle.
Nous vous prions d’agréer, Madame, Monsieur, nos sincères salutations.
J'ai l'impression de rêver j'ai fait moi même le constat le monsieur n'a pas voulu le signer et c'est moi qui suis fautive non mais je rêve !!!
J'ai envoyé au témoin le retour de mon assurance et elle m'a dit de vite changer car c'est une assurance pourrie. Je vais faire cela car tous vas bien quand il n'y a pas de problème mais sinon en cas de pépin il n'y a plus personne !!! Je suis choquée de cette injustice...</t>
  </si>
  <si>
    <t>27/12/2017</t>
  </si>
  <si>
    <t>franck-g-110308</t>
  </si>
  <si>
    <t xml:space="preserve">Prix correct c est ce qui m’a fait allez chez April à voir dans le temps pour le service client si facile  à joindre
Moi je suis content des économies annuelles </t>
  </si>
  <si>
    <t>13/04/2021</t>
  </si>
  <si>
    <t>brahim-s-109276</t>
  </si>
  <si>
    <t xml:space="preserve">je suis satisfait du service, rapide et efficace, les prix reste largement abordable pour tout type de véhicules. les options reste correct! bon rapport qualité prix </t>
  </si>
  <si>
    <t>06/04/2021</t>
  </si>
  <si>
    <t>jessica-b-111803</t>
  </si>
  <si>
    <t>AUCUNE SUIVI DU SINISTRE-5 MOIS DE SINISTRE ET RIEN EST FAIT-AUCUNE PROPOSITION DE VEHICULE DE PRET-UNE DIZAINE D'APPELS AU SERVICE CLIENT QUI NE NOUS RECONTACTE JAMAIS</t>
  </si>
  <si>
    <t>conan-m-109116</t>
  </si>
  <si>
    <t>je suis satisfait du tarif et des prestations automobiles et habitation, et je recommande L'Olivier à mon entourage pour ces raisons. Mon fils y adhere aussi puisqu il a lui meme son contrat automobile</t>
  </si>
  <si>
    <t>04/04/2021</t>
  </si>
  <si>
    <t>babelayat-a-107368</t>
  </si>
  <si>
    <t xml:space="preserve">
Je trouve que c'est une assurance qui offre une bonne qualité prix et qui est très professionnel et qui a un bon service de suivi à ses clients merci
</t>
  </si>
  <si>
    <t>21/03/2021</t>
  </si>
  <si>
    <t>yb-86733</t>
  </si>
  <si>
    <t xml:space="preserve">Déplorable, refuse les prélèvements SEPA sur un compte en Euros des mois de bagarres au téléphone! J'ai confier le dossier à la DGCCRF c'est franchement inamissible!  </t>
  </si>
  <si>
    <t>04/02/2020</t>
  </si>
  <si>
    <t>franck-103779</t>
  </si>
  <si>
    <t>assureur qui ne réponds jamais aux mails et courrier , je suis assuré depuis novembre 2020 et je n ai toujours pas reçu ma carte verte, et évidemment personne ne répond à ma demande, extremement décu de cette compagnie , je la quitterais sans regret a date anniversaire de mon contrat, je deconseille fortement cet assureur</t>
  </si>
  <si>
    <t>06/02/2021</t>
  </si>
  <si>
    <t>rodriguez-d-122197</t>
  </si>
  <si>
    <t>Je ne connaissais pas l'olivier assurance avant de voir les publicités à la télévision.
Je suis pleinement satisfait de leurs services et les recommandes vivement.</t>
  </si>
  <si>
    <t>tioui-64824</t>
  </si>
  <si>
    <t>Au décès de ma mère de 97 ans on s est aperçu qu elle payait 773 €/an pour des garanties basiques pour son assurance habitation. Pendant le rendez vous pris pour explications, ayant trouvé que la somme était injustifiée et que c était scandaleux , il m a été répondu : votre maman a signé le contrat nous ne lui avons pas tenu le stylo, c était à vous de vous occuper d elle
Quel manque de tact et de correction ! Service de relation clientèle à revoir ! Que cette jeune femme soit mise à l écart des clients ou parte en formation !
Mais où est passée Cerise dont on nous  rebat les oreilles à la pub tous les jours ? Quant à resilier le contrat après le décès je m y emploie mais c est très très compliqué  ! Que de temps et d énergie perdus pour des mensonges</t>
  </si>
  <si>
    <t>17/06/2018</t>
  </si>
  <si>
    <t>sarah--m-114961</t>
  </si>
  <si>
    <t>Dommage qu'on nous oblige à prendre un réparateur agréé. Ca déjà été fait dans le passé et j'ai dû prendre en charge la franchise, sans compter l'impact sur ma cotisation.</t>
  </si>
  <si>
    <t>26/05/2021</t>
  </si>
  <si>
    <t>jumarduel-56347</t>
  </si>
  <si>
    <t xml:space="preserve">Voici mon expérience...
Break BMW assuré tout risques + option panne 0km + option véhicule de remplacement, pour être tranquille.
Tentative de vol, une serrure, une portière, un débosselage sur une autre portière.
Voilà les faits :
Direct Assurance n'a pas de véhicule de remplacement à me fournir. Il ne peuvent pas prendre mon véhicule avant 48h, celui ci n'a plus de serrure et les voleurs ont été vu par la gendarmerie avec l'ordinateur connecté dessus... Impossible de le laisser dehors sinon il sera volé dans les 48h, c'est certain...
En résumé, JE me débrouille pour apporter ma voiture dans LEUR garage partenaire, LEUR "expert" rend son rapport, ne prend qu'une partie des dommages à charge, arrivant à un total de 449,92€ avec 450€ de franchise. (Non non, c'est pas une blague...)
On me propose 10€/j de dédommagement car les réparations se font selon LEUR expert en 1j, alors que le véhicule sera immobilisé entre 10 et 20 j pour recevoir les pièces...
En attendant je reste piéton, à 7j des vacances, JE me suis débrouillé pour sauver mon véhicule, et JE vais payer 449,92€ et direct assurance 0€.
Si j'étais passé par mon garage sans ces gens, j'en aurai eu pour moins cher et plus vite.
Bref rien à garder dans cette boîte, je contacte le médiateur des assurances et je me dépêche d'envoyer ma lettre de rupture de contract !
N'Y ALLER SURTOUT SURTOUT PAS !!!
</t>
  </si>
  <si>
    <t>28/07/2017</t>
  </si>
  <si>
    <t>leon-80223</t>
  </si>
  <si>
    <t xml:space="preserve">assuré à un prix raisonnable et surtout sans franchise en novembre 2017 , j'ai eu la désagréable   surprise de me voir appliquer en novembre 2018 une augmentation de 20,4% sans pouvoir obtenir d'explication de la part d'Allianz ; en fait j'avais déclaré 2 accidents non responsables au cours de l'année ;ils ont voulu récupérer les sommes dépensées du fait de mon absence de franchise ; ils espéraient me voir partir mais je suis resté quand mème car il est trés difficile de trouver une assurance avec 0 de franchise .j'attends de voir l'augmentation pour l'année à venir car j'ai déclaré encore un accident non responsable !!!        </t>
  </si>
  <si>
    <t>19/10/2019</t>
  </si>
  <si>
    <t>reve-52919</t>
  </si>
  <si>
    <t>La GMF vient de résilier mon contrat pour deux petits boum en marche arrière en 2016 qui ne leurs a pas du tout coûter cher !!!! Alors que je suis assurée chez eux depuis 2008. je résilie l'ass.habitat.</t>
  </si>
  <si>
    <t>milson-a-130660</t>
  </si>
  <si>
    <t>Impeccable, rapide, efficace. Un appel et me voici assuré, pour une tarification plutôt intéressante. 
Conseillère très aimable, rapidité d'exécution.</t>
  </si>
  <si>
    <t>titus-107988</t>
  </si>
  <si>
    <t>Aminata a répondu avec compétence, patience et gentillesse à mes questions et le problème, que je ne pouvais résoudre via le site internet de la mutuelle, a été résolu.</t>
  </si>
  <si>
    <t>25/03/2021</t>
  </si>
  <si>
    <t>evert-13006-60404</t>
  </si>
  <si>
    <t xml:space="preserve">En octobre 2017 j'ai eu une charmante conseillère Santiane qui m'a vendu une mutuelle santé attrayante. Soins de ville + hospitalisation. à 39,90 euros. Avec, vous allez être contente, me dit-elle un "bonus" 'de 150 euros par jour pendant 6 jours en cas d'accident.) Je ne reçois pas de mail du contrat elle me dit ça va être fait, ne vous inquiétez pas, vous pourrez vous rétracter si vous changez d'avis....  Confiante, je signe électroniquement sans avoir de détail de ce que je signais. Santiane me dit que c'est impossible. Mais si ! 
Je me suis retrouvée avec une mutuelle assurant uniquement l'hospitalisation et "le bonus" qui est en fait une "prévention accident" (j'en ai déjà une chez mon assureur.)
Après une vingtaine de coups de fils et 19 mails j'ai obtenu enfin par mail la rétractation de la mutuelle mais je suis prélevée depuis le 05 janvier de cette prévention accident que je n'ai jamais voulue et qui m'a été vendue frauduleusement.
Un conseiller m'a dit faites opposition. Ce que j'ai fait.
Une autre conseillère m'a dit ah non, surtout pas.
Je vous fais part de ma mésaventure et ce n'est pas fini ..avec SANTIANE pour que vous ne fassiez pas la même erreur.
</t>
  </si>
  <si>
    <t>11/01/2018</t>
  </si>
  <si>
    <t>mag-87819</t>
  </si>
  <si>
    <t xml:space="preserve">je perçois des indemnités en assurance prévoyance qui normalement devaient me faciliter la vie. Je suis atteinte de sclérose en plaques. Les paiements sont de plus en plus tardifs et il arrive encore assez souvent que je sois oubliée et que je ne sois pas payée ou alors après maints coups de fils. J'ai donc des frais de ma banque et des harcèlements des créanciers car je suis en Banque de France.  </t>
  </si>
  <si>
    <t>rover-116066</t>
  </si>
  <si>
    <t xml:space="preserve">Je suis client Santiane depuis le mois de Mars, à mon grand REGRET. Lors de la prospection téléphonique de démarchage, proche du Harcèlement, la conseillère très sympathique m'avait affirmé que les remboursements interviendraient sous 48H00. A ce jour, la connexion Noémie entre ma précédente complémentaire santé et la CPAM a bien été interrompue. Santiane aurait fait la demande de connection afin que les remboursements se fassent. Santiane n'a aucun retour depuis le mois d'Avril 21, en attente, sans réaction, je suis obligé de scanner et de transmettre toutes les factures des différents praticiens (même lors d'une simple visite chez le médecin géneraliste) pour être remboursé. Santiane ne répond pas non plus ou difficilement, voir tardivement aux devis envoyés par les professionnels (ex Optique), en disant qu'ils ne reçoivent rien. J'ai Hâte que l'année se termine afin de résilier mon contrat. Pour mon expérience courtier mutuelle à FUIR. Je vais d'ailleurs exercer un recours au Tribunal de Commerce. AUCUNE CONFIANCE A CE JOUR. A EVITER  !!!!!!!!!!!!!! </t>
  </si>
  <si>
    <t>pam-56810</t>
  </si>
  <si>
    <t>Depuis des mois j essaye d obtenir le rachat de deux bons de capitalisation souscrits par mon père qui est décédé le 3 janvier 2017. Je n arrive à rien, Cardif s assied sur les fonds. Aucune reponse aux mels. Des conseillers qui donnent des informations parcellaires et inexactes. Bref nul nul un vrai scandale</t>
  </si>
  <si>
    <t>22/08/2017</t>
  </si>
  <si>
    <t>edouard-b-113431</t>
  </si>
  <si>
    <t>Je suis satisfait du service, le site est facile d'utilisation. Meilleur tarif pour mon deux roux. Bien orienté au file du remplissage des documents. Merci</t>
  </si>
  <si>
    <t>11/05/2021</t>
  </si>
  <si>
    <t>brevin-97652</t>
  </si>
  <si>
    <t>J'ai été délégué de longues années pour cette mutuelle (donc en tant que bénévole). Elle n'a malheureusement pas gardé les valeurs de départ. Un exemple : j'ai été adhérent pendant plus de 30 ans. J'ai résilié fin année 2020 faute de moyens au regard du montant, et de mes moyens. Recommandé de ma part et résiliation attestée par courrier de la mutuelle pour fin 2020. J'avais un trop versé que je leur demande depuis. Aucun retour. Pire : ils me réclament les cotisations 2021 bien que la résiliation ait été attestée par eux. Menaces d'huissier. Aucun respect des adhérents et manque de cohérence entre les services. Heureusement, j'avais enregistré les échanges téléphoniques !....</t>
  </si>
  <si>
    <t>arno-81730</t>
  </si>
  <si>
    <t>Service client défectueux
Rachats très longs
Impossible de joindre l Afer au téléphone
Choix des UC trop restreint</t>
  </si>
  <si>
    <t>07/12/2019</t>
  </si>
  <si>
    <t>jerome-p-127160</t>
  </si>
  <si>
    <t>Je suis satisfait des tarifs et vous recommanderais si nécessaire à des amis circulant en 2 roues. Mais comme beaucoup de personnes je vous ai connu par votre publicité à la télévision et je connais également qui roule en étant assuré chez vous.</t>
  </si>
  <si>
    <t>09/08/2021</t>
  </si>
  <si>
    <t>jujulu-80992</t>
  </si>
  <si>
    <t>Contrat résilié depuis Avril 2019 car je suis passée sur la mutuelle du travail de mon mari. Mais, ils continuent à me facturer un autre contrat "protection hospitalière" souscrit depuis 2011. J'ai donc fait un courrier pour résilier cet autre contrat. Je ne pouvais pas résilier avant oct 2019. Mais je n'ai a priori pas utilisé le bon formulaire, j'ai utilisé le formulaire Loi Hamon et non Loi Chatel. Donc ils continuent à me facturer jusqu'en Janvier 2020, et je dois refaire un courrier. Je trouve que ce n'est pas fair play de supprimer qu'un contrat sur deux et que les informations que j'ai eues au début par mail n'étaient pas du tout claires. Très déçue!</t>
  </si>
  <si>
    <t>giuliana-86170</t>
  </si>
  <si>
    <t>Je viens d'être en communication avec SARA M, très professionnelle, sympathique, agréable, souriante. Explique  pas à pas comment procéder pour vous  envoyer les documents.</t>
  </si>
  <si>
    <t>21/01/2020</t>
  </si>
  <si>
    <t>safia-z-110984</t>
  </si>
  <si>
    <t>BONJOUR,
DEMARCHE ET ACHAT DE L'ASSURANCE SIMPLE ET RAPIDE. 
OPTION AJOUTABLE ET ENLEVABLE RAIDEMENT.
PROPOSITION D'OPTION EN RELATION AVEC LE PROFIL
MERCI</t>
  </si>
  <si>
    <t>dv-101320</t>
  </si>
  <si>
    <t>vous déclare des accidents a tord alors que vous n' aviez aucun tord et ce sans vous prévenir 
vous ne vous en apercevez que le jour ou vous demandez un relevé info et ci c' est 2 ans après aucun recours maigres le fait que vous n' avez eu aucune franchise lors des réparations, ce qui est facile a retrouve sur leur paiement .
a fuir !!!</t>
  </si>
  <si>
    <t>11/12/2020</t>
  </si>
  <si>
    <t>alex-109932</t>
  </si>
  <si>
    <t>Bonjour,il y’a 5 ans Que je suis en conflit avec Generali j’ai souscrit en 2016 une assurance prévoyance maladie accident,177 jours après l’ouverture du contrat je suis tombé malade j’ai fait ma déclaration à l’assurance , j’ai passé une expertise avec un médecin de la Generali qui a reconnu ma pathologie donc j’ai fait Toutes les démarches pour m’ indemnisés ,J’ai reçu un courrier de Generali  qui me signifier que j’avais une carence sur ce contrat de 180 jours !!! Sur mon contrat la maladie se situer a 30 jours, rien à faire il reste sur leurs positions ils me disent de voir les conditions générales, impossible! On ne souscrit jamais une assurance prévoyance maladie avec une franchise 180 jours surtout que je suis artisans Il faudrait être fou, donc je prends un avocat et après quatre ans de galère  arrive le jugement, la juge m’a débouté et m’a signifié par courrier que la franchise de 180 jours devait être appliquée alors que comme je vous dis ma franchise était bien stipulé dans les conditions particulières de 30 jours et en plus je dois rembourser à Generali pour les frais d’avocat 2000 € . On se pose vraiment des questions sur la justice une pour les pauvres une pour les riches Sûrement !</t>
  </si>
  <si>
    <t>Generali</t>
  </si>
  <si>
    <t>christophe-g-114596</t>
  </si>
  <si>
    <t xml:space="preserve">Je suis satisfait des prix et de la relation client.
Le personnes avec qui j'ai échangé ont toujours su répondre à mes questions, j'ai aussi apprécié le suivi de mon dossier avec des emails de relance sur l'évolution de celui-ci.
</t>
  </si>
  <si>
    <t>22/05/2021</t>
  </si>
  <si>
    <t>olivier-86894</t>
  </si>
  <si>
    <t xml:space="preserve">Impossible à joindre par téléphone malgré les demandes de rappel. Ne réponds pas aux messages depuis leur site. Je ne sais plus quoi faire pour entrer en contact avec eux. Très déçu. </t>
  </si>
  <si>
    <t>08/02/2020</t>
  </si>
  <si>
    <t>panegyrix-62182</t>
  </si>
  <si>
    <t>Je déconseille vivement. Montant de remboursement faible, plus, j'ai été obligée à maintes reprises de les relancer pour obtenir un remboursement. Leurs augmentations de tarifs sont choquantes. En ce moment, aucune réaction à ma dernière demande concernant un médicament censé être entièrement remboursé, et pour lequel je n'avance rien à la pharmacie. Or, une de ces pharmacies m'a annoncé dernièrement que Cegema ne l'avait jamais payée en juin dernier, malgré réclamations. Résultat, la pharmacie m'a demandé de la rembourser (d'ailleurs, en a-t-elle le droit ?) C'est scandaleux !</t>
  </si>
  <si>
    <t>10/03/2018</t>
  </si>
  <si>
    <t>marsprov-101317</t>
  </si>
  <si>
    <t>Mensualités élevées pour un retour faiblard, notamment pour les dents... Six mois pour étudier une participation pour des implants pourtant indispensables vu mon état de santé, c'est trop!</t>
  </si>
  <si>
    <t>legalite-56323</t>
  </si>
  <si>
    <t>il ont fait paye 1 ans d assurance pour un logement vide et vacant  au descendant  alors que l'occupant etait  etait decede depuis 1 an, sans s etre preoccupe de quoi que ce soit.</t>
  </si>
  <si>
    <t>27/07/2017</t>
  </si>
  <si>
    <t>celine-d-105295</t>
  </si>
  <si>
    <t xml:space="preserve">Nous sommes très satisfaits de cette assurance. Ils sont à l'écoute, disponible et agréable.
Les prix restent corrects par rapport au marché. Je recommande ! </t>
  </si>
  <si>
    <t>gg-62799</t>
  </si>
  <si>
    <t>bonjour
sociétaire MAIF depuis de nombreuses années je suis très déçu par la façon d agir  de la MAIF en effet mon fils s'est fait voler son véhicule et la!!! refus de rembourser le véhicule pourtant assure au max formule plenitude en fait au lieu de jouer leur role d'assureur sur qui on compte en cas de besoin ils cherchent juste une faille pour ne pas rembourser impossible de parler au gens qui traitent le dossier secrétaire tampon oblige bref je suis très déçu du comportement de mon assureur qui,je suis obliger de constater, a part encaisser mes cotisations ne sert a rien.j attends d'être contacte et bien sur je tiendrais informe les internautes de l'evolution de mon dossier</t>
  </si>
  <si>
    <t>30/03/2018</t>
  </si>
  <si>
    <t>tali2a-76901</t>
  </si>
  <si>
    <t xml:space="preserve">Paroi de douche détériorée accidentellement par un tiers fin mars. Reçue au siège AXA fin Avril !!!
36 coups de téléphone. Traitée comme si c'était Moi qui avait fait les dégâts. Devant expliquer à chaque fois le sinistre !
Dossier toujours pas réglé, toujours pas de remboursement....on dirait que les opérateurs sont trois à travailler et à traiter les dossiers !!!!
Embauchez si vous n'y arriverez pas !!! Ou ne prenez plus de nouveaux clients.
En gros, service lamentable !!! </t>
  </si>
  <si>
    <t>vaness-67758</t>
  </si>
  <si>
    <t>Je suis trés déçue de Néoliane. Quand tu leur envoie une quittance pour te faire rembourser la partie mutuelle soit ils ne te remboursent pas soit ils remboursent au bout d'un moment. Trop cher pour le peux qu'elle te rembourse c'est inadmissible !!!!</t>
  </si>
  <si>
    <t>16/10/2018</t>
  </si>
  <si>
    <t>django-137833</t>
  </si>
  <si>
    <t xml:space="preserve">La MAIF au top j’ai eu un pet avec ma vieille clio de 2003 j’étais en tord et en tous risques ma voiture ne valait plus rien à l’argus à cause du fort kilométrage (347mkm)et bien j’ai récupéré 2800€ ils m’ont dit que assurer en tous risques j’avais droit à une valeur garantie parce que la voiture était assurée depuis 5 ans 10jours après j’avais l’argent sur mon compte </t>
  </si>
  <si>
    <t>20/10/2021</t>
  </si>
  <si>
    <t>gillesdemalte-59799</t>
  </si>
  <si>
    <t>problemes suite a un sinistre rembourse dans um premier temps puis refuse pour etre a nouveau accepte apres une vive discution avec la gmf.jer fais 3 devis differents l expert de la gmf me dit que c est trop cher.je suis oblige de payer la difference de ma poche plus la franchise de 169 euros.J ai quitté la gmf qui m a rappele plusieurs fois etonnée de mon depart. a bannir</t>
  </si>
  <si>
    <t>19/12/2017</t>
  </si>
  <si>
    <t>valou-133731</t>
  </si>
  <si>
    <t>Adhérente MGP depuis plus de 30 ans, mes cotisations mensuelles sont exorbitantes, supérieures à 100€ rien que pour moi.
Au vu des remboursements de soins dentaires, j'ai dû suspendre le suivi de soins, les couronnes étant quasi pas remboursées.
Aujourd'hui, j'ai plusieurs dents cassées, avec tout ce que cela induit de problèmes de santé autres....
J'ai été mise en arrêt de travail suite à une maladie, et mes ressources ont été diminuées de plusieurs centaines d'euros, sans que le montant de mes cotisations mensuelles n'aient été revues à la baisse...
Actuellement en CLD, il m'est toujours prélevé mensuellement plus de 150€ ce qui est considérable pour moi.
Je suis mécontente.</t>
  </si>
  <si>
    <t>21/09/2021</t>
  </si>
  <si>
    <t>nono62-68130</t>
  </si>
  <si>
    <t>Pas de problèmes particuliers avec cet assureur hormis les contacts. Si on n’est pas affilié avec la banque LCL ou crédit agricole, on ne peut avoir plus de relations qu’avec le téléphone. Ça marche mais c’est rétro... Les docs sont alors transmis par courrier papier et c’est usant. En étant chez c’est pas mieux car on a affaire à un conseiller débordé qui n’est pas assureur et qui délègue et ça dure.
Les prix sont honnêtes et l’on peut avoir du bonus en plus que 50%, sans accident, avec 20% en plus qui ne sert que lors d’un besoin de celui-ci.
Pour ma part je suis au CMNE et seulement Pacifica pour l’auto.</t>
  </si>
  <si>
    <t>daniel-104729</t>
  </si>
  <si>
    <t xml:space="preserve">Chez april depuis des lustres j'en suis plus que satisfait..dernièrement j'ai changé de becane, 2 conseillères m'ont prise en compte...explications claires  nettes, super sympa a l'écoute, bref plus que satisfait et les tarifs sont cool .....je recommande </t>
  </si>
  <si>
    <t>24/02/2021</t>
  </si>
  <si>
    <t>fred-110352</t>
  </si>
  <si>
    <t>Très satisfait par Kadi, dont l'écoute, la disponibilité, la gentillesse et la compétence m'ont bien aidé pour une situation complexe que je rencontrais. Elle m'a apporté des éclaircissements par rapport à des démarches que j'effectuais depuis deux mois auprès d'une autre mutuelle et qui, j'espère, vont trouver une résolution.</t>
  </si>
  <si>
    <t>florian-antibes-57870</t>
  </si>
  <si>
    <t>Amv très déçus! Tout va bien jusqu'au jour ou vous avez un accident. Voila maintenant 7 mois que j'ai eu mon accident, et j'en suis toujours au même point. ils ne sont disponible que les matins, si vous voulez connaitre l'avancé de votre dossier, vous êtes obligés de les appeler parcequ'il ne vous en donneront jamais. Pas un seul courrier pour me dire ou en est mon dossier. Cela fait 7 mois que je n'ai plus de moyen de locomotion pour aller au boulot, et je ne sais pas quand ce calvaire va se terminer. je continue de payer tout les mois pour une moto qui ne roule plus, et je n'ai pas les moyen de payer moi même les réparations (1200E).</t>
  </si>
  <si>
    <t>08/10/2017</t>
  </si>
  <si>
    <t>aziza-b-110733</t>
  </si>
  <si>
    <t xml:space="preserve">Très intéressant et rapide au niveau des tarifs. Merci je suis très satisfaite de vos services . Hâte de faire partie de vos clients . Bon weekend à toute l'équipe </t>
  </si>
  <si>
    <t>anne-cecile-r-121146</t>
  </si>
  <si>
    <t>Gestion catastrophique des dossiers, lenteur intolérable. Sinistre survenu en décembre 2020 rien n'avance malgré de multiples relances. les seuls sursaut sont lorsqu'on arrive à avoir un conseiller au téléphone qui tente de traiter le dossier durant l'appel, l'assuré n'a qu'a patienter à chaque fois et derrière aucune nouvelle à chaque fois.</t>
  </si>
  <si>
    <t>guibs-64853</t>
  </si>
  <si>
    <t>Après paiement de l'assurance faisant suite à  un devis, je suis toujours dans l'attente du mail qui me donnera mon numérode client afin de poursuivre la procédure. Heureusement que j'ai utilisé la procédure express.</t>
  </si>
  <si>
    <t>18/06/2018</t>
  </si>
  <si>
    <t>max-74575</t>
  </si>
  <si>
    <t>Service client très réactif que ce soit par téléphone comme sur Facebook. Service commercial au top avec des conseillers qui prennent le temps de nous expliquer afin que la souscription se fasse dans les meilleures conditions.</t>
  </si>
  <si>
    <t>29/03/2019</t>
  </si>
  <si>
    <t>osionneau-63673</t>
  </si>
  <si>
    <t>J'ai été assuré durant 3 années jusqu'au 21/04/2018 date à laquelle j'ai revendu mon véhicule. cette compagnie peu scrupuleuse m'a attribué un événement responsable en 03/2017 alors que je n'ai fait que signalé un accrochage léger avec délit de fuite la tierce partie. Il n'y a pas eu de constat ni de dommages à réparer, aucuns frais demandés à l'assurance, cependant ils ont estimé que c'était un événement de ma responsabilité. D'autre part, ils font de la rétention d'information en mettant des semaines après plusieurs relances et en exigeant un déplacement en agence pour donner les relevés d'information. Entreprise peu vertueuse à éviter d'urgence !</t>
  </si>
  <si>
    <t>30/04/2018</t>
  </si>
  <si>
    <t>kelly-d-110902</t>
  </si>
  <si>
    <t>J'ai une un accident j'ai pas ete suivis et j'ai payer beaucoup de ma poche pour un prix  ..
enplus quand on vous apelle on des personnes qui en savent rien .</t>
  </si>
  <si>
    <t>malik-66809</t>
  </si>
  <si>
    <t xml:space="preserve">Assurance à proscrire. Ne surtout pas se lancer. Une fois dans la base de données harcèlement du service commercial pour vous faire souscrire diverses autres assurances. Concernant le service client pour le décrire il faut tomber dans la vulgarité. Mais en synthèse incompétent j’ai eu des blancs de deux minutes au téléphone pensant que c’était des problèmes de réseaux mais non c’était entre guillemets le conseiller  qui pianotait à la recherche d’une réponse. J’ai trouvé moins cher ailleurs et là pour résilier c’est un parcours du combattant je n’en suis toujours pas arrivé à bout. </t>
  </si>
  <si>
    <t>12/09/2018</t>
  </si>
  <si>
    <t>ppff1234-104296</t>
  </si>
  <si>
    <t>Communication par téléphone ce jour, avec demande de renseignements qui permet une véritable sécurité de notre copte adhérents. Personne très aimable au téléphone et qui m à très bien renseigné et répondu à mes questions. Je recommande. Merci</t>
  </si>
  <si>
    <t>petrault-t-129594</t>
  </si>
  <si>
    <t>Je suis satisfais du service, l'outil est agréable a utilisé cependant j'aurai aimé avoir mention de l'acompte sur les étapes précédentes ainsi que les détails de celui ci.</t>
  </si>
  <si>
    <t>vv-57305</t>
  </si>
  <si>
    <t xml:space="preserve">sinistre dans ma douche très long et très mal remboursé. l'expert a mis beaucoup de temps à venir constater les dégâts comme si on pouvait rester sans se doucher! et pour déclarer au final qu'il ne remboursait  rien car il n'avait pas pu constaté les dégâts puisque c'était réparé </t>
  </si>
  <si>
    <t>13/09/2017</t>
  </si>
  <si>
    <t>bietry-o-138961</t>
  </si>
  <si>
    <t xml:space="preserve">La personne que j'ai eu au téléphone a été très aimable et très clair et très professionnel  . Les tarif sont très intéressants. La rapidité d'exécution et l'attente téléphone rapide. </t>
  </si>
  <si>
    <t>youssef-109319</t>
  </si>
  <si>
    <t>Service rapide et à l'écoute des clients, la prise en charge est rapide afin de résoudre les problèmes administratives. Au niveau prestations à voir dans la durée et à sollicitation.</t>
  </si>
  <si>
    <t>jennifer-b-118004</t>
  </si>
  <si>
    <t xml:space="preserve">je suis très satisfaites des services et garanties que vous proposez. un très bon accueil et une rapidité d'action impeccable
je recommande vos assurances a mes proches </t>
  </si>
  <si>
    <t>gil-d-107856</t>
  </si>
  <si>
    <t xml:space="preserve">Je suis très satisfait de la réactivité des conseillers, de l'accompagnement et du contact humain notamment au moment de mon sinistre où la personne que j'avais eu au téléphone m'a rassuré sur les démarches et la suite du dossier. </t>
  </si>
  <si>
    <t>calou900-82186</t>
  </si>
  <si>
    <t>assurance auto,a fuir tarif trop  élevé 450 euros pour une twingo 3,avec 50% de bonus.</t>
  </si>
  <si>
    <t>22/12/2019</t>
  </si>
  <si>
    <t>mohamed-b-125540</t>
  </si>
  <si>
    <t>Je suis content de la rapidité et du tarif intéressant mais ayant de véhicules assuré chez vous j’espère quand même payé un peu moin chère pour la première voiture assurée chez vous ( le touareg)qui a mon goût reste très cher.</t>
  </si>
  <si>
    <t>30/07/2021</t>
  </si>
  <si>
    <t>apprenti78-74600</t>
  </si>
  <si>
    <t>A fuir. Les conseillers clientèles pensent que vous êtes à leur disposition et vous appellent à de multiples reprises consécutivement si vous ne répondez pas. Je suis formateur de conducteurs routiers et ils ont fait sonner mon téléphone jusqu'à 5 fois d'affilée durant une leçon de conduite sans même laisser un message.
D'autre part ils refusent depuis 10 jours de me fournir une carte verte bien que j ai été prélevé et que j ai fourni toutes les pièces justificatives demandées. La raison ? Je ne peux fournir la facture de mon antivol SRA !! 
Cet assureur semble ignorer les lois et ses propres règles. Qu'il me refuse l application de la garantie vol de mon contrat, le cas échéant, serait conforme à leur cgv et légal. Par contre il n'est mentionné nulle part que la facture de l'antivol est nécessaire à l'obtention de la carte verte. De plus, la fourniture de la carte verte par l assureur à l'assuré est une obligation légale qui prouve que le véhicule souscrit à l obligation d avoir une couverture responsabilité civile. Le conducteur est verbalisable s il ne peut la présenter ainsi que s il n a pas apposé le volet détachable sur son vehicule.
Je risque donc à tout moment de me faire verbaliser parce que... Je n'ai plus la facture de mon antivol !!! 
En résumé : limite du harcèlement telephonique, non respect de ses propres règles, rétention de documents... Par contre, pas de problèmes de prélèvement, ca marche bien, c'est très rapide...</t>
  </si>
  <si>
    <t>Euro-Assurance</t>
  </si>
  <si>
    <t>30/03/2019</t>
  </si>
  <si>
    <t>jode-110739</t>
  </si>
  <si>
    <t>Facilité de connexion au site, simplicité des démarches, rapport prix/prestations et garanties
Contrats clairs, choix des options simple, facilités de modifications du contrat.</t>
  </si>
  <si>
    <t>mathieu4133-100898</t>
  </si>
  <si>
    <t>Très mauvaise assurance !
Vous avez le minimum de service en temps normal et lors de la gestion du sinistre, catastrophique !!! 2 mois et toujours pas de réponse. Soi disant qu'on attend le retour des experts... Amateurisme, assurance déplorable, n'y allez pas.</t>
  </si>
  <si>
    <t>03/12/2020</t>
  </si>
  <si>
    <t>estelle-90314</t>
  </si>
  <si>
    <t>Adhérente part argedis j'attend toujours ma carte mutuelle depuis janvier relance en février en mars en avril par appels et mails. Rien ne fonctionne y a mieux comme mutuelle ça donne mon numéro d'adhérent à d'autres adhérents aucun remboursement de perçu depuis novembre. Je la déconseille aux entreprises et aux particuliers.</t>
  </si>
  <si>
    <t>08/06/2020</t>
  </si>
  <si>
    <t>hatim-k-113380</t>
  </si>
  <si>
    <t>Très bon prix, contact rapide et précis.
Bon démarchage, personne très agréable, à l'écoute, réactif sans être trop envahissant.
Espérons que cela durera et que vous serez présent en cas de soucis.</t>
  </si>
  <si>
    <t>jiboo-74654</t>
  </si>
  <si>
    <t>Suite à un incendie j'ai toute une partie de mon petit électro-ménager qui est parti en fumée. Moi comme un idiot je nettoie et range (et jette les carcasses) à la poubelle car j'ai 2 enfants en bas age et je ne veux pas qu'ils aient accès à ces déchets. C'est pas grave, j'ai les factures. Ben non, comme l'expert n'a pas pu voir l'amas de carbone, je dois m'asseoir sur 4000 euros de remboursement. On me répond que je n'aurais pas du les jeter. 4000 euros non remboursés parce que j'ai voulu assainir l'air chez moi. Merci la Macif</t>
  </si>
  <si>
    <t>david-49014</t>
  </si>
  <si>
    <t xml:space="preserve">Expérience catastrophique avec la société Allianz . Contrat internet à éviter !! Des heures d attentes au téléphone pour rien à l arrivée .Quand on signe le contrat , on nous explique que tel conseiller proche de chez nous est notre contact de référence, ce qui est totalement faux. Pour avoir eu ce contact par téléphone , il ne peut me donner aucune information, pire encore il n'a pas la main sur le contrat..Des contrats à bas cout qui n'assurent du coup presque rien ( et oui faut pas rever). C'est une société a part qui ouvre le contrat et qui disparait par la suite. Le service client est une véritable catastrophe , depuis 1 mois on passe nos journées avec eux au téléphone pour clôturer un sinistre non responsable qui n'avait pas lieu d'exister. Par contre j'ai demandé un devis ce matin pour augmenter mes échéances, il est arrivé dans la demi heure.Incroyable de voir ce genre de pratique. </t>
  </si>
  <si>
    <t>22/12/2017</t>
  </si>
  <si>
    <t>mtira-m-109715</t>
  </si>
  <si>
    <t>je suis satisfait et vous remercie, très pratique en ligne, je ne manquerai pas de parler de vous, réponse rapide, j'ai fait plusieurs comparatif tarif et vous êtes les moins cher</t>
  </si>
  <si>
    <t>fvernet-128593</t>
  </si>
  <si>
    <t>Bonne couverture et remboursement rapide, ce qui est très appréciable ! Plusieurs formules sont disponibles mais c'est l'employeur qui choisi. IL Y A UN MANQUE D'INFORMATIONS sur les possibilités d'élargir le domaine des garanties en sus de la base employeur et à quels tarifs....</t>
  </si>
  <si>
    <t>lolo72-113959</t>
  </si>
  <si>
    <t xml:space="preserve">Incompétence et mauvaise foi pour régler un capital décès.
Au téléphone les personnes ne sont pas au courant du dossier par mail personne ne répond.
Pour chaque courrier 5 semaines de  délai de traitement.
Y en a marre </t>
  </si>
  <si>
    <t>aurore-97740</t>
  </si>
  <si>
    <t>cela fait plus d'un an que je suis prélevé 5€ par mois pour un service dont je n'ai pas besoin et que je peux pas résilier. Je déconseille fortement de commencé à se faire assurer par Néoliane. 
Après plusieurs appels , mails, courrier recommandé, je n'arrive toujours pas à arrêter les prélèvements. Impossible de se faire rembourser! Bref , de l'argent jeter par les fenêtres suite à une signature électronique réalisée avec un courtier en ligne faite en 5 min....</t>
  </si>
  <si>
    <t>23/09/2020</t>
  </si>
  <si>
    <t>abas-k-132814</t>
  </si>
  <si>
    <t>Très satisfait de cet assurance, je vais pouvoir la recommander à mon entourage
pour qu'ils en fassent la démarche si cela leurs interéssent.
beaucoup plus rentable.</t>
  </si>
  <si>
    <t>f-vandenhove-50599</t>
  </si>
  <si>
    <t xml:space="preserve">tarifs élevés, prélèvement intempestif, difficulté de résiliation, services client incompétent, traitement des courriers non effectués, réponse à une demande par courrier reçu après x relances au bout d'un mois et demi. FUTURS ASSURES PASSEZ VOTRE CHEMIN </t>
  </si>
  <si>
    <t>23/12/2016</t>
  </si>
  <si>
    <t>bruno-z-121897</t>
  </si>
  <si>
    <t>Les prix me conviennent, je vais y réfléchir quelques jours avant de confirmer l'assurance habitation, le temps nécessaire de comparer d'autres offres.</t>
  </si>
  <si>
    <t>hassan-b-127439</t>
  </si>
  <si>
    <t>déjà 2 assurances chez vous. Bien pris en charge. Assurance sérieuse et très compétitive. agit rapidement en cas de problème. Trés en vue dans la publicité</t>
  </si>
  <si>
    <t>fredchrisjade-114363</t>
  </si>
  <si>
    <t>Le conseiller Thomas, est très disponible et efficace sur les différentes propositions. La mutuelle qui nous a été proposée correspond à notre situation.</t>
  </si>
  <si>
    <t>philip-v-116217</t>
  </si>
  <si>
    <t>C'est difficile d'avoir quelqu'un au téléphone pour avoir des simples renseignement sur un contrat existant. Bon prix, souscriptions facile, mais moins cher.</t>
  </si>
  <si>
    <t>black-74730</t>
  </si>
  <si>
    <t>je suis furax,je fais un contrat scooter en ligne à midi,je paye par cb le montant qu'il m'est demandé et la rien,pas de mail de confirmation; j'appelle un nombre incalculable de fois le service commercial qui me repete ça va arriver et rien; à 19h15 je rappelle et demande le service administratif qui me demande de transferer le ticket de  paiement au mail euroassurance(lequel ticket de paiement vient de chez eux,le service compta,un comble!!!!!) et que demain dans la journée je recevrais ce fameux mail;resultats: pas d'assurance pour mon fils qui doit aller à l'école avec demain jeudi 4 avril 2019</t>
  </si>
  <si>
    <t>nam-102778</t>
  </si>
  <si>
    <t>Ils sont plus cher qu'un cabinet d'assurances qui ont plus de charges
Attention faites plusieurs devis!!!!
Ils m'ont pris de l'argent à forces de plusieurs arguments...??</t>
  </si>
  <si>
    <t>17/01/2021</t>
  </si>
  <si>
    <t>adm-104551</t>
  </si>
  <si>
    <t xml:space="preserve">très mauvaise assurance , en lien direct avec leur expert , et le moindre cas , vous serez sur de ne pas être indemnisé. Il ne mérite pas la fonction d'assureur. Maintenant je comprend  mieux les tarifs pour attirer le client mais au moindre problème il n'y a plus personne , en plus même dans les agences c'est vide .
J'espère  que leur compagnie sois reprise  par un vrai assureur .
</t>
  </si>
  <si>
    <t>21/02/2021</t>
  </si>
  <si>
    <t>grefcph-77545</t>
  </si>
  <si>
    <t>Bonjour,
Je vais me plaindre des services de Intériale prévoyance. En effet, je suis en temps partiel thérapeutique depuis le 1er avril 2019 avec perte de primes à hauteur de 60%. Fin mai on m'enlève donc cette partie de primes pour les deux mois. Le 14 juin j'envoie le dossier que l'on m'a envoyé par mail avec tous les documents réclamés. Le 28 juin, je les appelle puisqu'on m'avait qu'au bout de 10 jours mon dossier serait traité. Là une dame me dit qu'ils m'ont écrit le 24 juin pour me réclamer des arrêtés ???? J'appelle donc mon service administratif régional qui me dit que je ne suis pas en longue durée ou longue maladie donc pas d'arrêté. Je rappelle Intériale où une autre personne me dit qu'on n'est pas dans le bon dossier qu'ils m'ont envoyé celui du maintien de salaire !!! On recommence donc et le 28 juin je leur envoie mon dossier avec les justificatifs réclamés sur cet imprimé . Le 3 juillet une personne   de la prévoyance m'appelle et me laisse un message vocal pour me réclamer je ne sais pas quoi je n'ai pas compris, elle me reparle d'arrêté, de la date de mon arrêt initial, de ma journée de carence bref je n'y comprends rien. Evidemment on ne peut pas rappeler il faut passer par le standard intériale, et on me dit qu'on comprend, qu'on fait remonter l'information pour que cette gestionnaire me rappelle. Depuis rien, a part mes 4 appels pour relancer et où on me tient toujours le même discours rien donc je ne sais pas ce qu'elle veut et j'attends le versement de mes primes. Mais de qui se moque-t-on, on paie nos cotisations ça oui ils encaissent mais en retour vous pouvez toujours attendre. C'est quoi ce travail ? Alors quand on est malade on ne part pas en vacances et oui j'attends cette somme pour payer le reste de mon séjour je dis donc à mon mari et à mon fils on ne part pas car vous avez de la chance une femme et mère malade et sans l'argent pour partir (mes primes me servent en partie à payer nos vacances !) donc on n'a pas le droit. Mais quel stress merci pour nous aider à aller mieux. 
Il faut faire quoi exactement pour être rappelé ou pour que notre dossier soit traité aviser les services sociaux, les associations de consommateurs ? Vive la maladie !!!</t>
  </si>
  <si>
    <t>11/07/2019</t>
  </si>
  <si>
    <t>mp74-139424</t>
  </si>
  <si>
    <t xml:space="preserve">Fuir absolument cet assureur!
-Pas de prise en compte des recommandés pour résilier les contrats.
-45 mn d'attente au standard pour avoir un agent qui rassure sans jamais rien faire.
-Les prélèvements ne s'arrêtent jamais, l'opposition est finalement la seule option.
-Is me doivent 900 Euros, personne ne répond ni aux courriers, ni aux mails de réclamation...
-Une honte pour des clients comme nous qui n'ont jamais sollicité la moindre assistance.
</t>
  </si>
  <si>
    <t>scholastique-p-137676</t>
  </si>
  <si>
    <t>Je suis satisfait du service.
J ai été très bien conseillé par un agent au téléphone. Celui ci a pris le temps de m écouter pour me proposer une offre d' assurance auto qui correspond le mieux à mes besoins. Il n a pas cherché à forcer la souscription, ce que j apprécie beaucoup.</t>
  </si>
  <si>
    <t>clarisse-b-113907</t>
  </si>
  <si>
    <t>Je suis satisfait des services en général, le site qui est clair et fonctionnel. Cependant les tarifs ne sont plus aussi compétitifs qu'au départ, ils se comparent à peu près aux autres compagnies. Traitement des sinistres clair et rapide.</t>
  </si>
  <si>
    <t>martine-m-105868</t>
  </si>
  <si>
    <t xml:space="preserve">Impossible de joindre un conseiller de clientèle, 30 minutes d'attente et toujours aucune réponses je peux vous garantir que je vais resilier tout les contrats  </t>
  </si>
  <si>
    <t>christelle-b--103233</t>
  </si>
  <si>
    <t xml:space="preserve">Pour résumer gestion de sinistre = 0 !! vous devez payer une assurance mais n'attendez rien en retour si vous subissez un sinistre pour lequel en plus vous n'êtes pas responsable ! depuis mai 2019, suite à une rupture de canalisation sur la voie publique et entrainant un affaissement de notre habitation, aucune évolution sur notre dossier ! Bataille financière avec l'assurance adverse, aucune considération pour nous, sinistrés, préjudices matériels et moraux importants et si nous ne relançons pas, les mois, les années passent et nous subissons... Mon avis laissé sur leur page le 22/01/2020(label ekomi !) bien sûr n'apparait pas ! </t>
  </si>
  <si>
    <t>26/01/2021</t>
  </si>
  <si>
    <t>anton-l-126516</t>
  </si>
  <si>
    <t xml:space="preserve">Très satisfaisant et vraiment super mais super pratique , petit prix très intéressant pour les jeunes permis prix imbattables je suis vraiment content </t>
  </si>
  <si>
    <t>anais-c-117690</t>
  </si>
  <si>
    <t>SIMPLE ET PRATIQUE
FACILE POUR PRENDRE CONTRAT
CLAIR
MOINS CHER QUE LES AUTRES ASSURANCES ET MEILLEURS DANS LES COMPARATIFS 
APPLICATION PRATIQUE ET FACILE D4UTILISATION</t>
  </si>
  <si>
    <t>21/06/2021</t>
  </si>
  <si>
    <t>guenin-l-134357</t>
  </si>
  <si>
    <t>2 excellents contacts avec les télé-conseillers. J’espère qu’ils seront avertis de cet avis positif quant à leur qualité d’écoute dans leur travail, notamment</t>
  </si>
  <si>
    <t>vives-j-117663</t>
  </si>
  <si>
    <t>Rapide, efficace. En attente de voir ce que donne cette assurance en cas de sinistre. Le prix inclus pas mal de couverture mais ça reste chère. Le service client est très agréable.</t>
  </si>
  <si>
    <t>20/06/2021</t>
  </si>
  <si>
    <t>ganoubzh-100215</t>
  </si>
  <si>
    <t>Allianz/Unim c'est à fuir totalement. L'Unim c'est pour les professionnels de santé, vous cotisez à plus de 150€ par mois, tant que vous payez sans rien demander, tout va bien dans le meilleur des mondes jusqu'au jour où vous êtes en arrêt maladie. Après 2 mois d'attente et de multiples relances téléphoniques - parce qu'ils ne prennent même pas la peine de répondre aux mails -  on vous dit que votre dossier est traité par le médecin conseil et que vos indemnités vont être débloquées.... Ne voyant toujours rien arriver, je recontacte l'UNIM et j'apprends que mon dossier est toujours bloqué car ils décident de vous faire passer une expertise "ah oui mais vous savez vous êtes nouvel adhérent (plus d'1 an d'ancienneté), vous pourriez faire de fausses déclarations pour avoir un arrêt maladie" donc en résumé, nous sommes des menteurs potentiels en puissance, il faut désormais attendre un rendez-vous avec un expert (en moyenne 2 mois d'attente) pendant ce temps là, l'Unim ne paye pas ... Chapeau bas les gars, changez rien vous êtes au top !</t>
  </si>
  <si>
    <t>17/11/2020</t>
  </si>
  <si>
    <t>marylene-102742</t>
  </si>
  <si>
    <t>Bonjour,
Je suis actuellement dans une situation qui parait être la même que certains adhérents... En arrêt maladie ordinaire pdt 1 an depuis le 26 janvier 2020, je reprends mon activité prof. le 25 janvier 2021. Les remboursements prévoyance s'arrêtent en octobre 2020. Intériale envoie un formulaire médical qui a été enregistré et depuis plus rien. Hormis les cotisations de la mutuelle prélevées sur mon demi traitement, à hauteur de 222,94 € mensuel, et mon ancienneté de 33 ans, je ne reçois aucun maintien de salaire, ni reversement de primes, le reste à vivre se situe en dessous de l'allocation adulte handicapé.. et ce pdt la période des fêtes de fin d'année de surcroît, inadmissible donc !
Je souhaite apporter mon soutien aux adhérents qui vivent la même situation , je pense que je vais reprendre mon activité et que je ne serai tjs pas indemnisée... A suivre...</t>
  </si>
  <si>
    <t>16/01/2021</t>
  </si>
  <si>
    <t>1-n-105226</t>
  </si>
  <si>
    <t xml:space="preserve">Réactif en toute situation et facilement joignable, les traitements de dossiers sont rapides. Je conseille Direct Assurance autour de moi. RIEN A RAJOUTER </t>
  </si>
  <si>
    <t>02/03/2021</t>
  </si>
  <si>
    <t>meunier-e-121397</t>
  </si>
  <si>
    <t>le site est trés simple et les tarifs sont intérresents ,la personne que j'ai eu au telephone tres agreable et m'a bien expliqué mon contrat d'assurance et les demarches a suivre</t>
  </si>
  <si>
    <t>marbru-70508</t>
  </si>
  <si>
    <t xml:space="preserve">Une assurance attractive la première année mais qui augmente très rapidement les années suivantes sans motif valable 
J’ai téléphoné à l’assurance on m’a dit qu’il transmettait au siège </t>
  </si>
  <si>
    <t>12/02/2021</t>
  </si>
  <si>
    <t>marienoelle-a-121534</t>
  </si>
  <si>
    <t>satifsfaite de la gestion du dossier et de la réactivité de mes interlocuteurs, je reste néanmoins déçue des tarifs pratiqués au regard de notre ancienneté à la gmf</t>
  </si>
  <si>
    <t>29/06/2021</t>
  </si>
  <si>
    <t>layla-h-132121</t>
  </si>
  <si>
    <t>Je suis satisfaite du contrat car il prend en charge la totalité  des sinistres. Quand je compare a d'autres assurés direct assurance est la moins chère, l'accueil des personnes au téléphone est claire et sérieuse. Je suis ravie de l'option du boîtier kilométriques pour un remboursement en cas de bonne conduite automobile. Merci</t>
  </si>
  <si>
    <t>celine464748-94769</t>
  </si>
  <si>
    <t>si vous cherchez un assureur ne prenez pas celui ci ... a un client mécontent qui reste poli ils vous raccrochent au nez ... lamentable</t>
  </si>
  <si>
    <t>21/07/2020</t>
  </si>
  <si>
    <t>fra-69138</t>
  </si>
  <si>
    <t>Bien conseillé, tout se passe comme convenu. Mon conseillé, courtier fait le nécessaire sur mon dossier.
Vous pouvez souscrire, vous n'aurez pas de surprise. CEGEMA, a le contrat 100% santé, surprenant, c'est le premier en FRANCE ! Au top !!</t>
  </si>
  <si>
    <t>04/12/2018</t>
  </si>
  <si>
    <t>doudouhh93-58465</t>
  </si>
  <si>
    <t xml:space="preserve">Bonjour,
Mon numéro de client est le 269681. J'ai communiqué l'ensemble des docs nécessaires à la constitution du dossier( c d'ailleurs indiqué sur mon espace client)Mon dossier étant complet, je ne comprends pas pourquoi on continue à me relancer par mail ou sms et pourquoi on ne m'envoie pas la carte verte définitive alors que la cotisation annuelle a été réglée intégralement. je commence sérieusement à m'inquiéter. </t>
  </si>
  <si>
    <t>30/10/2017</t>
  </si>
  <si>
    <t>taleb-m-135705</t>
  </si>
  <si>
    <t xml:space="preserve">je suis satisfait de mon contrat d'ASSURANCE automobile et de leurs tarifs et services 
Je finalise mon inscription et un grand merci pour votre réactivité </t>
  </si>
  <si>
    <t>03/10/2021</t>
  </si>
  <si>
    <t>mihaila-s-114857</t>
  </si>
  <si>
    <t>Je suis très satisfait du service proposé par Lolivier Assurance. Le prix me convient parfaitement et la procédure a été très rapide, sans difficulté et avec assurance valable immédiatement.</t>
  </si>
  <si>
    <t>cedric-70862</t>
  </si>
  <si>
    <t>Fuyez cette compagnie qui m'a mis dans un merdier pas possible. Assuré en tout risque et avec options payées en plus (2700 euros !) Sinistre en novembre 2018. Pas de nouvelle jusqu en fevrier à la veille de recupérer mon véhicule enfin réparé. Durant ces 3 mois zero contact, zero info , j ai du me debrouiller tout seul.
Finalement ils ont trouvé la petite bête une amende pour refuser la prise en charge. Resultat : 14 000 euros a payé pour ma pomme. Un véritable systeme bidon qui vous fait croire que vous etes assuré et en tout risque avec option (2700 euros par an !).</t>
  </si>
  <si>
    <t>09/01/2020</t>
  </si>
  <si>
    <t>chantal-55517</t>
  </si>
  <si>
    <t>Bonjour, très   mauvais début avec cette mutuelle ,ma compagne a souscrit un contrat au 1 avril ,a ce jour pas de mutuelle ,MAIS il prélève les cotisations tous les mois .</t>
  </si>
  <si>
    <t>20/06/2017</t>
  </si>
  <si>
    <t>dbus-113465</t>
  </si>
  <si>
    <t>bonjour je suis chez harmonie mutuelle sur l agence de clermont fd : tres bon accueil à l agence et personnel tres agréable mais sur un remboursement de taxi en sortie d hopital je n ai pas été remboursé. 
La mutuelle me dit que l argent a été donné au taxi en direct mais oui........il faut bien le payer et malgré les papiers renvoyés et bien zéro remboursement!!!!!!!!
Quand je paie le docteur c est en direct et pas à crédit!!!!!!!
dommage</t>
  </si>
  <si>
    <t>12/05/2021</t>
  </si>
  <si>
    <t>vincent-a-104023</t>
  </si>
  <si>
    <t>Franchement d'une extrême simplicité, j'aurais même du commencer par eux, j'aurais gagné un temps précieux... N'hésitez pas, j'ai eu des gens compétents et très aimables.</t>
  </si>
  <si>
    <t>11/02/2021</t>
  </si>
  <si>
    <t>bb-97782</t>
  </si>
  <si>
    <t>Je peux vous dire que Groupama a les reins solides et est une Assurance de CONFIANCE! Le SERVICE JURIDIQUE fonctionne en continue et  est de très bonne qualité, ce sont des personnes professionnelles, c’est comme lorsque vous achetez un appareil, le service après vente compte autant si ce n’est plus que 
L’ASSURANCE! Mme BAUDOU CAUSSADE 82300</t>
  </si>
  <si>
    <t>24/09/2020</t>
  </si>
  <si>
    <t>eman-102274</t>
  </si>
  <si>
    <t>Dans le cadre d'un recours contre les anciens propriétaires d'un logement que j'ai acheté, qui m'avaient caché un rapport d'indécence, j'ai fait appel à la protection juridique de la Maïf pour défendre mes intérêts. Lors de l'expertise contradictoire avec la partie adverse, l'expert représentant la Maïf censé me défendre n'avait même pris le temps de prendre connaissance du dossier, et pire encore il n'a fait qu'avancer des arguments en faveur de la partie adverse. C'est vraiment lamentable, je vais au plus vite changer d'assurance</t>
  </si>
  <si>
    <t>db-59665</t>
  </si>
  <si>
    <t>Beaucoup trop cher, et continue à prélever après résiliation !!!</t>
  </si>
  <si>
    <t>14/12/2017</t>
  </si>
  <si>
    <t>jeannot-94851</t>
  </si>
  <si>
    <t>Remboursement dentaires de Février 2020 toujours pas rembourser apres plusieurs mails
j 'ai envoyé le decompte CPAM en juin et toujours pas de nouvelles de vous La CPAM vous a bien  fait la trasmission
C est une erreur de votre part
J'ai essayé de me connecter à MUTUA gestion impossible Mes cotisations sont prélevées tous les mois Merci de me répondre</t>
  </si>
  <si>
    <t>22/07/2020</t>
  </si>
  <si>
    <t>artka-64822</t>
  </si>
  <si>
    <t>Assuré chez Directe assurance depuis 7 ans, j'ai vue mon contrat passé de 600 euro passé a presque 900 euro !! et d’après eux, c'est N.O.R.M.A.L....( répercutions des frais garagistes) ??? augmentation de 44%, sacre répercutions en 7 ans, 6%/an !!
Y'a eu une tempête en 2015 et mon véhicule  a été endommagé, j'ai déclaré car j’étais en tiers max et les accident climatiques était dans mes options mais R.I.E.N, pas de prise en charge !!! ensuite une personne me rentre à l’arrière sorite d'un parking, mais aucun dégât sur mon véhicule ni l'autre mais comme son véhicule est neuf elle veut faire un constat, résultat Direct assurance mon considéré comme 100% responsable et je passe de 0.72 22% bonus a 0.92 8% bonus sans explication ni information, je découvre en voyant mon abonnement passé de 60 euro a 74 euro !!! donc avec 1 sinistre dans un parking ou il y avait aucun dommage et c'est elle qui me rentre dedans , je me retrouve avec 869 euro/année, et le conseillé qui me dit : c'est les prix !!
mais le pire, c'est que je fais un devis en ligne en précisant toutes les infos et bin ! voila que le site me propose directe assurance avec 434 euro a l'année ! cherchez l'erreur !! c'est bien dommage de voir encore et encore une entreprise qui appâte les clients puis essaye de les saigner a blanc, des vampires bon ou mauvais clients pas de différences, le pognon y'a que ça qui les intéresse....</t>
  </si>
  <si>
    <t>16/06/2018</t>
  </si>
  <si>
    <t>sofiene-p-115308</t>
  </si>
  <si>
    <t>simple et pratique tres facile a utilise et rapide a faire les demarches je recommande ce site pour asdurer votre deux roues et en plus cest vraiment pas cher</t>
  </si>
  <si>
    <t>29/05/2021</t>
  </si>
  <si>
    <t>deparpe-l-122401</t>
  </si>
  <si>
    <t xml:space="preserve">Assurance auto faite rapidement et facilement. Juste un petit beug au niveau du paiement. J’ai dû contacter la conseillère. Elle a était très réactive et à l’écoute. </t>
  </si>
  <si>
    <t>arnaud-lebourgeois-79813</t>
  </si>
  <si>
    <t>suivi de dossier est très satisfaisant... même dans la durée.</t>
  </si>
  <si>
    <t>08/10/2019</t>
  </si>
  <si>
    <t>trypsy--132465</t>
  </si>
  <si>
    <t xml:space="preserve">Pitoyable. Je paye une mutuelle animale plus de 40€/mois depuis un an. 
Ça fais un mois que j'appelle 2 à 3 fois par semaine pour savoir où en est mon remboursement car rien de mis à jour sur l'application.  Au fur et à mesure des appels ils leur manque toujours un document, documents qui ont pourtant étaient fournis des le départ, puis il leur manque le certificat d'identification qui n'avait jusque là jamais était demandé.  
Bref à la question quand puis je espérer un remboursement là réponse est toujours la même " fin de semaine début de semaine prochaine ". Un mois qu'on me fournis cette réponse.  
Fuyez !
Je vais résilier dès la réception de mon avis d'échéance en mentionnant la loi chatel et il en sera de même pour mon autre contrat chez eux. Mon conjoint resiliera également </t>
  </si>
  <si>
    <t>12/09/2021</t>
  </si>
  <si>
    <t>nicolas-g-115545</t>
  </si>
  <si>
    <t>le site zen up est vraiment super simple d'utilisation.
la procédure pour le questionnaire de santé est fluide.
et nous avons aussitôt le tarif à la fin.
vive la technologie ! je recommande !</t>
  </si>
  <si>
    <t>bruno-d-105832</t>
  </si>
  <si>
    <t>Je trouve les prix élevés et incompréhensibles. Impossible de comprendre la différence de tarifs entre deux véhicules pour 2 conducteurs ayant plus de 30 ans de permis de conduire et étant à 50% de bonus.
Regrette enfin qu'après plus de 25 ans de fidélité chez Direct il n'y ait pas de gestes commerciaux</t>
  </si>
  <si>
    <t>anzize-m-108997</t>
  </si>
  <si>
    <t>Je suis très satisfait de la prise en charge et de la facilité à s'inscrire et aussi de la qualité prix, je conseillerais à mes proches et mes amis pour s'assurer chez vous cordialement Anzize</t>
  </si>
  <si>
    <t>02/04/2021</t>
  </si>
  <si>
    <t>badr-b-133376</t>
  </si>
  <si>
    <t xml:space="preserve">Je suis très satisfait de ma souscription auprès de direct assurance. Service simple et très très efficace avec une diversité dans contrat qu'on te propose
</t>
  </si>
  <si>
    <t>nyoubi-59845</t>
  </si>
  <si>
    <t>Attention au harcèlement téléphonique, malgré ma demande très claire de ne pas être rappelée, j'ai 5 appels manqués par jour, jusqu'à ce que je décroche par erreur.</t>
  </si>
  <si>
    <t>20/12/2017</t>
  </si>
  <si>
    <t>elisa-96594</t>
  </si>
  <si>
    <t xml:space="preserve">Mon avis Cher et dommage que les pneus ne sont pas pris en charge et ni les raillure de coup de clés qui sont pas pris en charge . Et si y a un changement dommage que nous sommes pas prévenue . </t>
  </si>
  <si>
    <t>24/08/2020</t>
  </si>
  <si>
    <t>orianne-k-125850</t>
  </si>
  <si>
    <t xml:space="preserve">Très utile de pouvoir faire une souscription en ligne merci ! Et les tarifs sont raisonnables, le site est clair et facile d’utilisation. Ça m’a bien simplifié la vie ! </t>
  </si>
  <si>
    <t>didier-en-colere--100220</t>
  </si>
  <si>
    <t xml:space="preserve">Lina centiane  c'est assureur me  vend une mutuel  assurance pour 2020  que j'ai signé et quelques temps après il me dit que ce n'est pas possible , donc report pour l'année2021 mes besoins pour 2020 ne sont surement plus les mêmes que pour 2021  , je ne reçois aucun papier de leurs part, et comme par  Hazard il me rappel le 17-11-2020 en me disant qu'il fallait absolument signé ce jour un papier électroniquement de rétractation de ma mutuel pour ne pas payé deux mutuels je ressens vraiment une menace de la part de ce commercial agressif qui me dis si vous ne signé pas vous allez payé deux mutuel c'est votre problème , très en colère du comportement de cette personne  qui me dis j'ai quand même pris du temps 38 mn dons on va arrêter la , je comprend maintenant pourquoi les assurances adverse situé a Nice m on dit que j'allais le regretter  . une simple annulation de ce contrat aurait sufi pour arrêter ce problème        </t>
  </si>
  <si>
    <t>coupdeboule-56592</t>
  </si>
  <si>
    <t>LISEZ CE LONG COMMENTAIRE POUR EVITER LE "CHANT DES SIRÈNES"
Tout d'abord le tarif ! 
Que vous soyez passé par un comparateur ou directement sur leur site, vous êtes étonné de voir une telle différence tarifaire avec votre assureur actuel ! En moyenne 250€ d'économies par an disent-ils dans leur pub ! Mais c'est sans compter les augmentations tarifaires qui vont venir au fil du temps... Le prix attractifs de la première année servent à "appâter" le prospect, et la société espère bien que vous soyez comme la plupart des autres assurés à ne pas regarder votre cotisation augmenter sans raison (pas de changement de véhicule, pas de sinistres, pas de changement d'adresse...) . Après 3 ans, vous aurez donc la surprise de retrouver peu ou prou le même tarif que votre compagnie d'origine !
Méfiez vous aussi des offres sur les sites de "ventes privilèges"... Vous vous verrez offrir 100€ (par exemple) pour toute souscription... Mais votre devis aura subi une augmentation de 70€ en comparaison d'un devis fait sur un comparateur par exemple ! Faut-il en déduire que la société gonfle ses prix pour n'avoir qu'à financer un geste commercial de 30€ ? 
Ensuite le questionnaire !
Faites attention à vos réponses... 
Premier exemple ! Vous aviez un bonus mais vous n'avez plus de véhicule personnel car vous conduisez un véhicule de société ou de location depuis plus de 2 ans. Aujourd'hui vous souhaitez reprendre un véhicule à votre nom MAIS on vous annonce que vous perdez le bénéfice de votre ancien bonus et repartez à 1 ! ET BIEN C'EST FAUX ! Renseignez vous après d'autres compagnies car le code des assurances ne prévoit en aucun cas de "durée de validité" pour le CRM ! 
Deuxième exemple ! Vous en arrivez à choisir le véhicule que vous possédez et on vous demande la finition commerciale... Soyez très vigilant à trouver le model EXACT car une mauvaise finition peut faire augmenter le tarif !
Troisième exemple ! Que de questions : Votre situation matrimoniale, votre situation patrimoniale, votre catégorie socio-professionnelle etc etc... Tant de questions indiscrètes qui peuvent faire monter le tarif ! Un fonctionnaire cadre, marié et propriétaire d'une maison depuis plus de 8 ans n'aura pas le même tarif que vous ! Comparez...
Le Paiement et les Options:
Soyez vigilants sur les "petites lignes" ! 
Tout d'abord le "prêt de véhicule"... Sachez bien qu'il s'agit d'un prêt uniquement en cas de SINISTRE et aucunement en cas de panne ! Dans ce cas de figure aucune solution n'est proposée.
Ensuite le "0KM"... Calculez bien son coût par mois ! Un remorquage coûte entre 100€ et 300€ et cette option est parfois facturée en supplément de 10€/mois (120€/AN)... Si votre véhicule est bien entretenue, pensez-vous judicieux de souscrire à une option qui ne sera "rentable" que si vous tombez en panne tous les 3 ans et à moins de 50Km de chez vous (car au delà vous êtes pris en charge) !?
Le "Bris de Glace"... Sachez qu'il ne sera pas valable sur les optiques ainsi que sur le toit ouvrant ! Sachez aussi que même si les réparations ne vous font pas payer de franchise et n'impactent pas votre bonus elles comptent comme sinistre !
Les "Franchises Vol, Incendie, Bris de Glace"... FAITES ATTENTION ! La franchise dispose d'une part fixe et d'une part variable (certes plafonnée MAIS de 10% tout de même !). Faites donc faire une tarification avec la part fixe uniquement et vous verrez la cotisation augmenter !
Le "paiement"... Si vous payez au mois vous n'aurez pas le même tarif que si vous payez à l'année ! En effet, le choix du paiement mensuelle occasionne un surcoût pouvant être d'une centaine d'euros !
Le Service Client !
La c'est long... Alors soyons comme Pépin, soyons BREF ! Difficilement joignable vous aurez à attendre de longes minutes ! Et parfois vous aurez comme simple réponse "Ça n'est pas le bon numéro" ! De plus, sachez que certaines actions dans la gestion de votre contrat "doivent" être faites sur votre espace client ! S'il vous vient la mauvaise idée de vouloir vous rassurer auprès d'une voix humaine cette action pourra vous être facturée !
Bon j’arrête la ! A quoi sert de vouloir payer moins cher 1 an pour avoir un tarif qui augmente les années suivantes et sans compter le reste ! Retournons donc dans nos agences (au moins on a quelqu'un sur qui gueuler) !</t>
  </si>
  <si>
    <t>09/08/2017</t>
  </si>
  <si>
    <t>fourcade-a-108374</t>
  </si>
  <si>
    <t>Je suis satisfait du service. J'ai eu un conseiller du nom de Pierre-Yves , très professionnel, à l'écoute, a su répondre à mes attentes. Pour le moment rien à redire</t>
  </si>
  <si>
    <t>lionnels-86316</t>
  </si>
  <si>
    <t xml:space="preserve"> font tout pour ne rien payer lors d un dommage 5 mois sans eau chaude pour réparation il faut casser des murs ils estiment à 900 euros de réparation  sans voir les dégâts qu il y a dans les murs envoyent un expert mais c est du pipeau dernière excuse vous nous insultez alors prenez vos 900 euros et dégagez je préfère insulter en étant honnête que de voler les gents avec le sourire en 20 ans je n ai eu aucun sinistre actuellement je leur donne 2500 euros par ans voiture etc mais c est fini </t>
  </si>
  <si>
    <t>24/01/2020</t>
  </si>
  <si>
    <t>louis-t-107598</t>
  </si>
  <si>
    <t>je suis satisfait du service. difficile d'évaluer vraiment car je n'ai pas de sinistre,  tant mieux pour moi. je n'ai pas bien compris pourquoi depuis plusieurs annees je n'ai toujours pas bonus 50</t>
  </si>
  <si>
    <t>23/03/2021</t>
  </si>
  <si>
    <t>karem-m-109242</t>
  </si>
  <si>
    <t xml:space="preserve">super mais aurais bien aimé faire un paiement mensuel au lieu d'un paiement annuel mais satisfait en général du site et des prix 
merci 
Bonne journée </t>
  </si>
  <si>
    <t>do-khac-p-116045</t>
  </si>
  <si>
    <t xml:space="preserve">Les prix sont corrects et le service client agréable et compétent, je recommande vivement l'assurance l'Olivier à toute personne souhaitant changer d'assurance, </t>
  </si>
  <si>
    <t>jean-philippe-g-108491</t>
  </si>
  <si>
    <t xml:space="preserve">Le rapport qualité prix impeccable  rien à redire . Si besoin d'un renseignement des conseillers sont disponibles.  Très bonne assurance et encore la qualité </t>
  </si>
  <si>
    <t>praline-60313</t>
  </si>
  <si>
    <t>Suite à un licenciement, voila 6 mois que je tente de faire valoir mes droits pour un contrat emprunteur BNP cardif . On me balade tous les mois en me demandant les mêmes justificatifs! C'est une honte. Je suis dans la mouise à cause d'eux et dès demain j'appelle Julien Courbet qui va se charger de leur faire une super pub à la radio! Si seulement j'avais lu tous ces commentaires avant, j'aurais fui dès le début. A fuir comme la peste.</t>
  </si>
  <si>
    <t>fani122009-105165</t>
  </si>
  <si>
    <t xml:space="preserve"> CE GMO DEPUIS PAS MAL DE TEMPS TRES DECUE DES INTERETS POUR 2020 DEPOSE 3 FOIS PLUS QUE 2019 TOUCHE POUR 2020 3 FOIS MOINS DONC JE VAIS RETIRER MON ARGENT DE CHEZ VOUS JE CHERCHE JUSTE UN PLACEMENT PLUS INTERESSANT DE PLUS LE SAV EST NUL DESOLEZ DE VOUS LE DIRE JE VOIS QUE JE SUIS PAS LA SEULE DANS CE CAS</t>
  </si>
  <si>
    <t>nana--99305</t>
  </si>
  <si>
    <t>! Vous avez profitez de la vulnérabilité de ma jeune fille c’est une honte !!! De continuer à lui prélever malgré son courrier de résiliation en temps et en heure.
Merci de rembourser au plus vite !!!!
Je vous dénonce auprès de que choisir ce jour. Vous ne répondez jamais au téléphone, sinon vous raccrochez ???</t>
  </si>
  <si>
    <t>27/10/2020</t>
  </si>
  <si>
    <t>sluter-91195</t>
  </si>
  <si>
    <t xml:space="preserve">Bonjour,Je paye actuellement 517 euros,avec les meme garanties
Mes enfants seront intéressé aussi de venir chez direct assurance 
Il vafaloir qu’il fassent un devis sur le site de direct assurance 
</t>
  </si>
  <si>
    <t>17/06/2020</t>
  </si>
  <si>
    <t>larue-p-109420</t>
  </si>
  <si>
    <t>Rapide et très bien classé côté tarif, ils ont sue régler un problème lié à mon ancienne assurance, et répondre au mieux à mes besoins.
Mon prochain véhicule sera également chez l'olivier assurance.</t>
  </si>
  <si>
    <t>christopher-k-138126</t>
  </si>
  <si>
    <t>Bonjours site assurance rapide et efficace assurer dans la minute qui suit tarif sont un peux chère pour les jeune conducteur mes sinon tout va bien je recommande</t>
  </si>
  <si>
    <t>stef-l-132666</t>
  </si>
  <si>
    <t xml:space="preserve">Bien ras tout c’est bien passer je recommande sincèrement juste quelques question pas compris mais sinon en général ça va  je recommande très professionnel bien </t>
  </si>
  <si>
    <t>jmbreid-71836</t>
  </si>
  <si>
    <t>après souscription d'un contrat auto chez E Allianz, qui vous renvoi chez CALYPSO, une filiale, vous n'estes prévenu qu'a la réception du contrat. Je prends des garanties supplémentaires, Panne immobilsante, attention au multiples exclusions, la panne embrayage, boite de vitesse exclu, pourtant ça immobilise le véhicule, franchise de 15% en cas de invalidité ou blessures ETC</t>
  </si>
  <si>
    <t>guy-101388</t>
  </si>
  <si>
    <t xml:space="preserve">Notre oncle est décédé le 03 mars 2018. Nous sommes le 15 décembre 2020 et nous attendons toujours de la part de CARDIf, le règlement des contrats. Malgré de nombreuses communications téléphoniques et envois de mails ; la Cie nous dit respecter leur processus de rachat. Les confrères, eux, ont réglés les ayants droits sous 8 jours, il y a 2 ans. Le notaire, lui-même, a laissé les bénéficiaires gérer le dossier ne pouvant obtenir les 
renseignements demandés.
</t>
  </si>
  <si>
    <t>13/12/2020</t>
  </si>
  <si>
    <t>david-m-130775</t>
  </si>
  <si>
    <t>Depuis très longtemps que nous sommes à la GMF, et jamais un soucis. Et dernièrement, suite à un accident, le suivi a été vraiment très bien , que ça soit technique ou sur l'écoute.</t>
  </si>
  <si>
    <t>natur--98471</t>
  </si>
  <si>
    <t xml:space="preserve">Si vous souhaitez provoquer des accidents de voiture, ils vous protégeront. J'ai été victime de quelqu'un qui m'a coupé la route, et c'est moi qui suis en tort. Ne leur demandez rien, ils ne sont bon qu'à prendre votre argent. </t>
  </si>
  <si>
    <t>07/10/2020</t>
  </si>
  <si>
    <t>philippe-d-111190</t>
  </si>
  <si>
    <t>je suis satisfait du prix et de la rapidite d'adhesion il faut revenir un peu en arrier car des information son erronee et ceertaine correction ne peuvent etre executer</t>
  </si>
  <si>
    <t>jean-pierre-n-126527</t>
  </si>
  <si>
    <t>Je suis très content d’avoir un prix formidable et le service est plus simple facile à le faire pour nous les jeunes conduiteurs même les sans emplois</t>
  </si>
  <si>
    <t>cvejic-l-138406</t>
  </si>
  <si>
    <t>Des interlocuteurs très facilement compréhensible, une conseillère très sympathique. Ma démarche a été rapide et éfficace. J'ai beaucoup apprécié le professionalisme et l'écoute de mon interlocutrice.</t>
  </si>
  <si>
    <t>27/10/2021</t>
  </si>
  <si>
    <t>lilou-55370</t>
  </si>
  <si>
    <t xml:space="preserve">Agent different a chaque fois, 
Mauvaise gestion des dossiers, non reponse au courriers envoyés voir pertes des courriers ! Délocalisation des sinistres: expert de Niort pour un cambriolage, expert de Douai pour une voiture et pas d'expert du tout pour la Responsabilité Civile pro ! </t>
  </si>
  <si>
    <t>14/06/2017</t>
  </si>
  <si>
    <t>lalou-127502</t>
  </si>
  <si>
    <t xml:space="preserve">Mon père est retraité petite retraite il paie l assurance habitation depuis plus de 20 ans sans aucune demande. Sa chaudière tombe en panne suite a hausse de tension lié au intempéries..
Et la le sketch commence appelle vers un serveur vocal qui vous insite a passer par l assistance délégué a un prestataire absolument incompétent deux jours pour nous dire qu'il faut que l on se débrouille tout seul . 
Appel pour une déclaration de sinistre même incompétence la personne me dit qu elle va nous envoyé le numéro de l expert et le numéro du sinistré on ne reçoit rien et aucune nouvelle . 
Pourquoi paye ton une assurance si c est pour n obtenir aucune assistance aucune solution si ce n' est quatre appel pour nous dire de nous débrouiller ? 
Parcours client catastrophique pour des retraites que l on laisse sans eau chaude et sans chauffage heureusement qu'ils sont bien entouré mais je trouve ça lamentable pour un grand groupe comme cela on devrait rembourser nos cotisations !!! 
Nous avons du prendre a nos frais l assistance mise d un ballon électrique  temporaire pour qu'ils puissent se doucher. 
Je déconseille fortement cette assurance. 
</t>
  </si>
  <si>
    <t>bouba-60384</t>
  </si>
  <si>
    <t>Service client catastrophique. 6 mois que j'attends la portabilité ANI. Service clients injoignable sans attendre minimum 10 minutes, messages du service clients contradictoires, portail non à jour... A croire que Generation ne souhaite pas appliquer la loi!</t>
  </si>
  <si>
    <t>daniel-105140</t>
  </si>
  <si>
    <t xml:space="preserve">Client historique chez un courtier Axa depuis plus de 33 ans nous avons plusieurs contrats dont deux auto mon épouse change de voiture  et surprise ils double le coût de l assurance alors qu il s agissait d une micro Nissan remplacée par une Fiat 500 de 9ans 58000 km
On est passé de 42 euros à 83 euros pour un usage restreint en tant que deuxieme voiture </t>
  </si>
  <si>
    <t>papyber-71659</t>
  </si>
  <si>
    <t xml:space="preserve"> Notre cadeau de Noel disparait dans l'incendie de notre garage la nuit de Noel 2010. C'était une 911 964 C4 targa turbolook de 1992 préparée par les frères Alméras et achetée 27000 euro une semaine plus tôt. Elle était assurée TOUS RISQUES donc clause incendie incluse en attente d'expertise pour pouvoir bénéficier de l'assurance collection. Lors de la déclaration du sinistre on m'a signifié que mon auto n'était qu'un  "tas de ferraille" (sic) et que je ne serai pas indemnisé. Je n'ai jamais été indemnisé. A l'époque, j'avais des soucis bien plus graves à gérer ; j'ai donc laissé tomber.</t>
  </si>
  <si>
    <t>26/02/2019</t>
  </si>
  <si>
    <t>formeau-m-112062</t>
  </si>
  <si>
    <t>Je suis satisfait du service, des dispositions prises sur le site, et toutes autres démarches. Tout est tres facile d’accès et bien expliqué sur le site.</t>
  </si>
  <si>
    <t>insatisfaite-77018</t>
  </si>
  <si>
    <t>Avis Geneviève</t>
  </si>
  <si>
    <t>22/06/2019</t>
  </si>
  <si>
    <t>cc-139418</t>
  </si>
  <si>
    <t>véhicule acheté fin janvier 2021 et garanti 1 an par le concessionnaire détruit suite a accident non responsable le 30 juillet l'expert de la matmut donne une valeur 3000 € inférieure a la valeur d'achat et me propose pour cela d'acheter un véhicule a un particulier sur le bon coin sans aucune garantie !
J'en conclue que la matmut ne garanti que des véhicule achetés sans aucune garantie donc si comme moi vous préférez pour votre sécurité acheter dans le réseau du constructeur avec toutes les garanties que cela implique (km réels, carnet d'entretien rempli, garantie après vente 1 an) passez votre chemin et évitez cette compagnie!</t>
  </si>
  <si>
    <t>thouillez-l-127346</t>
  </si>
  <si>
    <t xml:space="preserve">Je suis satisfait bon accueil téléphonique bien renseigné explications claires et précises a conseiller à mon entourage très bonne assurances merci
Cordialement 
</t>
  </si>
  <si>
    <t>yagousseti-m-130753</t>
  </si>
  <si>
    <t>Je suis satisfait des services pour l’instant, car je n’ai pas eu d’inconvénient a ce jour. J’espère que tout ce passera bien a l’avenir si il y’a besoin</t>
  </si>
  <si>
    <t>augustin-p-107632</t>
  </si>
  <si>
    <t>Dommage le problème OVH qui change nos délais de mise en place d'un mois.
Sinon rien a dire, accueil et traitement parfait.
Personnel professionnel et arrangeant</t>
  </si>
  <si>
    <t>clough-r-109626</t>
  </si>
  <si>
    <t>Très bon accueil et bonne réactivité concernant la mise en place de contrat. Les prix sont attractifs, et la mise en place du contrat d'assurance simple.</t>
  </si>
  <si>
    <t>fontaine-k-108179</t>
  </si>
  <si>
    <t>Je suis satisfaite du service et des prix très abordables. Le site est fonctionnel et l'offre est complète ! Très fluide d'utilisation et très rapide.</t>
  </si>
  <si>
    <t>tatiana-h-112256</t>
  </si>
  <si>
    <t xml:space="preserve">Très bon service après vente par messagerie instantanée. J'ai toujours assuré mes véhicules chez eux et je ne suis pas déçue. Dommage qu au niveau habitation ils ne soient pas plus compétitifs. </t>
  </si>
  <si>
    <t>30/04/2021</t>
  </si>
  <si>
    <t>spidertos-74646</t>
  </si>
  <si>
    <t xml:space="preserve">En 8 ans de permis ces la premier fois que je fait appel a l'assurance pour mon véhicule qui a été rayer sur tout le coter droit ainsi que la portière et le bas de caisse endommager plus d'un mois pour avoir un rdv tous ça pour récupéré le véhicule et galère pendant que Mr l'expert prend sont temps et qu'on m'annonce qu'ils ne prennent en charge que les deux portière et pas le reste car ce n'est pas la même chose en gros je doit payer deux franchise et de plus attendre encore un mois pour avoir un rdv pour effectuer les travaux sur ma voiture. Du coup je vais juste faire réparé les portières car je n'ai pas les moyens de payer deux franchise MERCI GMF et une fois les réparation faites AU REVOIR. </t>
  </si>
  <si>
    <t>louis83000-80679</t>
  </si>
  <si>
    <t>Caroline m a aidé a resoudre mon probleme de maniere tres efficace, et tres rapide, cela a pris seulement quelques minutes ! Tres peu de service client sont aussi efficace ................................</t>
  </si>
  <si>
    <t>clairev-77331</t>
  </si>
  <si>
    <t>J'étais correctement garé quand un conducteur m'a accroché! N'étant pas sur place un témoin a relevé la plaque d'immatriculation! J'ai effectué toutes les démarches nécessaire mais aucune nouvelle de leur part ! Il ne peuvent pas me faire les réparations car le témoin ne répond pas mais bizarrement quand j'appelle le témoin, celui ci a fait  nécessaire pour renvoyer les informations!
Assurance qui laisse à désirer
Que faire maintenant ????</t>
  </si>
  <si>
    <t>tahitibob66-62442</t>
  </si>
  <si>
    <t>Très décevant. Réaction tardive et inadaptée. Se moquer vraiment des clients. A déconseiller. J'avais une maison et deux voitures assurées chez eux, c'est terminé. Je ne vais pas leur faire de la publicité.</t>
  </si>
  <si>
    <t>17/03/2018</t>
  </si>
  <si>
    <t>lt14-37208</t>
  </si>
  <si>
    <t xml:space="preserve">Une société vraiment pitoyable, il m'a fallu 3 mois , pour obtenir le rachat total de mes 3 contrats, alors que juridiquement , c'est 15 jours.
Ils vous bernent, en faisant de salamalecs, comme quoi ils ont bien reçu le courrier, mais ils vont font languir, vous les appelez, vous tombez sur des gens cacochymes, ou alors le Français , ils le comprennent  pas. 
Sans compter sur l'incompétence de mon conseiller régional ( M K ..... Thomas) qui n'a pas répondu à mes mails depuis le 27 décembre.
En plus une société qui vient de faire des bénéfices record en 2016.
Du coup, j'ai retiré mes assurances auto et habitation.
A vouloir tout gagner, ils ont tout perdu.
Dixit Montesqieu, quand on cour après l'esprit, on attrape la sottise.
</t>
  </si>
  <si>
    <t>24/03/2017</t>
  </si>
  <si>
    <t>dede-50084</t>
  </si>
  <si>
    <t>Je suis à la MGEN depuis 40 ans mais tellement insatisfaite depuis quelques mois que je pense sérieusement à changer!!
Il égarent les courriers, tout est centralisé, aucune réponse ne peut être donnée par la section locale...Bref on ne sait à qui s'adresser pour les réclamations, personne ne sait rien, personne n'est au courant!
J'en sui à ma quatrième réclamation depuis 5 semaines, à ce jour aucune réponse...
Dû par la MGEN : 500 euros environ!</t>
  </si>
  <si>
    <t>09/12/2016</t>
  </si>
  <si>
    <t>chris-98602</t>
  </si>
  <si>
    <t xml:space="preserve">Dans l'ensemble,  sur la base d'une adhésion à la gmf depuis 45 ans,  j'ai réellement très très peu de griefs à reprocher à cette mutuelle efficace et aux tarifs semblant proches de ceux des autres mutuelles. </t>
  </si>
  <si>
    <t>10/10/2020</t>
  </si>
  <si>
    <t>raviolis-32838</t>
  </si>
  <si>
    <t>A fuir</t>
  </si>
  <si>
    <t>26/04/2019</t>
  </si>
  <si>
    <t>dodi-65270</t>
  </si>
  <si>
    <t xml:space="preserve">tres bon service 
remboursement rapide et facile
service client a l'écoute, top top ! 
je recommande pour les animaux </t>
  </si>
  <si>
    <t>Solly Azar</t>
  </si>
  <si>
    <t>05/07/2018</t>
  </si>
  <si>
    <t>whypy-67248</t>
  </si>
  <si>
    <t>Cela fait maintenant deux ans que mes tentatives de résiliations échouent. A chaque fois, un nouveau motif... Aucun arrangement possible. AUGMENTATION des tarifs exponentiel, cela à doublé depuis mon adhésion initiale !!!
A FUIR</t>
  </si>
  <si>
    <t>godefroy-f-110084</t>
  </si>
  <si>
    <t>service satisfaisant, personnel agréable et compétent...
prise en charge rapide en cas de sinistre, les prix sont très corrects, parfait pour ma part!</t>
  </si>
  <si>
    <t>domi-117590</t>
  </si>
  <si>
    <t>je suis une nouvelle adhérente CEGEMA depuis début MAI 2021, je suis très déçue. Et regrette fortement d'avoir changé. Remboursements pas conformes au contrat souscrit, le pire de tout, il sont injoignable par téléphone temps d'attente 1h sans réponse, on ne sait pas comment régler nos problèmes, même mon courtier rencontre aussi ses soucis. c'est scandaleux d'agir ainsi avec la clientèle. La seule chose qui fonctionne très bien la souscription des contrats et le prélèvement de la cotisation mensuelle. Pas top pour des seniors à fuir.</t>
  </si>
  <si>
    <t>19/06/2021</t>
  </si>
  <si>
    <t>marypie-99428</t>
  </si>
  <si>
    <t xml:space="preserve">Assurée pendant près de 20 ans pour un scooter et résiliation car vente du 2 roues et plus envie d'en avoir un autre. Rapport qualité prix au top, réponses rapides aussi bien par mail que directement par téléphone. Facilité des démarches directement sur le site. </t>
  </si>
  <si>
    <t>30/10/2020</t>
  </si>
  <si>
    <t>anais95310-94971</t>
  </si>
  <si>
    <t>Un bris de glace en 1 an et demi un vandalisme sur mon lieu de travail et pareil que tout le monde une résiliation bien évidemment par un AR ce matin. Bien évidemment sur le relevé d'information je suis marqué comme résilié par une assurance et ne trouve pas d'assureur alors que j'ai un bonus de 0.80.</t>
  </si>
  <si>
    <t>23/07/2020</t>
  </si>
  <si>
    <t>amandine74-91702</t>
  </si>
  <si>
    <t xml:space="preserve">Je trouvais la mgen très chère pour des remboursements minable mais depuis le confinement c'est catastrophique. Impossible de les avoirs au téléphones, les sections sont fermées, quand on envoie un mail on a plus de chance de gagner au loto que d avoir une réponse au mail . 
Et que dire de l'incompétence et du manque de connaissance des employés ( pire avec la direction qui ne comprend rien) . J ai eu la chance ( ou malchance ) de croiser une « pseudo responsable «  responsable lors de leur tournée dans les établissements et j ai été affligé par sa méconnaissance de la mgen . Elle était juste là pour boire le café . 
J'ai quitté la mgen récemment et je suis à la MAGE qui pour le moment me donne pleinement satisfaction ( bon tarif bon remboursement, joignable et personnel compétent ...... tous ce qui manque à la mgen </t>
  </si>
  <si>
    <t>21/06/2020</t>
  </si>
  <si>
    <t>ravenel-s-115227</t>
  </si>
  <si>
    <t>Aillant déjà souscrit dans une autre compagnie d'assurance je peux dire en comparaison que suis très satisfaite du service offert par L'Olivier que je recommande à 200%, les prix sont très attractifs et le service client au top!</t>
  </si>
  <si>
    <t>28/05/2021</t>
  </si>
  <si>
    <t>boumoula-h-129104</t>
  </si>
  <si>
    <t xml:space="preserve">Bonjour
Je suis satisfait 10/10  le personnel est agréable et toujours disponible aussi les prix son correct avec des options intéressantes. 
Merci à toute l'équipe </t>
  </si>
  <si>
    <t>rachid-m-126804</t>
  </si>
  <si>
    <t xml:space="preserve">oui tout a fais content  je suis content de la rapidité du contrat  ca me parait tres tres bien vus     je recommande cette assurance pour le bien etre de tous et toutes  </t>
  </si>
  <si>
    <t>06/08/2021</t>
  </si>
  <si>
    <t>herve-116025</t>
  </si>
  <si>
    <t>Un groupe comme axa sont dans l incapacité d effectuer un changement  d adresse...en galère avec cette assurance depuis 23 /04/2021  a ce jour le 3 /06/2021 mon courrier arrive à mon ancienne adresse.......brovo les nuls</t>
  </si>
  <si>
    <t>fonfon76019-103581</t>
  </si>
  <si>
    <t xml:space="preserve">Aucun suivi administratif. J attends en vain que cette mutuelle fasse le nécessaire pour la télétransmission. Malgré mes demandes aucune réponse par mail ni par téléphone. A la fin de l année je les quitte sans regret </t>
  </si>
  <si>
    <t>02/02/2021</t>
  </si>
  <si>
    <t>franco-vairo-p-134036</t>
  </si>
  <si>
    <t xml:space="preserve">Je suis satisfait du service , l'accompagnement est sérieux et patient .
Les prix sont corrects  .Les conditions et les offres sont claires et sans équivoques. </t>
  </si>
  <si>
    <t>floflo-106328</t>
  </si>
  <si>
    <t xml:space="preserve">Rapide et efficace ..j'ai tout fait en ligne et cela en très peu de temps ..ma carte verte est arrivée chez moi en 4 jours ..je recommence vraiment cette assurance </t>
  </si>
  <si>
    <t>xavier-panay-57195</t>
  </si>
  <si>
    <t>trouve tous les moyens pour faire trainer le dossier. et quand il repondent ils demandent de prouver que le ciel n'est pas bleu. Et pendant ce temps ils ne payent pas. Un mois entre chaque courrier et quand on leur explique qu ils n ont pas compris, on repart pour un mois</t>
  </si>
  <si>
    <t>08/09/2017</t>
  </si>
  <si>
    <t>bernard-m-122804</t>
  </si>
  <si>
    <t>merci rien a ajouté toujours rapide je viens de recevoir l'avis concernant un sinistre le règlement est envoyé
Cordialement
Rien a ajouté;;;;;;;;;;;;;;</t>
  </si>
  <si>
    <t>08/07/2021</t>
  </si>
  <si>
    <t>jr-vertou-123287</t>
  </si>
  <si>
    <t>Tarif très compétitif pour une nouvelle inscription, mais qui s'envole très vite les années suivantes.....très désagréable. Je résilie tout pour repasser sur une mutuelle.</t>
  </si>
  <si>
    <t>alavoler-61716</t>
  </si>
  <si>
    <t>À fuir / perte sèche de votre acompte: surtout si vous achetez un véhicule neuf. Assurance minable qui résilie automatiquement votre contrat après 30 jours, car vous n'avez pas une carte grise définitive (ce qui est normal, car le véhicule est neuf). Le certificat que j'ai fourni est pourtant valable 4 mois et donc complètement légal.</t>
  </si>
  <si>
    <t>24/02/2018</t>
  </si>
  <si>
    <t>alcz59-105359</t>
  </si>
  <si>
    <t xml:space="preserve">A cause de la Matmut, je roule sans assurance depuis 3 mois. 
J'ai souscrit un nouveau contrat pour un nouveau véhicule. Je leurs ai bien spécifier que c'etait un deuxieme véhicule.  Ils ont compris que c'était un remplacement, et m'ont cloturer le contrat de mon premier véhicule !! 
Sur ce nouveau véhicule, j'aurais du recevoir la carte verte automatiquement. J'attends toujours ! 
La ligne client est toujours difficile à obtenir.  A 17h30, c'est déja fermé !  </t>
  </si>
  <si>
    <t>de-georgi-m-137854</t>
  </si>
  <si>
    <t>super accueil, informations claires et précises, bonne écoute,  la conseillère à répondu efficacement à toutes mes demandes et questions , je suis complétement satisfaite de l'echange que j'ai eu avec l'olivier assurance</t>
  </si>
  <si>
    <t>ninoupam-96426</t>
  </si>
  <si>
    <t>Pour placer de l'argent, correct
pour transmettre aux enfants ou à un tiers: A EVITER
service sucession totalement incompétent, faisant trainer les dossiers
déjà dénoncés par la revue QUE CHOISIR</t>
  </si>
  <si>
    <t>18/08/2020</t>
  </si>
  <si>
    <t>patrick-g-121313</t>
  </si>
  <si>
    <t>un conseillé devait me rappeler a 15 heure pour finaliser mon contrat et payer mais a 17H25 TOUJOURS PERSONNE !!!
je l'ai fini seul sur internet
mais ca manque un peu de serieux pour une assurance</t>
  </si>
  <si>
    <t>26/06/2021</t>
  </si>
  <si>
    <t>gege-99156</t>
  </si>
  <si>
    <t>Aviva la maison mère et eurofil aviva ne sont pas des assureurs mais des BANQUIERS J'ai été assuré 20 ans chez aviva à raison de 3000€ par an soit 60.000€ Mon épouse a eu un accident matériel non responsable en 2016 (le seul en 20 ans) elle a été radiée car les dégâts sur notre voiture dépasser les 1500€ Ils ont dû mettre de leur poche m'ont-ils affirmé (allez voir votre député qui a voté cette loi m'ont-ils dit) J'ai repris une assurance auto chez eurofil aviva Malheureusement mon épouse a tapé le pare choc de la voiteure qui la précédée 
(petits dégats) Elle vient d'être radiée Dans leur courrier ils précisent que je peux m'adresser à leur courtier pour avoir un nouveau devis les concernant Sans commentaire! A FUIR SEUL VOTRE ARGENT LES INTÉRESSE</t>
  </si>
  <si>
    <t>fabie26-69045</t>
  </si>
  <si>
    <t>Pour une peinture au plafond, les demandes de justificatifs (motifs,réparation, nature du sinistre, assurance du syndic )
Chaque justificatif en appel un autre. Temps d attente pour les joindre au tel 1/2 à 1 heure. Impossible de traiter par email non plus. Depuis 3 semaines le dossier est en suspend. Je précise que la personne dont je m'occupe a 80 ans, mais cela n'est pas leur affaire.</t>
  </si>
  <si>
    <t>30/11/2018</t>
  </si>
  <si>
    <t>griorion-133063</t>
  </si>
  <si>
    <t>Très mécontent , j'ai déclaré un sinistre alors que je suis assuré tous risques, la MATMUT n'a pas reconnu ce sinistre après plusieurs courriers ou appels téléphoniques les interlocuteurs sont très désagréables. De guerre lasse j'ai fait réparer mon véhicule à mes frais .</t>
  </si>
  <si>
    <t>chagny-l-107652</t>
  </si>
  <si>
    <t>TARIF ELEVE PAR RAPPORT AUX GARANTIES ET FRANCHISES
MANQUE DE VISIBILITE SUR LES GARANTIES QUAND SOUSCRIPTION URGENTE PAR TELEPHONE ET/OU INTERNET. MERCI</t>
  </si>
  <si>
    <t>david-m-129783</t>
  </si>
  <si>
    <t>Je suis agréablement reçu par votre équipe... Et une bonne relation et courtoisie en vous remerciant par avance de votre réponse positive merci au revoir</t>
  </si>
  <si>
    <t>27/08/2021</t>
  </si>
  <si>
    <t>christophe-h-129575</t>
  </si>
  <si>
    <t xml:space="preserve">LES PRIX ET GARANTIES SONT TRES BIEN, devis rapide et clair.
j'ai déjà été client et je n'ai jamais rencontré de difficultés particulière. Content de revenir chez Direct assurance
</t>
  </si>
  <si>
    <t>maurin-s-133802</t>
  </si>
  <si>
    <t xml:space="preserve">Satisfait, service rapide et fiable. Avec un service client de qualité ! Les demandes sont traités avec efficacité. Enfin bref, enfin une assurance qui est du côté des assurés. </t>
  </si>
  <si>
    <t>yves-a-106336</t>
  </si>
  <si>
    <t>Bonjour 
Pas très content d'avoir eu une hausse de mon échéance de plus de 8%
Encore moins content d'avoir subi un dommage matériel ( non responsable) le 1er décembre et d'attendre encore le remboursement de la franchise suite réparations effectuées il y a 2 mois</t>
  </si>
  <si>
    <t>lino-s-116544</t>
  </si>
  <si>
    <t>Satisfait du service! Très bien, excellent rapport qualité-prix, j'espère que le bon début sera une condition essentielle pour ce qui concerne la suite et que tout le déroulement de notre rapport se poursuive avec clairté et efficacité!</t>
  </si>
  <si>
    <t>domy-75844</t>
  </si>
  <si>
    <t>Après avoir résilié mon contrat d'assurance vie, un retrait à été fait sur mon compte 3 semaines plus tard, je dois leur fournir un justificatif de ce retrait afin d'être remboursé!!!</t>
  </si>
  <si>
    <t>13/05/2019</t>
  </si>
  <si>
    <t>spierre-109885</t>
  </si>
  <si>
    <t>Bonjour, une assurance qui vous prélève le lendemain de la subscription. Mais par contre quand on demande une résiliation, pour ce rétracter c'est autre chose. Déjà il ne prenne pas votre décision en compte avant 3 semaines, ils veulent vous forcer à rester. Et le comble, c'est que au bout d'un mois, je ne suis toujours pas rembourser. Une assurance pas sérieuse....</t>
  </si>
  <si>
    <t>bob-54876</t>
  </si>
  <si>
    <t>Ne pas s'assurer chez eux !</t>
  </si>
  <si>
    <t>pyt-71037</t>
  </si>
  <si>
    <t>Malgré un bonus à 0.50 depuis plus de 20 ans, un tarif Lauréat à 8%, après 4 sinistres en 2 ans, (1 bris de glace, 2 sinistres non responsables et 1 sinistre léger responsable), c'est un doublement de franchise. Refus du relèvement de la franchise, j'ai été éjecté illico par MAAF. Aucune reconnaissance à la fidélité du client (plus de 20 ans d'ancienneté), c'est la double peine, victime des sinistres et victime de l'assureur, lamentable et injuste.</t>
  </si>
  <si>
    <t>lydie-c-105705</t>
  </si>
  <si>
    <t>Je me donne encore un an chez Direct Assurance pour voir l'évolution des tarifs car, cette année, +20€ d'augmentation avec une mauvaise excuse... à voir l'an prochain si je reste ou pas</t>
  </si>
  <si>
    <t>06/03/2021</t>
  </si>
  <si>
    <t>homa-128891</t>
  </si>
  <si>
    <t>Ça fait 23 ans que toute ma famille est client chez Matmut.une société a volé ma voiture et elle a  vendu à Mr X.10 juillet je reçois une lettre de Matmut pour me prévenir qu'ils sont en train de payer l'indemnisation de ma voiture à Mr X.Ma voiture a été volée et Matmut est en train de payer quelqu'un qui a acheté une voiture volée .J'ai porté plainte contre X.et j'ai envoyé la copie de la plainte pour MATMUT. Le jour que je suis allée déposé la carte de grise de voiture et les 2 clés et les autres documents à l'agence de MATMUT à CRETEIL employée m'a donné un reçu au nom de Mr X.Elle reçoit tous les documents à mon nom la carte grise à mon nom et 2 clés de voiture et elle me donne un reçu au nom de Mr X. J'étais énervée parceque je lui a donné tous les documents à mon nom et elle m'a donné un reçu au nom de Mr X.Après son collègue avec beaucoup agressivité m'a 
.dit à quel droit vous êtes énervée et maintenant sortez de cet agence et vous ne mettez jamais les pieds dans cet agence..pendant 12 ans j'ai payé l'assurance pour ma voiture, j'ai jamais vendu ma voiture,  l'assurance n'a jamais reçu attestation de cession de ma voiture et elle a reçu procès-verbal de ma plainte contre Mr X et ça fait 23 ans que je suis chez cette assurance.  Si je venais un jour en retard de mon voyage pour recevoir la lettre de Matmut et un jour en retard pour portez plainte alors Mr X ni seulment avait ma voiture en plus il recevait le montant d'indemnités.  Alors ni seulement j'ai perdu ma voiture aussi je perdais le montant d'indemnités. Et tout ça à cause de MATMUT à qui je restais 23 ans fidèle. 
BRAVO MATMUT</t>
  </si>
  <si>
    <t>21/08/2021</t>
  </si>
  <si>
    <t>babeth-77440</t>
  </si>
  <si>
    <t>Je suis chez maaf depuis plusieurs années, j'ai eu 2 accidents 1 responsable, 1 autre non responsable, j'ai aussi l'habitation, où il y a 2 ans la foudre a fait des dégâts. A chaque fois que j'ai contacté la MAAF , la personne était très aimable, et a chaque fois les délais des dossiers ont été rapide. A ce jour je ne changerai pas d'assurance. Je ne comprends pas tous ces avis négatifs.je rajoute que je ne suis pas payé par MAAF.</t>
  </si>
  <si>
    <t>08/07/2019</t>
  </si>
  <si>
    <t>maelle--103028</t>
  </si>
  <si>
    <t xml:space="preserve">Toujours agréable de les avoirs au téléphone. 
Toujours Très réactifs à nos demande, le temps d’attente pour les joindres est faible.
J’en suis satisfaite depuis plusieurs années chez eux </t>
  </si>
  <si>
    <t>br-93165</t>
  </si>
  <si>
    <t>même si les services rendus sont bons, la cotisation est très élevée!
Par ailleurs je ne comprends pas que la MGP soit un partenaire de certaines équipes sportives; l'argent investi dans une publicité serait plus utile dans l'amélioration des services rendus, notamment dans certains remboursements!</t>
  </si>
  <si>
    <t>04/07/2020</t>
  </si>
  <si>
    <t>guillaume-104631</t>
  </si>
  <si>
    <t>Mutuelle compétente, les appels son gratuit est le service téléphonique répondants aux demandes sans problème.
Les remboursements sont toujours très rapide.
100% satisfait.</t>
  </si>
  <si>
    <t>23/02/2021</t>
  </si>
  <si>
    <t>victor-n-121127</t>
  </si>
  <si>
    <t xml:space="preserve">Je suis très content et satisfait par votre service et tarif très actractif pour les forfais tout risque et les options sont très intéressantes. Et qu’il y a plus de choix </t>
  </si>
  <si>
    <t>nini-11-106929</t>
  </si>
  <si>
    <t>cliente chez eux depuis pres de huit ans j 'avais decidé de changer pour un peu moins cher mal m'en a pris catastrophe avec l'autre mutuelle JE SUIS REVENUE chez APRIL et cela fait maintenant 5 ANS  je n 'est que des eloges à formuler RAPIDE DANS LES RBTS du moment que vous avez fait correctement l 'ensemble du dossier .... un peu negatif sur le rebt auditif par contre cote hospitalisation aucun souci ... Mais encore faut il AVOIR LES MOYENS de PRENDRE UN HAUT NIVEAU ET UN PACK PRIVILEGE.... RESTE CHERE MAIS COMPETENTE DE TOUTE FACON LES MUTUELLES HAUT DE GAMME SONT CHERES IL FAUT SAVOIR CE QUE L ON VEUT peu de resto mais un sacrifice cote santé pas negligable quand on a un souci. UNE BONNE MUTUELLE DANS L ENSEMBLE.</t>
  </si>
  <si>
    <t>17/03/2021</t>
  </si>
  <si>
    <t>ricaud-s-122277</t>
  </si>
  <si>
    <t>Je suis très satisfaite merci beaucoup les personnes au téléphone son très gentil et nous expliquer bien et en plus l'attente au téléphone et assez rapide merci</t>
  </si>
  <si>
    <t>lotfi-c-113886</t>
  </si>
  <si>
    <t xml:space="preserve">PAs vraiment satisfait du service!!
16à euros par ans pour une l'option 0 kilomètre c'est juste énorme!!
Probablement un changement dans peu de temps </t>
  </si>
  <si>
    <t>ozveren-k-105135</t>
  </si>
  <si>
    <t>Je suis très satisfait du service et de mes échanges avec mon conseiller. Mon conseiller a été tout de suite à l'écoute de mes besoins et m'a proposé le contrat adéquat.</t>
  </si>
  <si>
    <t>cloclo92-58902</t>
  </si>
  <si>
    <t xml:space="preserve">A SAVOIR AVANT D ADHERER A UN CONTRAT ASSUR O POIL...
Assuré chez Assur O Poil depuis un an environ j'ai eu la très désagréable surprise de recevoir récemment un très sympathique courrier de leur part m'informant que ma cotisation passera de 34.04 € à 53.96 € à compter de janvier 2018 soit près de 60 % d'augmentation ! ! !
En un an c'est un peu fort ! ...
En les questionnant par téléphone, leur réponse a été très simple : cette augmentation résulte de la consommation durant l'année écoulée ! ...
Chez Assur O Poil la consommation c est en fait les remboursements effectués ...
En début d'année notre chat a eu quelques ennuis de santé mais heureusement sans gravité qui ont donné lieu affectivement à des remboursements (80% et loin d'atteindre le plafond de 1300 €)) mais depuis 6 mois et heureusement absolument rien et donc aucun centime d'euro de remboursé.
Néanmoins Assur O Poil a jugé bon d'augmenter de 60 % la cotisation ! ...
Il faut savoir qu'il est indiqué en tout petit dans les conditions générales que Assur O Poil se réserve le droit d'augmenter la cotisation comme bon lui semble suivant divers critères dont cette fameuse consommation sans indiquer bien sûr aucune base de calcul c est un peu comme une assurance automobile avec BONUS MALUS à la différence que chez Assur O Poil il n'y a que des MALUS et pas des moindres !  ... A SAVOIR DONC ! ! ! ...
Comme il est stipulé dans les conditions générales Assur O Poil doit avertir l'adhérent par courrier de toute variation de tarif au moins 2 mois avant la date anniversaire du contrat et la loi Chatel permet heureusement de résilier le contrat dans un délai de 20 j à compter de la date d'envoi du courrier  et non de la date de réception ...
Fort de cela, Assur O'Poil poste le courrier 2 j après la date et en éco-pli de masse qui met quelques jours à nous parvenir et ainsi j'ai reçu ce courrier plus d'une semaine après la date indiquée sur le courrier voici comment Assur O Poil réduit  ainsi le délai à une dizaine de jours seulement ...
Il faut donc être très réactif pour résilier le contrat et éviter de repartir pour DOUZE MOIS de cotisations impactées d'une augmentation abusive de 60 % ... A SAVOIR DONC EGALEMENT ! ! ! ...
Heureusement je l'ai été et bien m'en a pris car non seulement j'ai pu résilier mon contrat dans les temps mais de plus et je remercie Assur O Poil j'ai pu trouver une autre assurance moins chère avec des garanties supérieures et surtout avec des augmentations de cotisations modérées de quelques % à l'échéance anniversaire aucunement impactées par le nombre et le montant des sommes remboursées ...
A SAVOIR DONC AUSSI ! ! ! ...
Voilà donc chers consommateurs ce qui vous attend si vous devenez adhérents chez Assur O Poil ...
Vous voilà prévenus ...
Salutations cordiales à toute la communauté.
Claude Leplat
</t>
  </si>
  <si>
    <t>16/11/2017</t>
  </si>
  <si>
    <t>akamaru60-81167</t>
  </si>
  <si>
    <t xml:space="preserve">Superbe entretien, Caroline est une conseillère très professionnelle, informée et agréable. Elle vous guide pas a pas dans vos demarches et c'est une satisfaction globale . Merci encore Caroline . </t>
  </si>
  <si>
    <t>20/11/2019</t>
  </si>
  <si>
    <t>cicero-54272</t>
  </si>
  <si>
    <t>Une assurance de prévoyance pour les professions libérales , certes dans le cadre de la loi madelin avec une certaine déduction,  mais tout de même démarre en juillet 2011 à 1 166€ et aujourd'hui cotisations à 2 163€!!!!!!</t>
  </si>
  <si>
    <t>25/04/2017</t>
  </si>
  <si>
    <t>lugdubad-80169</t>
  </si>
  <si>
    <t>Client depuis 45 ans, je suis un très bon client (pas de sinistres) j'ai subi une rupture de neutre de la part d'EDF,  je n'arrive pas à me faire rembourser correctement avec un expert jugé léger par d'autres experts reconnus. J'ai rapporté à la MACIF env. 120000 euros. J'envisage de quitter cette assurance.</t>
  </si>
  <si>
    <t>18/10/2019</t>
  </si>
  <si>
    <t>michael-m-126335</t>
  </si>
  <si>
    <t>je suis très satisfait. la souscription est rapide, le site est clair . je recommanderai ce site à mes amis.
Je vous remercie.
cordialement
Mr Maiziere</t>
  </si>
  <si>
    <t>cb-pub-52428</t>
  </si>
  <si>
    <t xml:space="preserve">Notre locataire a cassé deux vitres de la maison que nous lui avons loué.
Nous n'avons rien eu à faire.
AXA a dépêché un vitrier
Le vitrier est aller chercher les clés chez notre notaire, à fait son devis et l'à envoyé à AXA.
Il est revenu qq semaine après changer les fenêtres.
AXA a payé le vitrier directement.
</t>
  </si>
  <si>
    <t>16/02/2017</t>
  </si>
  <si>
    <t>fabrice-p-112686</t>
  </si>
  <si>
    <t>Les prix me conviennent, inscription très facile. .Démarche de résiliation de mon ancienne assurance faite par Direct Assurance,  c'est très bien. Maintenant pour confirmer mon avis, à voir à l'avenir.</t>
  </si>
  <si>
    <t>cachou-75327</t>
  </si>
  <si>
    <t>très mauvaise expérience : pour prélever les échéances, fonctionnent très bien: on m'a pris une échéance de trop, obligée de réclamer sinon rien ne se passe; je déconseille vivement</t>
  </si>
  <si>
    <t>24/04/2019</t>
  </si>
  <si>
    <t>laetitia-t-134366</t>
  </si>
  <si>
    <t>Assez satisfaite dans l'ensemble, devis rapide et facile à valider.
La signature électronique permet une grande souplesse dans les démarches.
Bonne première démarche.</t>
  </si>
  <si>
    <t>alix-d-126019</t>
  </si>
  <si>
    <t>J'ai effectué toutes les démarches en ligne. Hyper simple ! 8 étapes à parcourir, en 10 minutes c'est réglé ! Pour l'instant rien  à redire. Hâte de rouler !</t>
  </si>
  <si>
    <t>fanfan-65274</t>
  </si>
  <si>
    <t>Mon mari est décédé, la macif ne m a jamais versé le capital décès. Et pourtant, m a bien versé une certaine somme pour les obsèques. Cela fait 13 ans. Invente des contrats qui n existent pas. Changent de version quand on demande des justificatifs.</t>
  </si>
  <si>
    <t>abdelali-e-125848</t>
  </si>
  <si>
    <t>je suis satisfait je souhaite recevoir mes documents par voie postale le prix me convient vos services me convient votre nature de service me convient c'est bon ça sortait ensemble</t>
  </si>
  <si>
    <t>firas-b-124688</t>
  </si>
  <si>
    <t>Inscription rapide, offres claires, conseillée par un ami
Inscription rapide, offres claires, conseillée par un ami
Inscription rapide, offres claires, conseillée par un ami</t>
  </si>
  <si>
    <t>daneel-67159</t>
  </si>
  <si>
    <t>Suite au non-remboursement d'un professionnel de santé, le service client ne peut pas donner d'information sur la raison de refus. A quoi sert dans ce cas ce service client ? Erreur de date de naissance et de numéro de sécurité social pour mon fils sur ma carte de mutuelle. Qualité du service client, des application mobiles et du site web lamentable, mutuelle à fuir.</t>
  </si>
  <si>
    <t>28/09/2018</t>
  </si>
  <si>
    <t>fofo-71311</t>
  </si>
  <si>
    <t>J'avais deux contrats auto chez eux mais j'ai résilié un contrat avec regret. J'ai déclaré sur un autre contrat un sinistre pour dépannage et j'ai été dépanné en moins de 30 minutes.</t>
  </si>
  <si>
    <t>14/02/2019</t>
  </si>
  <si>
    <t>guillaume-c-109263</t>
  </si>
  <si>
    <t>Très bon service. Tout est clair. Rapport qualité prix excellent. Je vais recommander l'Olivier à mes connaissances. En plus j'ai bénéficié d'un parrainage de 50 euros et mon parrain également. Merci ; ça fait plaisir.</t>
  </si>
  <si>
    <t>parfait-yves-a-105787</t>
  </si>
  <si>
    <t xml:space="preserve">j'ai été bien accueillir au téléphone ?? et les renseignements sont bien assimilé
et pour l'intervention sur ma voiture avec le remorqueur  a le taxi été rapide
 pour le moment tout va bien </t>
  </si>
  <si>
    <t>geroi5754-95530</t>
  </si>
  <si>
    <t xml:space="preserve">La maif est devenue une coquille vide, des conseillers inefficaces qui attendent sagement leur prime à  la rentabilité.  Le sociétaire est traité avec mépris , c est juste la vache a lait.
Assurance inefficace qui ne szrt a rien </t>
  </si>
  <si>
    <t>28/07/2020</t>
  </si>
  <si>
    <t>denis-57780</t>
  </si>
  <si>
    <t>Suite à sinistre j'ai eu affaire à un interlocuteur méprisant et arrogant.Aucune empathie.Suite à contre expertise le dossier à été oublié à son niveau ce qui m'a généré des soucis parallèles mais aucune excuses</t>
  </si>
  <si>
    <t>laughton-g-139637</t>
  </si>
  <si>
    <t>Je m'oppose totalement à l'obligation de signer un mandat SEPA pour obtenir mes documents. Vous avez déjà mon argent par carte de crédit, vous n'avez pas besoin de mon IBAN. Si je veux renouveler avec vous l'année prochaine, j'utiliserai à nouveau ma carte de crédit. C'est une mauvaise pratique</t>
  </si>
  <si>
    <t>15/11/2021</t>
  </si>
  <si>
    <t>magaly-c-100683</t>
  </si>
  <si>
    <t xml:space="preserve">Contact et facilité de creation de contrat excellent néanmoins le questionnaire de satisfaction est prématuré étant donné que le dossier vient d'être créé </t>
  </si>
  <si>
    <t>27/11/2020</t>
  </si>
  <si>
    <t>touroulene-102058</t>
  </si>
  <si>
    <t xml:space="preserve">Nouvelle adhérente, pour l'année 2021, chez néoliane santé , je n'ai pas reçu ma carte de tiers payant et nous sommes le 31/12/2020 !!! 
On voit tout de suite le sérieux de cette société ,qui se fiche des adhérents mais saura préléver sur mon compte le 5/01/2021 le montant de l'adhésion .... bizarre !!! 
Impossible de les joindre au téléphone et quand, au bout de plusieurs tentatives vous avez une personne aimable qui vous dit, je m'occupe de vous tout de suite et que rien ne vient .....le laissé aller, me semble bien installé , je le crains - 
A peine inscrite, j'ai envie de filer ailleurs tellement je crains que les remboursements ne se fassent pas!
si je ne reçois pas ma carte je passerais par un médiateur pour annuler mon inscription - 
dans tous les cas je ne suis pas un robot qui dénigre au profit de la concurrence ...
je signe de mon nom pour le prouver : Hélène Lecompte </t>
  </si>
  <si>
    <t>31/12/2020</t>
  </si>
  <si>
    <t>maxoue-102886</t>
  </si>
  <si>
    <t>Résilier au bout de 32 ans (1989) en tant que sociétaire GMF
Motif : altération de la relation commerciale…allez comprendre 
Aucune explication ne nous à étè données à ce jour</t>
  </si>
  <si>
    <t>olivier555-94011</t>
  </si>
  <si>
    <t>Je vois pas comment je peux donner un avis de 150 lettres alors que je sais pas si mon dossier va être accepté. Je tiens à rajouter qu’on voit si un assureur est sérieux qu’après avoir eu besoin de lui.</t>
  </si>
  <si>
    <t>boutard-104545</t>
  </si>
  <si>
    <t>Bon assureur si vous n'avez pas de sinistre, dans le cas contraire si, comme nous, vous avez trois (3) sinistres dans l'année ( dont un classé sans suite) on refuse de renouveler ce contrat - on vous vire comme des malpropres sans préavis - (même avec 35 ans d'ancienneté) par contre on accepte de garde vos autres contrats (nous en avons 10 chez eux)pas  gonflé la MACIF</t>
  </si>
  <si>
    <t>tisty-86644</t>
  </si>
  <si>
    <t>Ne pas souscrire chez eux, surtout pour un 2 roues, il ne font aucun suivi de dossier et aucuns contrôle de paiement de cotisation et se contente de vous dire qu'il non pas reçu votre règlement et joue du dialogue stérile à répétition, imaginer en cas se sinistre la difficulté pour se faire entendre.
AMV merci de votre incompétence négative très démonstrative.</t>
  </si>
  <si>
    <t>03/02/2020</t>
  </si>
  <si>
    <t>merzak-r-109464</t>
  </si>
  <si>
    <t>les prix sont...c'est mon deuxième contrat chez vous sans aucun sinistre en plus je roule très très peu, je souhaite une révision de mon contrat si non je vais aller voir la concurrence</t>
  </si>
  <si>
    <t>chris-104724</t>
  </si>
  <si>
    <t xml:space="preserve">Parfait. La personne que j'ai eu au téléphone était très pro et très gentille. Je n'ai jamais eu de problème avec la MGP.
Bonne mutuelle à l'écoute de ses adhérents.
.
</t>
  </si>
  <si>
    <t>manu-114288</t>
  </si>
  <si>
    <t>macif est  devenue comme ses concurrents une machine à gagner de l'argent sans contre  parties pour ses  clients ( pas  de service , pas de suivi , ne reponds pas aux mails pourtant c'est la moindre des politesses ,deviens tentaculaires ,au bout du fil c'est jamais la bonne personne , aucune personne n'est responsable ) bref seul les tarifs restent pour l'instant interessants</t>
  </si>
  <si>
    <t>claire34-66684</t>
  </si>
  <si>
    <t>toujours pas de rapport d'expertise depuis plus de 15 jours malgré nos relances 2 fois par semaine</t>
  </si>
  <si>
    <t>07/09/2018</t>
  </si>
  <si>
    <t>houda-b-128098</t>
  </si>
  <si>
    <t>Moins chère des assurances, mais j'aimerai encore une réduction car malgré ne pas assurée longtemps une auto, jamais eu un gramme de problème en 16 ans de permis et de conduite.
Idéale serai une mensualité de 12 euros. Je suis une excellente conductrice.
Svp. merci par avance,</t>
  </si>
  <si>
    <t>15/08/2021</t>
  </si>
  <si>
    <t>luce-l-138528</t>
  </si>
  <si>
    <t>Je suis très agréablement surprise du professionnalisme et de la réactivité du service commercial, 1ére expérience pour moi du service assurance en dématérialisé et je trouve cela top.</t>
  </si>
  <si>
    <t>29/10/2021</t>
  </si>
  <si>
    <t>bis-60932</t>
  </si>
  <si>
    <t>Il faut les relancer pour la prise en compte de la demande de résiliation avec LRAR.</t>
  </si>
  <si>
    <t>vanessa-60110</t>
  </si>
  <si>
    <t>Une cotisation annuelle augmentant sans cesse et des clauses plus que douteuses</t>
  </si>
  <si>
    <t>02/01/2018</t>
  </si>
  <si>
    <t>houl-k-109539</t>
  </si>
  <si>
    <t>Je suis satisfait du service, l'accueil téléphonique était impeccable, professionnel, sympathique et efficace ! continuez comme cela !
Par contre attention à votre site qui était en maintenant au moins pendant 4 heures !!! juste quand j'ai fini mon inscription, dommage.</t>
  </si>
  <si>
    <t>maelle-r-124912</t>
  </si>
  <si>
    <t>Service satisfaisant , le prix peut être encore plus agressif.
La simplicité de la souscription est également très bien faite.
En espérant plus d’offres commerciales.</t>
  </si>
  <si>
    <t>elodie-c-108250</t>
  </si>
  <si>
    <t>quelques imperfections !!! notoires !! malgré des tarifs apparaissant comme attractif ..il faut voir l'ensemble de la prestation !!  notamment sur le boitier de conduite jeune conducteur ! manque un conseiller en ligne téléphonique efficace !!</t>
  </si>
  <si>
    <t>27/03/2021</t>
  </si>
  <si>
    <t>koscielniak-d-111816</t>
  </si>
  <si>
    <t>Je cherchais une assurance correcte et celle-ci me convient autant en terme de garanties que du prix. Je recommande vivement cette assurance.
Bien cordialement</t>
  </si>
  <si>
    <t>caroline-t-124138</t>
  </si>
  <si>
    <t>Une prise en charge par téléphone juste parfaite.. J'ai été parfaitement conseillée.
Des contrats adaptés à mes besoins et à mon budget .
Direct Assurance  au top !</t>
  </si>
  <si>
    <t>dinooo-103513</t>
  </si>
  <si>
    <t>Seul bémol c’est les remboursements pour mes ostéopathe, 4 remboursements de 15€, dommage qu’on ne puisse pas les assembler vu le prix des ostéopathes.</t>
  </si>
  <si>
    <t>agathe-87349</t>
  </si>
  <si>
    <t xml:space="preserve">Bonjour
Assurance déplorable, aucune écoute et malgré de nombreux mails et appels téléphoniques rien ne bouge. En retraite depuis le 1er Octobre 2019, pas un euro versé. Mon dossier étant clôturé, les prélèvements ont persisté à raison de 2 prélèvements par mois ! J'ai du stopper l'autorisation de prélèvement. En Décembre on m'a promis ma régularisation avant la fin de l'année, aujourd'hui toujours rien. Comment font les gens qui n'ont pas une petite avance de liquidité? Je ne recommande pas du tout cette assurance et regrette d'avoir cotisé pendant si longtemps chez eux, je leur fais une belle publicité dans mon milieu professionnel!
 </t>
  </si>
  <si>
    <t>19/02/2020</t>
  </si>
  <si>
    <t>jean-jacques-r-132683</t>
  </si>
  <si>
    <t>Dans la famille, nous sommes à la GMF depuis les années 60, et nous y sommes encore, et satisfaits !! Les prix sont à peine supérieurs à certaines compagnies, la qualité, la communication et la satisfaction sont très supérieurs d'après ce que j'entends, et à croire collègues, amis et relations, nous avons raison d'y rester !</t>
  </si>
  <si>
    <t>aline--105056</t>
  </si>
  <si>
    <t>Mauvais payeurs. Ma maman a été tuée dans un accident (non responsable) il y a plus d’un an par une de leurs assurées (déclarée coupable il y a 6 mois par un tribunal). Toujours pas d’indemnisation. Alors que cette indemnisation n’est pas très élevée pourtant ! Une honte.</t>
  </si>
  <si>
    <t>mrlaw-90394</t>
  </si>
  <si>
    <t xml:space="preserve">Bonjour,
12/12/2019, je valide un devis tiers confort (en ayant déclaré 2 sinistre non responsable sur 36 mois).
16/12/19, je reçois ma carte verte provisoire avec une erreur d'orthographe: Athur au lieu de Arthur (une erreur, ça peut arriver...mais c'est déjà un signe!)
19/12/19: après maintes tentatives pour les joindre, je reçois enfin la bonne carte verte provisoire
24/12/19: je reçois enfin le RI de mon ancien assureur (avec les 2 sinistres non responsable confirmés sur les derniers 36 mois)
Le 6/01/20: je complète mon dossier en téléchargeant les dernières pièces justificatives dont le RI.
7/01/20: je reçois ma carte verte définitive
Et le même jour plus tard, je reçois un avenant, appelé fallacieusement: remise en conformité"avec 15 euros de facturés pour l'avenant ET un signalement "d'erreurs" sur déclaration préalable de sinistres:
Mon RI dit:
1-Sinistre non responsable en 02/2019 (j'ai fait une erreur de frappe en tapant 201...8) sur leur site.
2-Sinistre non responsable le 22/10/19 (je l'avais déclaré de mémoire pour 11/2019 sur leur site)
LE TOUT FACTURE 117 EURO en plus sur ma cotisation annuelle.
Post confinement, je découvre çà...et porte réclamation....
On me dit....après une petite balade inter services d'1/2h: "bon, je vous rembourse 15euros.... et si vous n'êtes pas d'accord avec l'avenant, vous le refusez par simple email et PAR CONTRE, cela résilie votre contrat (et vous serez remboursé de votre cotisation déja versée au prorata temporis)"
SAUF QUE VOILA: 
S'il avaient fait plus attention, eux mêmes (rigueur et professionnalisme...) à l'avenant joint au email du 7/01/20 et surtout à mon RI:
Les 2 sinistres déclarés dans mon devis sont confirmés (à 1 erreur de frappe près 2018 pour 2019+10jours près, le 22 oct. pour Novembre...de mémoire)...117euros pour çà, sans déc?????? (ça n'aurait pas fouler un conseiller de me le dire??!!)
MAIS surtout, ILS COMPTABILISE mon erreur 2018 pour 2019 en sinistre qui n'est même pas mentionné dans le RI de mon précédent assureur.....!!!
Et là, c'est qui qui doit payer pour refaire un avenant autant qu'une "remise en conformité", hein!!!????
EN ATTENDANT, c'est un refus!!!!!
Et je ne vous parle pas des remboursements promis (campagne de pub à fin d'année pour DASHCAM):
1-Laborieux mais validé pour l'achat d'une cam
2-Avec 1 seul Norauto sur 6 (en région Toulousaine) qui a le bon tech, il m'a fallut des semaines pour 1 rdv installation....l'Olivier qui promettait jusqu'à 120 euros pour l'installation (elle m'a coutée 60 euros)....ne veut me rembourser que 30 euros..."dixit un opérateur Olivier"
je passe trop de temps à patienter pour les avoir pour leurs demander un retour sur mes demandes de remboursement en signalant LEURS ERREURS.
je vais résilier, c'est tout! (n°1080436119)
</t>
  </si>
  <si>
    <t>10/06/2020</t>
  </si>
  <si>
    <t>pepette-62925</t>
  </si>
  <si>
    <t>très bonne explication; personne très disponible et  à l'écoute. personne à l'écoute ce qui n'est pas toujours évident......</t>
  </si>
  <si>
    <t>04/04/2018</t>
  </si>
  <si>
    <t>chloe-s-129065</t>
  </si>
  <si>
    <t>Conseillers dispo et au top, comme avant ! Ils ont pris le temps de me conseiller et effectuer un nouveau devis avec moi ! Contente de vous retrouver et pardon pour ma petite infidélité ! ;)</t>
  </si>
  <si>
    <t>organemmu72-62700</t>
  </si>
  <si>
    <t>Bonjour, voilà 15 jours que j'ai eu mon RDV chez l'ophtalmologue Et malgré les relancé mail avec envoie du décompte de ma part de la CPAM et un envoie de leurs part je n'ai toujours pas eu mon remboursement!
On me dit que je n'ai rien envoyé mais voilà 3 fois que j'envoie mon décompte. Toujours pas de réponses! Ni de remboursement!!! À quoi sert de payer une mutuelle pour qu' aucun remboursements sois fait!!! Je suis obligée d'être à cette mutuelle avec mon entreprise.</t>
  </si>
  <si>
    <t>27/03/2018</t>
  </si>
  <si>
    <t>rachel-58704</t>
  </si>
  <si>
    <t>contrat n° 257241
J'ai souscrit un contrat à cette assurances mais n'ayant pu envoyer la carte grise definitive dans le mois ils auraient du annule mon contrat vu que tous les papier n’étaient pas en règles apres plusieurs appels et mail de leur par me demandant la carte grise définitive me disant que si je ne l'envoyait pas avant la fin du mois de l'assurance serait annulé. Apres le mois je n'ai plus eu de nouvelle de leur part j'en ai donc deduit que le contrat était annulé mais en regardant mes comptes j'ai remarqué qu'ils me prelevaient toujours le montant mensuel de l’assurance, ils ont donc tasitement accepté mon contrat alors que les papiers n'etaient pas en regles ayant remarqué cela je les ai appelé ils m'ont confirmer que mon contrat avait etait accepté je leur ai bien demandé que meme si les papiers n'etaient pas en regles ils l'avaient accepté quand meme la reponse etaient la meme oui mon contrat été accepté mais n'ayant toujours pas la carte grise definitive je leur ai demander d'annuler le contrat avec lettre recommander plus de 10 jours avant le prelevement mensuelle suivant.
-je n'ai jamais reçut l'accusé de réception de ma lettre recommander
-j'ai reçu un appel de leur pars me disant qu'ils avaient reçut la lettre recommander (Ils ont donc ouvert la lettre avant de signer le recommender au facteur ce qui est illegal ou n'on meme pas signé du tout car je n'ai jamais reçut l'accusé de reception )ne pouvaient pas résilier le contrat sans la carte grise définitive (alors que le contrat a était accepté  de LEUR pars SANS la carte de grise)
-je l'ai fait avec les 10 jours de preavis indiqué avant la date buttoir du prélèvement mensuel MAIS ils ont essayé de prélevé quand même 1 jours avant la date (ayant bloqué le prélèvement il n'est pas passé) ils ignorent mes mails leur disant d'annulé le contrat sans papiers en règles et me demandent de leur verser la sommes de l’assurance ce qui n'est pas correcte du tout. étant donné que rien n'est en regles et qu'ils auraient du annulé le contrat vu que je n'ai pu envoyer la carte grise définitive.</t>
  </si>
  <si>
    <t>09/11/2017</t>
  </si>
  <si>
    <t>danfakha-d-134435</t>
  </si>
  <si>
    <t xml:space="preserve">Je suis satisfait du service du début jusqu’à la fin de ma souscription, je peux recommander sans soucis, 
Merci de continuer dans cette logique.
Je vous remercie beaucoup </t>
  </si>
  <si>
    <t>bibi801--98106</t>
  </si>
  <si>
    <t xml:space="preserve">Super content du contrat fait pour mon père 
Le commercial répond toujours aux demandes par téléphone ou mail 
Je recommande 
Rien à voir avec mon ancienne mutuelle </t>
  </si>
  <si>
    <t>30/09/2020</t>
  </si>
  <si>
    <t>xxx-99725</t>
  </si>
  <si>
    <t>A la signature de votre 1er contrat, tarif d' appel à des tarifs très préférentiels. au renouvellement des tarifs de rattrapages avec une augmentation exponentielle (15,06 % pour moi en assurance tous risques ), indiscutable car mes calculs ne sont pas les leurs.
1ère année à la signature, cotisation annuelle TTC après bonus, formule tous risques 244,82.
2ème année renouvellement, cotisation annuelle TTC après bonus, 281,70, calculez.  
                                      Pour eux 2 + 2 ne font pas 4.
Ce sont les secrets bizarres de l' assurance</t>
  </si>
  <si>
    <t>06/11/2020</t>
  </si>
  <si>
    <t>barzaz-63663</t>
  </si>
  <si>
    <t>Contrats de qualité. Je n'ai toutefois pas eu (heureusement) à tester le service des sinistres n'en ayant pas eu à ce jour.</t>
  </si>
  <si>
    <t>isabelle-r-104960</t>
  </si>
  <si>
    <t>déçue par les tarifs !! les tarifs n'evoluent pas ...mem en cas de non sinistre contrairement à d'autres compagnies d'assurance...Je vais aller voir ailleurs c'est certain !</t>
  </si>
  <si>
    <t>pierre-59839</t>
  </si>
  <si>
    <t xml:space="preserve">Attention la franchise n est pas fixe  ! Il faut  rajouter 10% des frais de réparation . Le tout ne depassant pas 650euros .on peut vite s’en retrouver avec un total d’en 400/500 euros </t>
  </si>
  <si>
    <t>arnaud-s-115489</t>
  </si>
  <si>
    <t>Je suis satisfait avec l'olivier assurance parceque j'ai un contact de multi auto depuis deux ans et je suis toujours en vie de reste à l'olivier assurance.</t>
  </si>
  <si>
    <t>nathalie55-89440</t>
  </si>
  <si>
    <t>grosse deception.aucunes personnes n est capable de vous repondre correctement.avant de prendre une assurance .regarder les avis .je ne conseillerais a personnes cette assurance.</t>
  </si>
  <si>
    <t>06/05/2020</t>
  </si>
  <si>
    <t>erik71-104492</t>
  </si>
  <si>
    <t>Bonne mutuelle satisfaction en générale sur les remboursement mais  également sur la possibilité d'avoir des services  a prix très avantageux, voir des praticiens  avec des prix rasonnable.</t>
  </si>
  <si>
    <t>19/02/2021</t>
  </si>
  <si>
    <t>stanley-139251</t>
  </si>
  <si>
    <t>C été parfait, très bonne communication,je pense avoir eu les bonnes informations,je n est pas attendu trop longtemps,j espère que ma demande de rétractation sera bien pris en compte</t>
  </si>
  <si>
    <t>09/11/2021</t>
  </si>
  <si>
    <t>rose-69155</t>
  </si>
  <si>
    <t>Service Clients aux interlocuteurs souvent dans l'ignorance. La Macif abandonne ses sociétaires à partie de 65 ans en ce qui concerne la prévoyance accident, le service juridique donne souvent des informations erronées. En général irrespect du sociétaire.</t>
  </si>
  <si>
    <t>cordou62-102729</t>
  </si>
  <si>
    <t xml:space="preserve">suite  à un déplacement à l'agence local la personne qui m'a reçu a omis de mettre à jour mon dossier , il s'est permit de photocopier mon passeport pour sois disant le compléter hors lors de ma connexion via mon compte  de mutavie  je me suis rendu contre que rien n'a été fait comme il a tous mes coordonnées téléphone adresse mail  personnel  il peux vendre un bon prix toutes mes informations et encaissait du pognon  , j'ai averti la CNIL de cette agissement pour que cette assurance soit sanctionné mais eux aussi touchent des pots de vins en etc ... donc méfiez vous et faites attention </t>
  </si>
  <si>
    <t>dcm890-63553</t>
  </si>
  <si>
    <t>je suis chez eux depuis 2012 et je suis satisfait de leur service ........................</t>
  </si>
  <si>
    <t>25/04/2018</t>
  </si>
  <si>
    <t>jean-luc-d-128380</t>
  </si>
  <si>
    <t>je suis satisfait de ce service d'assurance en ligne, simple, rapide, et compétitif au niveau tarif. reste à espérer que nous n'en ayons jamais besoin...</t>
  </si>
  <si>
    <t>seegoln-62427</t>
  </si>
  <si>
    <t xml:space="preserve">Une assurance pour ceux qui n'ont aucun accident ! Véhicule dégradé sur le parking du travail (4ème cas sur ce parking), assurée tous risques c'est avec crédulité que je les ai contacté pour signaler le sinistre dont je ne connaissais pas le responsable. Même avec un dépôt de plainte et une contre expertise la conclusion : je suis une menteuse, pas d'indemnisation. 5 ans sans incidents auparavant, on se sent bien protégé ! </t>
  </si>
  <si>
    <t>jpm-61699</t>
  </si>
  <si>
    <t xml:space="preserve">
Après avoir fait l’objet d’un vol à la roulotte à l’intérieur de mon véhicule (préjudice d’environ 1800€), plainte déposée, j’apprends de mon assureur que je ne suis pas garanti pour le vol des objets qui se trouvaient dans le coffre, n’ayant pas souscrit cette option.
Jamais,  je n’ai été informé ni conseillé par la MAAF  pour cette option, cela fait 48 ans que je suis assuré chez  eux sans sinistre impliquant ma responsabilité.
Le recours effectué, n’a pas abouti, une fin de non recevoir, même pas un petit geste commercial(circuler il n’y a rien à voir), seulement vos primes nous intéressent.
Je pense que MAAF devrait moins  faire de publicité à la télévision, celle-ci  frise le ridicule, et employer cet argent à  mieux former leurs conseillers afin de mieux répondre à sa clientèle.
Quelle déception, bien sur je vais résilier tous mes contrats.
CECI AFIN DE VOUS METTRE EN GARDE CONTRE CET ASSUREUR PEU SCRUPULEUX.
</t>
  </si>
  <si>
    <t>23/02/2018</t>
  </si>
  <si>
    <t>medzo00-51603</t>
  </si>
  <si>
    <t xml:space="preserve">Hé ben comme la majorité des personnes sur ce site nous nous sommes fait avoir par Active Assurance. Le 04 Janvier ma compagne souscrivait à une assurance chez eux suite à un devis le lynx. Suite à une 1ére erreur de notre part sur le devis avec un malus à 1.00 nous avons recu notre relevé d'information avec un malus à 1.47. Nous les avons appelé pour rectifier le devis et ils nous ont dit que ce n'était pas du tout un souci car avec la loi de la descente rapide aprés 2 ans sans sinistres déclarés on redescendait à 1.00. Et en effet ma compagne n'a pas de sinistre depuis 2013 et n'a pas été assurée depuis 2015. Nous avons vérifié l'information et avons souscris chez eux en versant prés de 160e. Le 17.01 ils nous envoient un mail nous informant qu'ils ne pouvaient plus nous assurer à cause d'un malus trop élevé. Et voilà comment se faire plumer de 160e. Quand on les appelle on tombe au bled avec des pauvres bougres qui récitent leur texte nous informant qu'ils ne peuvent rien faire pour nous. Et vu les commentaires ca à pas l'air d'être des amateurs. Mais j'ai bien l'intention de les poursuivre en justice ils s'en sortiront pas comme ca. </t>
  </si>
  <si>
    <t>24/01/2017</t>
  </si>
  <si>
    <t>petitcoueur-52596</t>
  </si>
  <si>
    <t xml:space="preserve">Je suis passée par Snatiane car ma mère est agée de 75 ans et à cet age je me demande parfois si il est pas préférable de ne pas avoir de mutuelle car quand on voit le prix que ça coute et la hauteur des remboursements, il est presque plus intéressant de payer de sa poche la partie mutuelle en cas de besoin. Bref en tout cas j'ai comparé avec l'organsime Santiane en Octobre 2016 et cette année en changeant d'assureur je garde les garanties de ma mère et je lui fais économiser 737 euros en une année.... j'en revenais pas lorsque j'ai fait le total... les courtiers ont de beaux jours devant eux </t>
  </si>
  <si>
    <t>alex46-96048</t>
  </si>
  <si>
    <t xml:space="preserve">Opérée d un meningiome juste avant le confinement mon dossier a été traité par mail. Après avoir lu les avis et avec le confinement en plus j ai eu des frayeurs par rapport au délais de paiement. Tout s est très bien passé. Rapide, efficace et aimable. Soulagée car la carpimko fait " traîner" la prise charge. J ai envoyé les pièces demandées dès le départ mais ils me demandent toujours un nouveau certificat....catastrophique. </t>
  </si>
  <si>
    <t>Gan</t>
  </si>
  <si>
    <t>07/08/2020</t>
  </si>
  <si>
    <t>magalie-t-106135</t>
  </si>
  <si>
    <t xml:space="preserve">Je suis satisfait du service , très agréable
et accueillant ,  a l'écoute  et surtout très patient
merci de votre patience 
mme trouillebout
bonne journée
</t>
  </si>
  <si>
    <t>10/03/2021</t>
  </si>
  <si>
    <t>gomez13104-112538</t>
  </si>
  <si>
    <t>Je suis pour une fois contente, après un sinistre ils ont été réactif certes cela prend toujours un peu de temps pour les remboursements mais dans l'ensemble je suis rassurée.
Je vous recommande cet assurance car niveau rapport qualité / prix et réactivité ils sont très bien !</t>
  </si>
  <si>
    <t>hades-64607</t>
  </si>
  <si>
    <t>Je suis très ravie aujourd'hui d'avoir une assurance qui gère mieux mes garanties par rapport à d'autres :
Très facile du côté de la prise en charge en consultations ,Pharmacie,Médicaments,et surtout qu'on reçoit ces prise en charge rapidement.
Par un souci de gestion du côté dentaire après avoir envoyé un devis pour une couronne l'attente est trop longue .
Car chaque consultations mon dentiste n'avait toujours pas reçu de validation pour une couronne de mars à juin ,le point qui me gène un peu.</t>
  </si>
  <si>
    <t>08/06/2018</t>
  </si>
  <si>
    <t>stephane080-60263</t>
  </si>
  <si>
    <t>bonjours j ai un sinistre sur ma voiture qui et arrivé au moi aout assuré tous risque et depuis le passage de l expert plus de nouvel service sinistre imposible a joindre et toujours pas remboursement je ne recommande pas cette assurance aucune communication malgré tout l email et appel sans retour</t>
  </si>
  <si>
    <t>07/01/2018</t>
  </si>
  <si>
    <t>gerald--m-133497</t>
  </si>
  <si>
    <t>Satisfaite, prix raisonnable, moins de questions, réponse très rapide, rien à dire service impéccable, très contente de l'assurance.
La rapidité est super cool.</t>
  </si>
  <si>
    <t>19/09/2021</t>
  </si>
  <si>
    <t>tiotio-81929</t>
  </si>
  <si>
    <t>On ne peut pas faire pire. Ils prennent les cotisations et... c'est tout. Au moment où vous êtes malade, ils prétendent simplement que vous n'avez pas de problème de santé et le tour est joué. Je déconseille totalement.</t>
  </si>
  <si>
    <t>14/12/2019</t>
  </si>
  <si>
    <t>reignier-l-135915</t>
  </si>
  <si>
    <t>Super assurance! De très bons prix 
Très heureux d’être assuré chez l’olivier ! J’espère de tout coe je que tout le reste se passera bien mais je suis confiant !</t>
  </si>
  <si>
    <t>04/10/2021</t>
  </si>
  <si>
    <t>elodie-c-132289</t>
  </si>
  <si>
    <t>Les prix me conviennent, la souscription est facile et le YouDrive est excellent.
Le système de souscription est simple et l’assurance est valide dès le jour même.</t>
  </si>
  <si>
    <t>clarisse-p-129673</t>
  </si>
  <si>
    <t xml:space="preserve">Je suis satisfait du service , rapide et efficace , fluide. J espère juste que l offre avec le code promo MULTIDAYS va bien fonctionné vu que je viens de payer les deux premiers mois d assurance. Censé être offert grâce à l offre. </t>
  </si>
  <si>
    <t>manuel-m-125299</t>
  </si>
  <si>
    <t xml:space="preserve">Les prix me conviennent et très pratique. 
Simple a faire le devis et après a souscrire la assurance auto,paiement rapide et effectué dans les minutes après souscription de la assurance auto souhaitée </t>
  </si>
  <si>
    <t>marchandzo-45301</t>
  </si>
  <si>
    <t>après avoir laissé un avis très négatif, je revoie tout cela d'une façon plus positive car un arrangement a était trouvé.
je pense que le tout était d'être en rapport avec le bon service.
Merci au service qualité client.</t>
  </si>
  <si>
    <t>02/01/2017</t>
  </si>
  <si>
    <t>smi-131850</t>
  </si>
  <si>
    <t>Malheureusement 
A la MATMUT , vous êtes dorénavant un numéro , plus de contact privilégié, une gestion catastrophique des sinistres , pas d échange au file de l eau , presque un an pour solder un dossier sinistre .., bref après 30 ans à la MATMUT je vais casser tous mes contrats ..</t>
  </si>
  <si>
    <t>08/09/2021</t>
  </si>
  <si>
    <t>jean-marc-55678</t>
  </si>
  <si>
    <t>j'ai percuté 1 sanglier en moto, mon pote qui me suivait l'a percuté également. Bilan des courses, j'ai droit à 1 franchise et 1 malus, mon pote dans 1 autre assurance, pas de franchise, pas de malus. Ca donnerait pas envie de changer d'assurance ???</t>
  </si>
  <si>
    <t>28/06/2017</t>
  </si>
  <si>
    <t>sma-103588</t>
  </si>
  <si>
    <t>Excellent service, aimabilité, rapidité et efficacité! Vraiment à chaque fois que je les ai appelé pour mes 2 véhicules, l'accueil a été courtois, aimable et même sympathique! J'ai été rapidement compris et les actions nécessaires ont été prises sur le champs! Bravo!</t>
  </si>
  <si>
    <t>03/02/2021</t>
  </si>
  <si>
    <t>seynabou-s-136148</t>
  </si>
  <si>
    <t xml:space="preserve">Je viens de souscrire à l’offre, j’attends de voir comment ma mutuelle va m’accompagner dans mes besoins et si l’offre que j’ai souscrit correspond à mes attentes 
</t>
  </si>
  <si>
    <t>06/10/2021</t>
  </si>
  <si>
    <t>morji21-61857</t>
  </si>
  <si>
    <t xml:space="preserve">demande une confirmation de date pour résiliation et recevoir comme réponse : " nous venons de vous renvoyez votre carte verte " N'importe quoi !!!! Et s'il n'y avait eu que ça comme mauvaise expérience.... Quelle incompétence ! FUYEZ cette "assurance" (j'insiste sur les guillemets) Tellement hâte de pouvoir résilier !!!!! </t>
  </si>
  <si>
    <t>28/02/2018</t>
  </si>
  <si>
    <t>oustalet134-52011</t>
  </si>
  <si>
    <t xml:space="preserve">Ils ne connaissent même pas une voiture sortie il y a un (01/2016) ex: DS3 PURETECH 130 S&amp;S BVM6 Sport Chic - pour eux ça ne peut être qu'une Diesel Boite automatique alors que c'est une essence boite manuelle !!! </t>
  </si>
  <si>
    <t>03/02/2017</t>
  </si>
  <si>
    <t>fyoussef-129043</t>
  </si>
  <si>
    <t xml:space="preserve">Ce n’est pas une vraie assurance: gestion catastrophique, service injoignable et ne rembourse jamais. Bon à encaisser les paiements mais abonnés absents pour le règlement. A fuire absolument </t>
  </si>
  <si>
    <t>antoinettem-b-1051-57806</t>
  </si>
  <si>
    <t>je ne suis absolument pas satisfaite de cette assurance j'ai fait un devis envoye les papiers et règle l'assurance pour un an ils m ont dit ne pouvoir m'assurer alors que la conseillère etait d'accord mais ne me rembourse pas le montant versé malgre deux lettres recommandées</t>
  </si>
  <si>
    <t>04/10/2017</t>
  </si>
  <si>
    <t>jeanlou-64637</t>
  </si>
  <si>
    <t xml:space="preserve">A fuir ! J'ai envoyé un courrier de résiliation avec accusé de réception pour le 1er janvier 2018. Aujourd'hui nous sommes début juin et rien n'a été fait ! Les prélèvements mensuels continuent et je paie depuis janvier dernier 2 mutuelles différentes !!! Impossible de les joindre. Que faire !!! </t>
  </si>
  <si>
    <t>09/06/2018</t>
  </si>
  <si>
    <t>pierrepardo-63081</t>
  </si>
  <si>
    <t>Je suis très satisfait des services de Santiane, à chaque fois que j'ai besoin d'eux quelqu'un me répond en moins de cinq minutes et ils me trouvent une solution.
Le système de signature est rapide et très pratique. Je recommande</t>
  </si>
  <si>
    <t>09/04/2018</t>
  </si>
  <si>
    <t>soufiane-64322</t>
  </si>
  <si>
    <t xml:space="preserve">Agence discriminatoire de Strasbourg ! expliquer moi pourquoi au téléphone on me fait un devis et l’on m’informe que je suis accepter par Maaf qui faut juste apportez lés documents ! Arrivée au rendez-vous à l’agence à l’heure on me reçois avec 20 minute de retard une fois devant l’assureur elle m’informe en 1minute réellement 1 minute !!! Que se n’est pas possible ? Avec de faux argument me prétextent l’ancienneté de permis puis s’excusent et me sortent comme nouveau prétexte la puissance du véhicule sachez que le devis a était fait Avec les MEME INFORMATION DONNÉE AU TÉLÉPHONE 
Je ne peux en conclure qu’une seul choses ! Discrimination. 
La seul différence au téléphone c’est que l’on me voyez pas 
Je suis allez chez direct assurance il n’ont pas d’agencd Mais il ne vous traite pas comme des vulgaire bandit </t>
  </si>
  <si>
    <t>30/05/2018</t>
  </si>
  <si>
    <t>01/05/2018</t>
  </si>
  <si>
    <t>gauthier-e-127388</t>
  </si>
  <si>
    <t>Je viens de souscrire aujourd hui à une assurance automobile. 
Le premier contact téléphonique m a satisfaite la personne m a apporter toute les informations necessaire</t>
  </si>
  <si>
    <t>valentine-b-107423</t>
  </si>
  <si>
    <t>Je suis satisfaite du service que je trouve à l'écoute lors de mon inscription. 
Boitier youdrive pratique et permettant de faire des économies, installé rapidement, informations claires.</t>
  </si>
  <si>
    <t>yakkar-71116</t>
  </si>
  <si>
    <t xml:space="preserve">Presque 20 ans de bon et loyaux service sans accidents 
Depuis le léger accrochage en marche arrière avec un autre véhicule  je suis tenu responsable à 100%,
Assurés tout risque aucun accompagnement des conseil trop juste et une expertise trop légère. 
Avec une estimation incomplète  qui passe de 400 à 250 euros sous prétexte que la franchise est à ma charcd
Je suis très mécontent du services rendu par la macif suite à un sinistre auto 
J'ai fait une réclamation jattend une prise en charge totale des 400 euros sinon je change d'assurance à partir de lundi
Faut pas déconner c'est moi qui paient tous les mois 90euros </t>
  </si>
  <si>
    <t>09/02/2019</t>
  </si>
  <si>
    <t>qostali-b-134133</t>
  </si>
  <si>
    <t xml:space="preserve">Je suis satisfait de leur réactivité mais les prix sont relativement élevés. Ils sont par contre très professionnels et les informations sont exacts et efficaces. </t>
  </si>
  <si>
    <t>choupette-87561</t>
  </si>
  <si>
    <t>nouveau travail .je reçois un mail d affiliation sans tarifs  je souscris  a la mutuelle de base et surcomplementaire car ma collègue me dit qu elle est a 25 euros    et quelle surprise  je suis deduis 25 euros sur ma fiche de paie  et 25 euros sur ma banque  .de la je les contacte  pour leur demander   de résilier la surcomplementaire   et refuses tout c</t>
  </si>
  <si>
    <t>24/02/2020</t>
  </si>
  <si>
    <t>bulleth-82243</t>
  </si>
  <si>
    <t>Gestion sinistre catastrophique, aucune réponse possible même en agence, à fuir ou alors être sur de ne pas avoir de catastrophe, service sinistre injoignable, une honte</t>
  </si>
  <si>
    <t>23/12/2019</t>
  </si>
  <si>
    <t>assure78-70065</t>
  </si>
  <si>
    <t>A quoi sert l'espace client ?
Impossible d'imprimer une attestation d'assurance logement depuis mon espace client pour mettre ma situation à jour auprès de mon bailleur au 1er janvier.
Personnel réduit entre les fêtes. Délais trop longs pour recevoir une attestation papier qu'on devrait automatiquement m'envoyer par courrier puisqu'on ne la laisse pas disponible dans mon espace client...
Je constate aussi depuis la rentrée que l'impression des attestations RC depuis l'espace client donne des doc non conformes au niveau des dates de couverture (XX/XX/Xxxx). Là encore, je dois désormais me faire joindre par une plate forme en ligne pour obtenir un document à jour.
La coupe est pleine. Je n'ose même pas imaginer si je dois les solliciter un jour pour un sinistre.
Sociétaire depuis 2002, 2019 sera ma dernière année.</t>
  </si>
  <si>
    <t>10/01/2019</t>
  </si>
  <si>
    <t>olivier--109370</t>
  </si>
  <si>
    <t xml:space="preserve">Christine a répondu à ma demande.
c’est une personne très agréable elle est à l’écoute .... a été de très bon conseil.
Néanmoins Cela n’efface pas le problème de remboursement de nos prestations d’optique par la mgp.
Je garde à l’esprit Le différentiel de remboursement soit disant dû à un problème de paramètrage informatique... 
200 euros non remboursés !!!
</t>
  </si>
  <si>
    <t>crombecq-j-110922</t>
  </si>
  <si>
    <t>Merci d'avoir sur répondre à ma demande ci rapidement et merci de votre compréhension je vais recommandé votre compagnie de assurance a toute personne qui en ha besoins</t>
  </si>
  <si>
    <t>bernard-56296</t>
  </si>
  <si>
    <t>Titulaire d'un contrat dépendance pacifica souscrit pour ma mère auprès du crédit agricole, je ne parviens pas a faire reconnaitre cette dependance malgré laconfirmation de l'hopital</t>
  </si>
  <si>
    <t>26/07/2017</t>
  </si>
  <si>
    <t>Assuré depuis plusieurs années chez eux avec un paquet de garanties et d'options (maison, voiture avec les tas de suppléments pour avoir quelque chose de correct) je reçois un courrier m'indiquant que je coute trop cher aux sociétaires ???. Problème je n'ai aucun sinistre ni accident de voiture ni dégâts des eaux ou incendies . Rien de ce genre. Je les appelle pour avoir des explications. Et là j'apprends qu'en raison de la perte de mon emploi où j'ai fait appel à la protection juridique je suis résilié. Donc conclusion la Matmut dépense des millions d'euros de l'argent des sociétaires pour matraquer en pub tv qui ne rapporte rien aux sociétaires mais tu paies tes cotisations rubis sur l'ongle, sans aucun sinistre et ils te résilient pour garder l'argent mais pas s embarrasser. En pleine crise covid c'est répugnant. Fuyez cette compagnie qui ne fait que dans la comm et n est pas une mutuelle.</t>
  </si>
  <si>
    <t>fred-64-128488</t>
  </si>
  <si>
    <t>Bonjour à tous,
Attention avec cette assurance santé qui au lieu de vous aidé quand vous êtes en maladie vous envoie des control avec des médecins conseils privé et vous mettes dans une position très inconfortable.
En ce qui me concerne j'ai été opéré d'une hernie discale et je vais certainement garder des lésions à vie, mon premier paiement à eu lieu le 4ème mois de mon arrêt et maintenant je ne suis pas payé depuis le 13/05.
C'est vraiment une assurance médiocre et des blablateurs (publicité mensongère) cars les prélèvements sur ma fiche de paye ce font tous les mois et jamais de retard.
Attitude déplorable, une fois que j'aurais repris le travail je vais faire en sorte qu'il perde les 200 adhérents constituant notre PME</t>
  </si>
  <si>
    <t>theo-g-108875</t>
  </si>
  <si>
    <t xml:space="preserve">Je suis satisfait du service simple et compréhensible
Peu cher comparé à d'autres assurances 
Vraiment au choix de chacun en détaillant simplement et efficacement les supplément </t>
  </si>
  <si>
    <t>stein28-127419</t>
  </si>
  <si>
    <t>Tentative de vol sur ma voiture, siège en cuir conducteur griffé de partout... Pas de réparation sur le siège car on peut s'assoir... Super l'assurance (Assuré tout risque)</t>
  </si>
  <si>
    <t>alain-109780</t>
  </si>
  <si>
    <t>Après plusieurs sinistres automobiles, je ne peux qu'être satisfait de la prise en charge et la clarté des informations données. Le rapport qualité prix est tout à fait excellent.</t>
  </si>
  <si>
    <t>franciane-e-116707</t>
  </si>
  <si>
    <t>Bonjour
Premières impressions
Satisfaite rapide interlocuteur Aimable .
Pas d’attente téléphonique ou très peu.
Satisfaction aussi au niveau des tarifs.
Cordialement.</t>
  </si>
  <si>
    <t>thierry-40950</t>
  </si>
  <si>
    <t>La souscription du contrat d'assurance se fait très rapidement par téléphone. En moins d'une demi-heure, ma voiture était assurée et j'étais en possession de ma carte verte provisoire (par mail puis reçu par courrier). J'ai reçu ma carte verte définitive 3/4 jours après avoir envoyé tous les papiers nécessaire.</t>
  </si>
  <si>
    <t>08/08/2017</t>
  </si>
  <si>
    <t>mlg-58758</t>
  </si>
  <si>
    <t>Bon service client et tarif très compétitif sur mon Xsara Picasso. Par contre, cet assureur a refusé de faire assurer un autre véhicule non utilisé et non assuré pendant 2,5 ans. Le conseiller qui me l'a annoncé et qui m'a appris qu'il y avait obligation d'assurer même un véhicule qui n'est pas utilisé s'est en plus montré très moyennement aimable ce jour là. Quelques recherches sur des comparateurs m'ont permis de faire assurer mes deux véhicules sans soucis à des prix légèrement inférieurs. Dommage pour Eurofil...</t>
  </si>
  <si>
    <t>11/11/2017</t>
  </si>
  <si>
    <t>sodfav-50366</t>
  </si>
  <si>
    <t>Service client déplorable. Encore une fois à échéance de mon assurance auto, la cotisation arrive augmentée malgré un bonus qui s'améliore... Je téléphone au n° non surtaxé mais néanmoins payant, pour avoir des explications. La personne que j'ai eu au téléphone me donne des explications et me dit en fin de conversation qu'elle va me rappeler en fin de semaine et voir ainsi  quel geste commercial elle peut faire...15 jours plus tard et apres 10€ de téléphone pour les relancer, je réussis à avoir quelqu'un qui me dit que la situation ne mérite pas de geste commercial:
- une cotisation augmentée malgré un bonus
- un engagement de rappel non tenu
- une promesse de geste commercial
-10€ et plus d'une heure de mon temps à essayer de joindre DA.
Tous ces arguments ne sont pas suffisants d'après elle pour un geste commercial???
Conclusion attention aux engagements de DA ils n'ont aucune valeur pour eux</t>
  </si>
  <si>
    <t>16/12/2016</t>
  </si>
  <si>
    <t>ste-80495</t>
  </si>
  <si>
    <t>Augmentation des mensualités du simple au double en raison des interventions chirurgicales que mon chien a du subir courant 2019. Comme si cela nous faisait plaisir de lui faire subir ces interventions.</t>
  </si>
  <si>
    <t>28/10/2019</t>
  </si>
  <si>
    <t>yann-57407</t>
  </si>
  <si>
    <t>Assureur plus attaché à appâter les nouveaux clients que de récompenser les anciens clients (plus de 20ans)</t>
  </si>
  <si>
    <t>17/09/2017</t>
  </si>
  <si>
    <t>gg-82231</t>
  </si>
  <si>
    <t>Service client parfait. opérateur Khalid clair concis répondant clairement a toutes mes question. satisfait de l'entretient et de la réponse rapide apportée à mon besoin.</t>
  </si>
  <si>
    <t>ouaneh-k-110949</t>
  </si>
  <si>
    <t xml:space="preserve">L'assurance est bien conseillé et approprié à ma condition de vie merci. Je souhaite être toujours accompagné par vos conseils qui sont à l'écoute de nos soucis </t>
  </si>
  <si>
    <t>picque-l-117457</t>
  </si>
  <si>
    <t xml:space="preserve">Je suis satisfait du Service, Le personnel est serviable ,de bonne humeur et compétent. 
Les prix sont très compétitifs.
Mon assurance auto préférée,  assurément.
</t>
  </si>
  <si>
    <t>mathieu3112-59106</t>
  </si>
  <si>
    <t>Tres bonne mutuelle je suis chez eux depuis 4 ans et les augmentations sont en moyenne de 3%... Comparé à mon ancienne mutuelle qui augmentais de plus de 8%...
Bonne pour ceux qui désire de l'optique sans trop de garantie à coté et qui on pris conscience que pour certains secteur s'assurer sois même est beaucoup plus rentable.
Ce qui me fais rire c'est tout ceux qui se plaignent de ne pas pouvoir résilier comme il se doit. Mais arretter un peu d'attendre le dernier moment pour changer ! réviser vos contrat en juin et vous n'aurais aucun problèmes ni avec cegema ni avec aucune autre mutuelle.</t>
  </si>
  <si>
    <t>24/11/2017</t>
  </si>
  <si>
    <t>antoine-g-128382</t>
  </si>
  <si>
    <t>Rapide et efficace, je souhaitais souscrire en ligne sans forcement avoir quelqu'un au bout du fil. J'espère qu'à contrario, le service par téléphone sera réactif si il se passe quoi que ce soit.</t>
  </si>
  <si>
    <t>cyrille123456-78906</t>
  </si>
  <si>
    <t>A fuir! Malgré un accident et ma couverture assurance, l'assureur refuse la prise en charge des frais de réparation. Je déconseille vivement! Après 8 ans de fidélité, un seul accident et aucune aide, je suis choqué et ulcéré.</t>
  </si>
  <si>
    <t>03/09/2019</t>
  </si>
  <si>
    <t>deli4269-58050</t>
  </si>
  <si>
    <t xml:space="preserve">Je suis client Axa internet depuis 5ans et j'étais satisfait jusqu'à aujourd'hui sans doute car je n'avais pas eu à faire à leurs service client, j'ai toujours payé mais cotisation en temps et en heure mais malgré ça, refus de prise en charge d'un sinistre sans raison valable, ils jouent avec les mots et vous font porter le chapeau, ils ne prévient même pas leurs client lorsqu'il ya un souci dans leurs dossier, c'est honteux pour une si grand compagnie, un conseil évitez cette assureur surtout la filiale internet, payez un peut plus chère mais au moins vous aurez un service correct. </t>
  </si>
  <si>
    <t>13/10/2017</t>
  </si>
  <si>
    <t>servane-p-124031</t>
  </si>
  <si>
    <t>Je suis satisfaite du service Merci pour ce site simple d'utilisation
La GMF a toujours été là quand j'en ai eu besoin
Parfait de pouvoir générer ses documents en ligne</t>
  </si>
  <si>
    <t>daniel-gara-106090</t>
  </si>
  <si>
    <t>Je suis satisfait du service...sauf que je regrette votre nouvelle méthode pour payer  la redevance. Je suis formellement opposé au fait de ne pouvoir payer par chèque ou par virement. J'envisage dès lors de ne pas renouveler mon contrat en 2022.</t>
  </si>
  <si>
    <t>favier-t-138885</t>
  </si>
  <si>
    <t xml:space="preserve">Opérateur super agréable et sympa, je recommande pleinement !! Très professionnel, il avait réponse à toutes mes questions et j'avais toutes les informations à porter de main. Merci beaucoup ! </t>
  </si>
  <si>
    <t>03/11/2021</t>
  </si>
  <si>
    <t>el-mansori-s-113346</t>
  </si>
  <si>
    <t xml:space="preserve">Très réactif, tout se fait via internet, en cas de doute on a un interlocuteur au téléphone.
Je recommande l'olivier assurance à tout mon entourage.  </t>
  </si>
  <si>
    <t>bene-124827</t>
  </si>
  <si>
    <t>Super assureur, service au top et indemnisation au rdv.
Très souple sur le type de véhicule assurable
Particulièrement réactif
Je recommande Allianz que ce soit pour l'auto ou la MRH</t>
  </si>
  <si>
    <t>christian-l-107825</t>
  </si>
  <si>
    <t>énorme augmentation tous les ans depuis que je suis assuré chez direct assurance  si cela continue a la prochaine je ferai jouer la concurrence .  cordialement</t>
  </si>
  <si>
    <t>jean-francois-m-116546</t>
  </si>
  <si>
    <t>pour moi c'est parfait le prix me convient et la demarche facile, les garanties sont a la hauteur du tarif, a conseiller aux autres motards, le site est assez interactif</t>
  </si>
  <si>
    <t>sehaki-a-127806</t>
  </si>
  <si>
    <t xml:space="preserve">satisfait de cette assurance ! le prix est défiant toute concurrence, je vous conseil vivement cette assurance ! pour ma part je suis conquis !!!!!!!! </t>
  </si>
  <si>
    <t>13/08/2021</t>
  </si>
  <si>
    <t>boubou17-96356</t>
  </si>
  <si>
    <t>Très chèr et en constante augmentation. Ils vous laisse trainer quant vous demandez a résilier, afin de gagner une année, car ils ont changés leurs politiques de rélisiation et sont passés a la RAR en décembre.
Ils ont deux sociétés: 
- Génération qui vous paye vos remboursement santé et
- Coverlife qui prend les cotisations
Ce n'est marqué nulle-part et quant vous changez de compte courrant, l'un le prend, mais pas l'autre. Et vous vous retrouvez avec un refus banquaire.</t>
  </si>
  <si>
    <t>vanessa-l-106173</t>
  </si>
  <si>
    <t xml:space="preserve">Bonjour, je suis satisfaite du service et du tarif proposé surtout.
L'adhésion était rapide et efficace.
Je recommanderais fortement votre société pour nos proches qui souhaitent souscrire à une nouvelle assurance.
</t>
  </si>
  <si>
    <t>badid-68421</t>
  </si>
  <si>
    <t>Assuré depuis 7 ans en tout risque et mon contrat est résilié sans avertissement après 2 sinistres non responsables (dont un bris de glace). Mes cotisations dépassent largement les frais remboursés par la maaf. Je suis très déçu de l'absence de considération d'une telle démarche.</t>
  </si>
  <si>
    <t>07/11/2018</t>
  </si>
  <si>
    <t>alexia-p-127510</t>
  </si>
  <si>
    <t>Contente de cette banque , pas trop cher , je resterait chez vous , bon conseille , on vois toujour l’es comparaison de pris je trouve cela géniale ..</t>
  </si>
  <si>
    <t>pompee-o-110354</t>
  </si>
  <si>
    <t>Satisfait du service pour adhérer, site facile et intuitif
Prix correct par rapport au véhicule
Relation clientèle agréable, personne à l'écoute et bons renseignements</t>
  </si>
  <si>
    <t>al-87842</t>
  </si>
  <si>
    <t>Les tarifs augmentent plus vite chez les clients fidèles.
J'ai eu droit à 50% de torts alors que j'ai été percuté à 'arrière de mon véhicule, vidéo à l'appui. 
Habitation : pour 2 habitations équivalentes sur le même terrain et même adresse, sur la même période de 2016 à 2020), l'une a une augmentation de 52.16%, l'autre de 39.83% ..  cherchez l'erreur. Aucune explication logique à ma question (réponse : cette année augmentation de 4.35%)</t>
  </si>
  <si>
    <t>02/03/2020</t>
  </si>
  <si>
    <t>daniel-56223</t>
  </si>
  <si>
    <t xml:space="preserve">Bien sûr assuré par le biais d'internet,pas de guichet ou s'adresser à une personne physique.Au téléphone suite à une résiliation loi hammon,on me dit qu'il n'on rien eu,personnel de mauvaise fois.Si vous devez payer ils ne manquerons pas de vous le rappeler et de vous menacer d'huissier par contre pour payer il y a plus personne </t>
  </si>
  <si>
    <t>24/07/2017</t>
  </si>
  <si>
    <t>charly-122359</t>
  </si>
  <si>
    <t xml:space="preserve">assuré depuis janvier2021 je suis très d’écus de ce mutuelle . deux mois pour être rembourser une facture de scanner,  les autres dossiers c'est pareil voir pire . pour avoir un devis dentaire c'est pareil j'ai été conseillé par un courtier je trouve ça grave je suis vraiment en colère étant retraité j'ai laissé ma mutuelle entreprise car trop cher voilas le résultat . je partirais à la fin de l'année c'est  acter . et en plus vous pouvez même pas les avoirs au téléphone ça répond pas obliger de passer par le courtier . merci cegema </t>
  </si>
  <si>
    <t>willliam-81409</t>
  </si>
  <si>
    <t>Un service client d'une formidable incompétence.
Je résume mon histoire :
Je souscris récemment un contrat habitation par téléphone auprès de la Matmut a effet du 13/12/19.
1ère erreur commise, à la réception du contrat à signer électroniquement, je remarque la date d'effet au 13/11/19. De ce pas je recontacte la Matmut, qui me change la date d'effet et met la bonne, certes, l'heure d'effet cette fois ci est erronée, alors que valide dans le 1er contrat. Je décide de me rétracter du contrat comme le prévoit l'article L.112-2-1 du Code des Assurances, cela fait 15 jours que le recommandé est arrivé, mais  aucun retour de leur part pour le moment.
Je décide donc, de les recontacter pour avoir des nouvelles (j'ai bien reçu l'AR), mon interlocutrice me répond qu'elle n'a pas le 'visu' mais vois que 2 courriers ont été réceptionnés mais pas encore traités.
Jusque là, aucun souci, je lui demande quelques informations concernant le contrat souscrit et si j'allais être facturé.
(C'est à ce moment que ça se met à déconner)
Elle m'annonce une mensualité totale presque au double de celle qui m'avait été annoncée lors de la souscription par téléphone, certes, écrite sur le contrat envoyé, mais non dit par téléphone lors de mon accord pour la souscription, la personne enchaîne qu'une facture de plus du double avait déjà été émise prétextant des frais de dossier, qui, n'avaient pas non plus été annoncé à la souscription. Je lui demande donc si les conversations sont enregistrées, afin de prouver ma bonne foi, et d'annuler le contrat sans même prendre en compte ma demande de rétractation ; elle me répond que non, ils n'enregistrent aucune conversation. ( Le problème, c'est que la loi MiFID II rend obligatoire, l'enregistrement des conversations téléphoniques dans ce cadre là. )
Impossible de parler à un responsable, donc face à ce mur téléphonique, je me suis énervé, et j'ai raccroché. 
Y'a une manière de faire qui ne passe pas.
Ça fait trop de défauts de conseils, et d'erreurs.
C'est désolant.
Dans l'espoir que quelqu'un de compétent reprenne mon dossier, je laisse mes coordonnées.</t>
  </si>
  <si>
    <t>27/11/2019</t>
  </si>
  <si>
    <t>arnaud06927513-89510</t>
  </si>
  <si>
    <t>service client totalement absent, à éviter</t>
  </si>
  <si>
    <t>10/05/2020</t>
  </si>
  <si>
    <t>pauline-66912</t>
  </si>
  <si>
    <t>Quelle déception ! Client depuis de nombreuses années, je n'avais jamais eu de sinistres pour lesquels j'étais responsable donc jamais réellement confronté à un besoin réel venant d'eux. Mais à ce jour j'ai été victime d'un abus de confiance et me suis fait voler ma voiture. Réponse d'Eurofil : vous avez été victime d'une "escroquerie" et donc ce n'est pas pris en charge, contrairement à l'abus de confiance... le dossier est desormais entre les mains d'un avocat mais me concernant je déconseillerai fortement cette assurance, et comme je travaille pour une marque automobile de luxe...</t>
  </si>
  <si>
    <t>17/09/2018</t>
  </si>
  <si>
    <t>gilles-m-105107</t>
  </si>
  <si>
    <t>je suis dans l ensemble satisfait de l assurance automobile
rien a signaler merci
connexion facile paiement facile 
clareté du contrat donc tout va bien merci de nous transmettre l attestation apres paiement</t>
  </si>
  <si>
    <t>lawrider-89025</t>
  </si>
  <si>
    <t>Bonjour.  Voici mon problème. Policier en Bonjour.  Mon problème est similaire au votre. En arrêt pendant huit mois j'ai repris en mi-temps thérapeutique non sans avoir au préalable contacté 3 conseillés différents ( 2 par téléphone, 1 à l'agence même) qui m'ont certifié que j'étais couvert pour la perte de prime . Une fois en MTT Interiale refuse de m'indemniser car j'étais en CMO et non pas en longue maladie ( que j'ai moi-même refusé pour reprendre au plus tôt)....les appels sont enregistrés et la personne qui m'a reçu à reconnu m'avoir donné une mauvaise information car elle même n'était pas au courant.....malgré tout Interiale refuse de revenir sur leur décision. Je vais donc saisir le tribunal car de l'avis même de leur délégué, Interiale est en faute car ses employés ont un rôle de conseil . Je recherche donc des assurées dans le même cas que moi afin d'appuyer mon action en justice afin que le tribunal soit au fait que ces pratiques de désinformation afin que l'assuré ne benificie pas de ses droits est monnaie courante chez Interiale. pendant huit mois j'ai repris en mi-temps thérapeutique ,non sans avoir au préalable contacté 3 conseillés différents ( 2 par téléphone, 1 à l'agence même) ,qui m'ont certifié que j'étais couvert pour la perte de prime . Une fois en MTT , Interiale refuse de m'indemniser car j'étais en CMO et non pas en longue maladie ( que j'ai moi-même refusé pour reprendre au plus tôt)....les appels sont enregistrés et la personne qui m'a reçu à reconnu m'avoir donné une mauvaise information car elle même n'était pas au courant.....malgré tout Interiale refuse de revenir sur sa décision. Je vais donc saisir le tribunal car de l'avis même de leur délégué, Interiale est en faute car ses employés ont un rôle de conseil . Je recherche donc des assurés dans le même cas que moi afin d'appuyer mon action en justice pour que le tribunal soit au fait que ces pratiques de désinformations afin que l'assuré ne benificie pas de ses droits est monnaie courante chez Interiale.</t>
  </si>
  <si>
    <t>21/04/2020</t>
  </si>
  <si>
    <t>robert-87843</t>
  </si>
  <si>
    <t>incapables , refus de prendre en charge un sinistre incendie , après un procès pour fautes et défaut de conseils ( 5 ans pour la première instance ) , la macif a été jugé coupable pour défaut de conseils et condamnée à m'indemniser .De toute évidence , les cotisations sont les bien venues , les remboursements de sinistres ,non. n'hésitez pas à les traîner devant un tribunal .</t>
  </si>
  <si>
    <t>obcavalaire-62002</t>
  </si>
  <si>
    <t xml:space="preserve">Mon véhicule a été endommagé et je reste au bout d'une semaine, sans nouvelle de l’expert. Mon véhicule a été transporté sur plateau par un dépanneur de ma ville mais il attend qu'on lui indique le garage agréé dans lequel il doit le transporter de nouveau. Aucune nouvelle et surtout aucun empressement de DIRECT ASSURANCE qui ne répond même pas aux mails que j'envoie et qui ne cherche aucune solution à un véhicule assuré tous risques dans un accident ou je ne suis pas responsable. Assurance non fiable et peut-être trop low coast .... La faon de traiter ses clients non responsables ,n'est pas digne d'une assurance nationnale </t>
  </si>
  <si>
    <t>05/03/2018</t>
  </si>
  <si>
    <t>tu-p-122689</t>
  </si>
  <si>
    <t>tres insatisfait du service client le plus mauvais qui existe aucun respect des clients se fiche et se moque de vous intollerable une honte a direct assurance</t>
  </si>
  <si>
    <t>marie-f-116871</t>
  </si>
  <si>
    <t>Simple et rapide. Malheureusement, problème pour envoyer la pièce d’identité. Que ce soit depuis le téléphone que depuis l’ordinateur. Prix satisfaisant.</t>
  </si>
  <si>
    <t>12/06/2021</t>
  </si>
  <si>
    <t>heol-51876</t>
  </si>
  <si>
    <t>A mon inscription, le conseillé de la Macif m'a demandé mes numéro de carte bancaire avec le pictogramme au téléphone  pour retirer 50 € et je lui ai donné. Et le jour suivant, mon compte en banque était piraté. Est-ce un hasard, je ne sais pas , mais je n'y crois pas. Pour ma part certaines personnes qui répondent aux clients par téléphones sont tout simplement des.....</t>
  </si>
  <si>
    <t>31/01/2017</t>
  </si>
  <si>
    <t>langlois-r-115387</t>
  </si>
  <si>
    <t>Rapide et efficace. Les prix pratiqués sont très bon marché.  Assistance rapide et gratuite. Je conseillerai cette assurance pour mes proches. En les parrainant !!</t>
  </si>
  <si>
    <t>poussingirl-114105</t>
  </si>
  <si>
    <t>L anne derniere j achete une caravanneneuve l assurance ouj etais etait tres bien.mais ne la prenait qu en responsabilite civile .donc je cherche assurance ( ceci pendant 1 er confinement) je trouve la macif  mon interlocuteur me dit qu il doit d abord assurer ma voiture seule et dans 2 mois il assurera la caravanne apres avoir obtenu  une derogation de son superieur .2 pois apres la souscription de  mon contrat  ( juin) j ecris un message  pour savoir ou en est mon contrat caravanne  pas de reponse pendant 1 mois et en juillet on m appelle  pour me direqu il.n y a aucune trace de ce contrat .je reussis a obtenir un Rdv en agence ( la personnequi me recoit plus que desagrable) ne sais pas comment  faire  mais me dit qu elle va prendre en compte ma caravanne rtque la personne qui m a fait la proposition de contrat  va me contacter car il a bloquer le dossier sur son ordi et que seul lui y a acces .nous sommes au mois de mai 2021  j attend tjrs son appel  depuis toujours pas de carte verte ...ah si une mais il y a des etoiles a la place des dates de validite et num d immatriculation. Je necesse de.faire des demandes de carte verte en vain par contre ils n oublient pas de prelever .dernier interlocutrice hier a qui je dis mon agacement et que je pars des mon avis de fin d échéance et bien d apres ELLE la macif n a aucun probleme avec ses clients etsi je veuxavoir le meme interlocuteur ,je n ai qu a aller dans unepetite agence   hyper desagreable  je veux juste ce quo est mon du ....pour l instant l ai recu un mail avec une attestation provisoire avec la carte verte barree  ....et attention a lamacif on est  des societaires cette blague</t>
  </si>
  <si>
    <t>karinedoud-78917</t>
  </si>
  <si>
    <t>L'Olivier assurance est une très bonne assurance. Des conseillers très à l'écoute au téléphone et qui répondent parfaitement aux questions. L'espace client en ligne permet d'envoyer directement les documents sans avoir à envoyer un courrier (que ce soit pour la souscription ou pour la déclaration des sinistres). Les tarifs sont bas mais ce n'est pas pour autant que le service n'est pas au rendez vous bien au contraire.</t>
  </si>
  <si>
    <t>cfaugere-107663</t>
  </si>
  <si>
    <t>5 immeubles assurés 10 ans, premier "gros" sinistre, je ne suis pas remboursé, malgré un 1er avis d'expert qui m'est favorable. Ensuite je suis simplement viré pour cause de trop nombreux dégats (un seul!!) Et enfin, vous demandez un relevé d'information, il faut attendre 10 minutes, puis passer 5 minutes à montrer patte blanche, numéro client, numéro téléphone, mail, adresse etc.... pourquoi pas le nom de jeune fille de ma mère aussi??  Et malgré 3 appels, aucun document jamais reçu. Bien évidemment, ils ne sont pas capables de les envoyer par email...
AU REVOIR SOGESSUR!</t>
  </si>
  <si>
    <t>Sogessur</t>
  </si>
  <si>
    <t>vestri-s-121845</t>
  </si>
  <si>
    <t xml:space="preserve">Très satisfait dès réponse des conseillers au top et pas t’attente téléphonique excellent travail merci d’avance je vous remercie et je vous re contacte pour la nouvelle voiture </t>
  </si>
  <si>
    <t>marco-105804</t>
  </si>
  <si>
    <t>Axa pour moi,, est une entreprise pro , efficace , qui pratique des prix que je pensais au niveau du marché . Vu les tarifs proposés sur Assurland , iAxa semble être plutôt dans la fourchette haute ..En ce qui concerne les remboursements d éventuels dommages pare-brises par exemple ça fonctionne bien il me semble . Il y a très longtemps que je n'ai pas eu d'accident matériel . J'ai aussi une moto 125 chez eux à 110 € .
Bien à vous . JM Vivier</t>
  </si>
  <si>
    <t>kachbouri-s-113775</t>
  </si>
  <si>
    <t xml:space="preserve">Je suis satisfait niveau  service 
Niveaux prix un peut cher  
Niveaux conditions de validation de contrat très facile et clair et disponibilité  facile a joindre </t>
  </si>
  <si>
    <t>claire-53638</t>
  </si>
  <si>
    <t xml:space="preserve">je souhaitais souscrire aupres de cet assureur mais parceque j'ai vendu mon vehicule il y a 8 mois et n'en rachete un qu'a present donc n'ayant pas ete assurée dernierement. Je suis refusée par l'assureur. J'ai pourtant aucun sinistre dans les années passées, bonus à 0,50... </t>
  </si>
  <si>
    <t>27/03/2017</t>
  </si>
  <si>
    <t>loic83-113632</t>
  </si>
  <si>
    <t xml:space="preserve">Assurer en tout risque plus pack option complet je paie 65 euro en ayant un bonus a 0.50 pour une fiesta diesel de 70 CV de 2008 et. J'ai eu un soucis ils ont était capable de me trouver une close pour ne pas m'aider 
Assurance a éviter deuxième voiture chez direct assurance aucun problème avec eux en cas de sinistres </t>
  </si>
  <si>
    <t>13/05/2021</t>
  </si>
  <si>
    <t>Assureur honnête aux tarifs moyens, on sait sur quoi on est assuré. Par contre fâcheuse tendance à vouloir me fourguer une couverture tous risques. GMF, je n'ai pas besoin d'une tous risques pour une vieille voiture!</t>
  </si>
  <si>
    <t>christine--100270</t>
  </si>
  <si>
    <t xml:space="preserve">bonjour 
j'aimerais savoir si votre mutuel compte qu'une formule ou s'y il en a d'autres plus forte qui rembourserais mieux 
merci 
Cordialement 
Mme Christine Bernard </t>
  </si>
  <si>
    <t>18/11/2020</t>
  </si>
  <si>
    <t>chihab-b-131535</t>
  </si>
  <si>
    <t>le service cient n'est pas arrangeant et se comporte comme des robots figés, sans considération à l'importance de chaque client (surtout s'il s'agit d'un ancien client)</t>
  </si>
  <si>
    <t>emy-81197</t>
  </si>
  <si>
    <t>Caroline a était agréable et tres efficaces. Elle a répondu a toutes mes question avec beaucoup de gentillesse. Je suis tres contant et Je suis extrêmement satisfait du service fourni. nous avons discuté de tout et elle a été très utile pour répondre à toutes mes questions, y compris la vérification de tous mes remboursements pour le mois de septembre et octobre.</t>
  </si>
  <si>
    <t>bruno-g-137737</t>
  </si>
  <si>
    <t xml:space="preserve">Prix intéressant en vue du contrat est des remboursements reste à voir par la suite pour les remboursements des soins s'il sont bien remboursés sans demande de facture </t>
  </si>
  <si>
    <t>vignuau-alvarez-d-129080</t>
  </si>
  <si>
    <t>Facile, Simple, Rapide
Conseiller Professionnel : bonne écoute, réponse très rapide aux questions, bons conseils par rapport à la situation 
Montage du dossier facile et rapide</t>
  </si>
  <si>
    <t>emilie-d-127703</t>
  </si>
  <si>
    <t>Bonjour J'aurais aimé pouvoir payer au mois car tous le monde ne peut se le permettre  , cela est dommage si cela est possible j'aimerais être contacter sinon vous êtes pas cher</t>
  </si>
  <si>
    <t>marylene95-94303</t>
  </si>
  <si>
    <t xml:space="preserve">assistance joignable après une attente de plus de 45 mn à chaque fois, sachant que la 1ère fois le transporteur me menacait de laisser ma voiture sur le bord de la route faute de réponse
Plusieurs interlocuteurs pour obtenir une simple réponse qui nous renvoie à chaque fois à un correspondant dédié mais jamais joignable 
Un prêt de véhicule sur 12 jours mais l expert n à été contacté qu après 6 jours et seulement après ma relance 
.......
Gestion de mon dossier lamentable </t>
  </si>
  <si>
    <t>16/07/2020</t>
  </si>
  <si>
    <t>rios-m-130233</t>
  </si>
  <si>
    <t>Je suis satisfait du service commercial de L'Olivier Assurance, grâce a vous j'ai pu gagner au moins 50% d'économie par rapport a mon ancienne assurance auto.
Je recommande fortement.
Merci.</t>
  </si>
  <si>
    <t>vaness-98759</t>
  </si>
  <si>
    <t>Quand tu as ton permis depuis 26 ans, sans jamais aucun accident mais que tu as conduit une voiture de fonction pendant 14 ans.... et bien la MAAF ne t'assure pas du tour, même pas en.jeune chauffeur. Non, non il ne t'assure pas et te disent n'hésitez pas a nous contacter dans 2 ans.... non mais c'est une blague!!!</t>
  </si>
  <si>
    <t>rabia-l-121485</t>
  </si>
  <si>
    <t>Je ne suis pas content car les prix augmentent au lieux de récompenser la fidélité alors que mon bonus malus est vièrge!
je ne vois pas l'intérêt de rester avec cette assurance!</t>
  </si>
  <si>
    <t>myri-77476</t>
  </si>
  <si>
    <t xml:space="preserve">Cet assureur, qui ce veut fonctionner comme les "grands assureurs", fonctionne comme une mutuelle pas cher.. vous n'avez pas d'interlocuteur, vous ne savez jamais qui vous envoie les courriers ou vous répond au téléphone, aucun échange entre leurs agents qui ne lisent jamais vos documents.. Pas de possibIlité d'échanger par email avec une personne qui gérerait votre dossier compte tenu que tout le monde touche au dossier et que tout est sous traité... Rappelez vous que si votre assureur n'est pas en capacité d'intervenir rapidement pour traiter un problème celui-ci peut vite s'aggraver et pas certain que la société de sous traitance qui gère le remboursement des dégats acceptent les surplus de travaux suite à la négligence de Sogesur....  </t>
  </si>
  <si>
    <t>02/12/2020</t>
  </si>
  <si>
    <t>renaudflodrops-64347</t>
  </si>
  <si>
    <t xml:space="preserve">Je paye tous les mois mon assurance à la macif. 
La macif n'a jamais eu a déboursé un sous pour moi.
La seule fois où je leur ai demandé de l'aide, après m'être fait tabassé par un homme fou, ils m'ont répondu que ça n'était pas dans mon contrat .. 
Je leur demandait juste de me rembourser mes frais d'avocats. Avocat que j'ai pros moi même ne sachant pas que mon assureur en selectionnerait pour moi, et celui qu'ils auraient choisit  m'aurait été payé par la macif...
Forcément il était trop tard lorsqu'ils me l'ont dit et l'audience était déjà passé avec mon avocat que j'ai choisit .. 
Je trouve cela très hypocrite sachant que j'ai la protection juridique dans mon contrat d'assurance .. 
Je vais changer d'assureur sous peu ! </t>
  </si>
  <si>
    <t>31/05/2018</t>
  </si>
  <si>
    <t>myriam-64335</t>
  </si>
  <si>
    <t xml:space="preserve">aucun humanisme en cas de souci de santé pour l'assuré ! Ils ne gèrent pas de l'humain mais leur compte en banque. Aucune compassion, aucune comprehension et un accueil déplorable, voire écoeurant au regard de situation d'urgence liée a un problème médical à l'étranger </t>
  </si>
  <si>
    <t>lange-n-123490</t>
  </si>
  <si>
    <t xml:space="preserve">Je suis très satisfait d'avoir souscrit mon contrat chez vous équipe très professionnel et bien à l'écoute du client efficace et rapide réponse rapide </t>
  </si>
  <si>
    <t>iscia-75098</t>
  </si>
  <si>
    <t xml:space="preserve">Nullissme ! fuir ! </t>
  </si>
  <si>
    <t>11/02/2020</t>
  </si>
  <si>
    <t>rachid-b-125084</t>
  </si>
  <si>
    <t>Je suis très satisfait sur les garantit la rapidité et les prix un conseiller à l écoute j ai des amis qui m’on conseillé de souscrire je les ai ecouter</t>
  </si>
  <si>
    <t>milena214-32931</t>
  </si>
  <si>
    <t xml:space="preserve">depuis des mois j'essaye de régler un probléme mais il est impossible de les contacter il ne réponde jamais aux mail,et mon compte est bloqué depuis 15 jours
</t>
  </si>
  <si>
    <t>rachid-m-127466</t>
  </si>
  <si>
    <t>Je  suis satisfais du services et du prix, je conseillerai a mes amis de s asturias au pres de directe Assurances.cordialement monsieur MABROUK. Nb nn</t>
  </si>
  <si>
    <t>utah37-66298</t>
  </si>
  <si>
    <t xml:space="preserve">Après un accident de voiture le 22 Mai 2018 je ne suis toujours pas remboursé des frais engagés par moi même mon véhicule n est toujours pas réparé. Le montant des frais engagés est de 4 000 euros je ne suis pas la banque d Axa et mon courtier est incapable de résoudre mon problème </t>
  </si>
  <si>
    <t>21/08/2018</t>
  </si>
  <si>
    <t>kali-74973</t>
  </si>
  <si>
    <t>Surtout fuyez cette assurance!!!! Tout d'abord tout ce passe bien jusqu'au jour où vous avez envie de résilier votre contrat.. A partir de ce moment là ils vous font vivre un enfer: plusieurs refus de résiliation en sortant des prétextes bidons, un service client à la limite de vous insulter au téléphone!!
On rêve complètement!!</t>
  </si>
  <si>
    <t>11/04/2019</t>
  </si>
  <si>
    <t>abdel-samad-c-128820</t>
  </si>
  <si>
    <t>Je suis satisfait du service d'assurance...
Les prix me conviennent totalement...
Simple et pratique pour un jeune conducteur...
La plateforme est assez intuitive pour la réalisation du devis...</t>
  </si>
  <si>
    <t>sylvie-65030</t>
  </si>
  <si>
    <t>tres pratique tout est pris en charge ..................................................................................................................................................................................</t>
  </si>
  <si>
    <t>antoine-f-111168</t>
  </si>
  <si>
    <t xml:space="preserve">Bonjour je pense que je ne vais pas me réassurer cher vous,j'ai toujours été fidèle à votre assurance depuis nombre d'années .
Depuis 2 ans je paye de plein pot, la concurrence est rude c'est un fait ,mes j'ai trouvé largement moins cher sur le marché .
J'aimerais tant rester chez vous mais c'est à vous de voir avec le service client je paye tros cher de plus 2 ans et en plus je suis de plus de 2ans à 50% de bonus -malus veuillez me contacter au plus vite au: 0761531355 dans cette attente veuillez mes transmettre mon relevé d'information à ma boite mail qui est  saintjoseph@sfr.fr bonne réception dans l'attente de vous avoir en ligne ,veuillez je vous prie croire à mes salutations les plus respectueuse : Monsieur ANTOINE  FOURQUES </t>
  </si>
  <si>
    <t>ecortes-102508</t>
  </si>
  <si>
    <t xml:space="preserve">Lamentable.
Maison qui se fissure, un mur menace actuellement de s'effondrer commune classée catastrophe naturelle sécheresse, AUCUNE PRISE EN CHARGE. Lamentable.
Médiateur et associations de consommateurs vont être informés.
</t>
  </si>
  <si>
    <t>12/01/2021</t>
  </si>
  <si>
    <t>laforge-p-129460</t>
  </si>
  <si>
    <t>commercial très pro et très agréable
réponse claire et précise, à l'écoute et patient. 
J'espère ne pas regretter le choix de cette assurance mais pour l'instant tout est super!</t>
  </si>
  <si>
    <t>25/08/2021</t>
  </si>
  <si>
    <t>ghislaine-g-108131</t>
  </si>
  <si>
    <t xml:space="preserve">Très satisfaite de l'accueil téléphonique et de la disponibilité de la jeune femme que j'ai eu au tel.
Satisfaite également de la proposition et des tarifs qui m'ont été proposés </t>
  </si>
  <si>
    <t>alexis-m-110778</t>
  </si>
  <si>
    <t>Bon rapport qualité prix, impossible pour une agence de s'aligner avec eux. Le contrat nue et modulable est une bonne idée. J'espere être assez vite pris en charge au besoin.</t>
  </si>
  <si>
    <t>nico-55054</t>
  </si>
  <si>
    <t xml:space="preserve">2 ans que j'ai cette mutuelle de travail, mutuelle complètement inutile, jamais eu un remboursement, obliger de prendre un contrat dans une autre assurance </t>
  </si>
  <si>
    <t>catherine-58611</t>
  </si>
  <si>
    <t xml:space="preserve">Bonjour,
Je ne recommande pas cette Assurance Emprunteur !
Suite à une renégociation de crédit immobilier, j'attends 1 remboursement depuis le 17/08/17 !
Merci par avance de procéder au remboursement de ces 2 sommes, dans un délai de 10 jours ouvrables qui suivent la réception de la présente.
Cordialement
C. COSTA
</t>
  </si>
  <si>
    <t>Suravenir</t>
  </si>
  <si>
    <t>05/11/2017</t>
  </si>
  <si>
    <t>benjamin-o-109293</t>
  </si>
  <si>
    <t>nul . les personnes qui répondent au niveau des standards ne comprennent pas grand chose.
malus sur malus alors que je n'ai causé aucun accident.
très décu.</t>
  </si>
  <si>
    <t>kitty34-97771</t>
  </si>
  <si>
    <t xml:space="preserve"> l olivier assurance 
 première année  tarif ultra compétitif
 deuxième année explosion du tarif ! + 150 euros.
 prélèvement automatique impose dans le contrat attention si vous payez le première fois en entier, le montant sera débit même si résilier votre contrat, 
 ensuite impossible de vous faire entendre malgré XXXXXXXX mails et de régler ce que vous devez
 ensuite vous êtes remboursée sous 30 jours selon eux.
attention à résilier  plusieurs  contrats ils sont mélangés au risque de ne pas se retrouver avec une  reconduction annuelle de l’autre contrat si il est décalé.
 A FUIR 
TARIFS ULTRA COMPÉTITIFS POUR LA PREMIÈRE ANNE POUR MIEUX VOUS ASSOMMEZ LE DEUXIÈME
 EN PLUS LE COURRIER POSTE 20 JOURS AVANT LE RENOUVELLEMENT DE CONTRAT EST ARRIVE PLUS TARD FAUTE DES ACHEMINEMENT  ET COVID19
 C EST TANT PIS POUR VOUS....
 AUCUNE POSSIBILITÉ D ENTENTE RESTE SUR LE POSITION ET VOUS ETES LIBRE MAIS PRISONNIER DE LEURS CONDITIONS !
 </t>
  </si>
  <si>
    <t>orel-52371</t>
  </si>
  <si>
    <t>une assurance très cher qui augmente fortement chaque année pour au final pas grand-chose.
je voulais attendre l'échance pour partir mais en fait non
A éviter absolument</t>
  </si>
  <si>
    <t>13/02/2017</t>
  </si>
  <si>
    <t>david501404-75631</t>
  </si>
  <si>
    <t xml:space="preserve">Assurance a éviter, j'ai été en arrêt pendant 7 mois, après les 90 jours j'ai voulu mettre en place l'assurance ITT, quand j'ai envoyer les papiers qui me demandés, a chaque fois il me réclamer d'autre documents ils m'ont réclamer des documents jusqu'en 2013 compte-rendu prestation santé etc etc... il cherche toujours quelque chose pour que le dossier soit toujours incomplète pour qu'on abandonne par désespoir!! C'est honteux d'avoir des assurances comme sa!!! </t>
  </si>
  <si>
    <t>05/05/2019</t>
  </si>
  <si>
    <t>fromentin-v-126675</t>
  </si>
  <si>
    <t>Je suis satisfaite du service de L'olivier assurance cependant petite déception concernant les frais de dossier facturés alors que nous sommes déjà clients.</t>
  </si>
  <si>
    <t>agnes-l-106109</t>
  </si>
  <si>
    <t>rapide, clair, efficace ; en espérant malgré tout n'avoir jamais besoin de leurs services, l'idéal étant de ne jamais connaître de sinistres, quels qu'ils soient.</t>
  </si>
  <si>
    <t>jean-bernard-p-112953</t>
  </si>
  <si>
    <t>oui très satisfaisant je suis contant de tout le groupe   
 très satisfaite tout mon assurances  je les mises en métropole quand j'habitais à Palaiseau.</t>
  </si>
  <si>
    <t>yann75-108085</t>
  </si>
  <si>
    <t xml:space="preserve">UNE HONTE ! Service client a la limite de l'aimable, du disque a choix multiples a répétition,  de la rétention d'infirmation, site très mal fichu, A FUIR </t>
  </si>
  <si>
    <t>alain29-99593</t>
  </si>
  <si>
    <t xml:space="preserve">Je suis assuré depuis plus de 35 ans, par malchance nous avons eu trois sinistres reponsables en 2019, et un sinistre respnsable en 2020, entrainant des degats matériels de type aile froissée sur des parkings.  Dans ce cas on passe dans la catégorie des conducteurs à risques et la MATMUT résilie le contrat, la MATMUT me propose un contrat de remplacement dans sa filiale MATMUT &amp; CO (AUTO 3D initiale &amp; CO) , ce contrat est plus cher ce qui peut être accepté avec le malus, mais ce qui n'est pas normal, le contrat est moins avantageux, les franchises sont plus élévées dans tous les domaines, il ne propose pas d'assistance panne 0 km. La garantie conducteur est dégradée...
Je pense que je vais aller voir ailleur et peut etre retirer toutes mes assurances </t>
  </si>
  <si>
    <t>03/11/2020</t>
  </si>
  <si>
    <t>ena-h-132495</t>
  </si>
  <si>
    <t>Utilisation facile du site. Rapport qualité prix intéressant. Service rapide et efficace. Idéal jeune conducteur. Je recommande. Merci pour le parrainage</t>
  </si>
  <si>
    <t>ab-52369</t>
  </si>
  <si>
    <t>J ai eu un accident en Algérie le mercredi 28.12.2016 vers 14h et je devais reprendre le bateau d'Oran le jeudi 29.12 à 12h à 500 km de mon domicile en Algérie. Sitôt appelé la maif en France à peine 15 mn j'ai eu le représentant de la maif en Algérie qui a chargé sur le champ un transporteur d'emmener moi et ma voiture au port d'Oran. Non seulement j'ai pu prendre le bateau le lendemain mais la MAIF s'est charge de la réception de mon véhicule à Marseille et a mis à ma disposition une voiture pour rentrer sur Dijon. Je tiens à remercier la MAIF pour le sérieux et l'attention qu'elle a porté à ce sinistre. La rapidité dont a fait preuve la MAIF a étonné l'ensemble des personnes auxquelles j'ai raconté cette mésaventure. Je tiens à remercier l'ensemble des personnes qui ont contribuer au suivi de ce dossier jusqu'à ce soir ainsi qu'a l'ensemble du personnel du groupe MAIF.</t>
  </si>
  <si>
    <t>luc-88894</t>
  </si>
  <si>
    <t>Lamentable. Ayant souscrit une garantie "hospitalisation" depuis 10 ans, j'ai été hospitalisé à 2 reprises fin 2019 et début 2020 pour quelques jous. J'ai demandé à bénéficier de l'indemnisation journalière. En un premier temps, il m'a été répondu que je n'étais pas assuré pour le dépassement d'honoraires alors qu'il n'en était pas question puisque je demandais simplement de bénéficier de l'indemnité journalière coresspondant à mon hospitalisation. Ensuite, il m'a été invoqué un problème d'ordinateur. Trois mois après je n'ai toujours rien reçu !</t>
  </si>
  <si>
    <t>15/04/2020</t>
  </si>
  <si>
    <t>schena-j-138617</t>
  </si>
  <si>
    <t xml:space="preserve">Je suis satisfaite conseillers à l’écoute et aide beaucoup , étant une première assurance il a su m’aiguiller afin que je comprenne tout , je recommande </t>
  </si>
  <si>
    <t>damien-m-127713</t>
  </si>
  <si>
    <t xml:space="preserve">J'ai effectué plusieurs devis et vous êtes sortie du lots et chez vous je suis satisfait je n'est pas trouvé mieux ailleurs, niveau tarif, vous êtes beaucoup moins chère </t>
  </si>
  <si>
    <t>paul-b-117654</t>
  </si>
  <si>
    <t xml:space="preserve">assurance avec service minimum...voir pas de tout ..a éviter....!!!!comme toutes assurance , c bien c pour payer ...mais quand vous avez un sinistre , tout change ... </t>
  </si>
  <si>
    <t>benjamin-o-121879</t>
  </si>
  <si>
    <t>Je ne suis pas du tout satisfait du prix exorbitant que je payes pour mon assurance 2 roues... Je viens de m'apercevoir que je payes 3x plus cher que pour les autres assurances 2 roues a conditions identiques...</t>
  </si>
  <si>
    <t>danielle-s-108152</t>
  </si>
  <si>
    <t>ayant été victime d'un vol, j'ai été surprise de savoir qu'il n'y avait pas de remboursement pour les effets personnels clé valise papier d'identité etc je suis déçue</t>
  </si>
  <si>
    <t>pat78-105405</t>
  </si>
  <si>
    <t>Cette entreprise est une honte absolue, je n'ai jamais vu un tel manque de réactivité et de professionnalisme ! et je confirme les réactions de tous ceux qui ont écrit précédemment .Voilà plus de 6 mois que j'attends un simple transfert d'un PERP sur un PER ! application de frais totalement anormaux  modifiés de manière unilatérale sans mon accord  ! aucune réponse à mes demandes/relances  et lettre AR!</t>
  </si>
  <si>
    <t>04/03/2021</t>
  </si>
  <si>
    <t>akouche-a-115253</t>
  </si>
  <si>
    <t>Les conseillé son sympathique et honnête il conseil de façon à ce que le client soit satisfait et c’est ce que j’ai apprécié. Les réglementations de mon contrat on bien été appliqué et correspondent à ce que je souhaitais</t>
  </si>
  <si>
    <t>tom31-74972</t>
  </si>
  <si>
    <t xml:space="preserve">Cela fait au moins trois semaine que je tente d'entrer en contact avec le juriste de l'assistance juridique qui ne me rappel jamais (au moins trois semaine). Pour faire le point sur mon véhicule immobilisé depuis plus de trois mois et où le juriste ne recontacte jamais. Des questions importantes qui restent sans réponses. </t>
  </si>
  <si>
    <t>sudiste-79212</t>
  </si>
  <si>
    <t>Fuyez cette assurance après avoir fait un accident où je n'étais pas fautive, j'ai attendu très longtemps pour être remboursé et surtout j'ai appris récemment que je n'étais plus assurer, il ont résilier mon contrat sans prévenir.</t>
  </si>
  <si>
    <t>15/09/2019</t>
  </si>
  <si>
    <t>m-a-rs-66839</t>
  </si>
  <si>
    <t>service client horrible. lorsqu'il s'agit de souscrire tout est aux petits soins, mais lorsqu'il faut faire son vrai travaille d'assureur et eventuellement indemiser, tout deviens la compliquer. 1er remboursement, pare brise scooter, plus d'un an, j'ai donc du le faire changer a mes frais dans un 1er temps et courir apres AMV pendant plus d'un an pour enfin avoir mon du. et la j'attends depuis 4 mois que les choses avances pour mon scooter volé</t>
  </si>
  <si>
    <t>13/09/2018</t>
  </si>
  <si>
    <t>jej37-132196</t>
  </si>
  <si>
    <t>Très bien niveau prix cependant niveau service très insuffisant, que ce soit dans la communication où ils annoncent des choses qu'ils ne font pas ensuite ou dans les services proposés. Je ne conseil pas cette assurance si vous avez besoin d'eux, le prix est faible mais la qualité de service l'est tout autant.</t>
  </si>
  <si>
    <t>fred2stsa-66733</t>
  </si>
  <si>
    <t>deux sinistres habitations déclarés
environs 20000 euros de devis pour les repartions pour chacun
expertise longue et douteuse ou les experts cherchent la faille pour ne rien prendre en garantie
 c est une honte !</t>
  </si>
  <si>
    <t>10/09/2018</t>
  </si>
  <si>
    <t>boristheblade-66738</t>
  </si>
  <si>
    <t>Mon véhicule a été percuté à l'arrière par une camionnette lorsque je m'arrêtais pour laisser passer un piéton sur un passage piéton. Ma caméra embarquée a filmé le moment de l'accident. J'ai également filmé avec mon téléphone une petite partie de notre discussion avec le conducteur de la camionnette lorsque j'avais compris qu'il n'y aurait pas de constat à l'amiable. Les voici: https://youtu.be/aU8zkJDxocI
Direct Assurance refuse d'utiliser ces vidéos comme éléments de preuves pour faire recours auprès de l'assurance adverse (je ne sais pas pour quelle raison). D'après Direct Assurance la responsabilité du tiers ne pourra être engagée que dans le cas où ce dernier l'accepte. L'absurdité totale! 
Ils me proposent également d'aller porter plainte pour un délit de fuite alors que le refus de faire un constat amiable et de donner son identité ne peuvent pas être qualifiés ainsi. L'article 434-10 du code pénal n'a aucune ambiguïté là-dessus. Il est inadmissible que le gestionnaire de sinistre ne le sache pas!
Je publie tous les éléments de ce litige sur le forum d'UFC Que Choisir: https://forum.quechoisir.org/le-mythe-du-delit-de-fuite-t176245.html</t>
  </si>
  <si>
    <t>lucie-v-113922</t>
  </si>
  <si>
    <t>tarif le moins cher que j'ai trouvé avec plusieurs formules
hyper pratique pour faire le devis,
rapide
on peut tout faire par internet
on voudrait toujours trouver moins cher mai c'est déjà bien</t>
  </si>
  <si>
    <t>mary-94309</t>
  </si>
  <si>
    <t xml:space="preserve">Je déconseille fortement cette assurance souscrite auprès de notre banque. La lenteur du traitement des dossiers, les pièces déjà envoyées et redemandées. Et puis au bout de quelques mois on réalise que tout est fait pour ne pas indemniser. Car tout est bon pour ne pas l'être !! Ne lâchez pas, faites vous aider par votre assurance juridique et puis il existe également un médiateur de l'assurance </t>
  </si>
  <si>
    <t>fanny-a-127793</t>
  </si>
  <si>
    <t>Il faudrait pouvoir mettre en lien avec notre contrat actuel que les données soit récupérées automatiquement, sinon rien à signaler
Cordialement 
Fanny ansel</t>
  </si>
  <si>
    <t>herveter-98941</t>
  </si>
  <si>
    <t>Temps que vous n'avez pas de gros problème, tout va bien... Ensuite on va tout faire pour ne pas ne pas reconnaître le sinistre... Le personnel vous demande de vous assurer pour ceci et pour cela alors que dans leur propre Book il est marqué sauf pour ce sinistre !!!!
Assurance à éviter et a fuir et j'ai d'autres exemples !!!!</t>
  </si>
  <si>
    <t>20/10/2020</t>
  </si>
  <si>
    <t>kakou-58500</t>
  </si>
  <si>
    <t xml:space="preserve"> Suite à un incendie de mon véhicule début mai alors que je roulais tranquillement, je me retrouve aujourd'hui 6 mois après seul et abandonné par mon assureur. J'ai difficilement réussii a joindre mon gestionnaire en juin par téléphone qui m'a dit qu'il attendait un papier de la gendarmerie, jusque-là tout va bien. Il m'envoie un mail pour me dire qu'il s'occupe personnellement de mon sinistre, jusque-là tout va bien. 
 Et c'est là que tout commence à se gatter. Un mois plus tard j'ose envoyer un mail à mon gestionnaire pour demander des nouvelles du dossier, pas de réponse. Puis quelques jours plus tard j'envoie donc un autre mail, pas de réponse, et ainsi de suite pendant une semaine.
 Ok je laisse tomber je me dis c'est les vacances d'été, ils sont à la rue chez direct assurance. Soit on verra ultérieurement, mais ça me fatigué déjà.
 Depuis j'ai essayé par téléphone. Mais comme vous ne pouvez pas avoir directement votre gestionnaire sur leur plateforme au bout du monde, vous devez convenir d'un rdv téléphonique avec votre gestionnaire. Le gros souci c'est que j'ai convenu de plusieurs rdv sur des créneaux horaires bien précis et que jamais personne ne m'a rappelé...
 Je me retrouve donc 6 mois après le sinistre sans aucunes informations concernant mon dossier, mon gestionnaire ne me rappelle jamais lors des rdv convenus. C'est une impasse et je perds temps et énergie pour rien. Je suis écœuré par leurs manières.
</t>
  </si>
  <si>
    <t>31/10/2017</t>
  </si>
  <si>
    <t>nato-61751</t>
  </si>
  <si>
    <t>Inscription sur internet en décembre 2017... toujours pas reçu de carte d'adhérent. Ils ont perdu mon dossier... ça promet !</t>
  </si>
  <si>
    <t>26/02/2018</t>
  </si>
  <si>
    <t>quentin-d-128602</t>
  </si>
  <si>
    <t>Après comparaison avec d’autres assureurs, direct assurance est clairement le meilleur choix pour moi. Sachant que les comparateurs d’assurance ne me l’on pas conseillé, mais l’ont fait pour des assureurs qui me proposaient des tarifs 50% supérieurs.
Bref, comparez vous même!</t>
  </si>
  <si>
    <t>phil-74896</t>
  </si>
  <si>
    <t>Attention!!! N'oubliez pas de prévenir la mgen lors de votre départ en retraite. Même si ils sont au courant, ils vont attendre 5 mois et vous facturer des prestations d'actif dont certaines sont caduques et cela après 40 ans de cotisation pour mon épouse et 22 pour moi. Aucune médiation possible de la part du directeur de besançon monsieur Bouaouli. Aucun égard. C'est lamentable. Donc soyez vigilent. Un adhérent très déçu de la MGEN qui pense à ses collégues. Pour plus de détails vous pouvez m'écrire  philippe.hoffer@gmail.com. Je vais contacter un médiateur, mais je n'ai pas beaucoup d'espoir. Avec de tels procédés, la MGEN risque de rendre malade ses adhérents. C'est un comble. Plein d'amour à monsieur Bouaouli.</t>
  </si>
  <si>
    <t>alain-l-107852</t>
  </si>
  <si>
    <t>Un tarif compétitif, en espérant que ce ne soit pas seulement une offre d'appel.
Mauvaise expérience avec assureur précèdent, Dir.Ass. +43% en trois ans.</t>
  </si>
  <si>
    <t>sacha-51406</t>
  </si>
  <si>
    <t>Depuis 23 ans chez courtier JLM (AXA) à Cannes et toujours que des bonnes expériences.
Une équipe dynamique, sympathique et compétente!</t>
  </si>
  <si>
    <t>17/01/2017</t>
  </si>
  <si>
    <t>laurent-m-112342</t>
  </si>
  <si>
    <t>Une souscription grandement facilité.
Site internet plaisant à utiliser.
Franchise tout de même très élevé dans le cadre d'un véhicule de plus de 10 ans.</t>
  </si>
  <si>
    <t>michel-92020</t>
  </si>
  <si>
    <t>Voila un assureur qui n'est pas capable d'assurer un véhicule en tout risques tant que celui-ci est en WW ????
A mon avis l'actuaire (espèce de gestionnaire chef de la compagnie) est à coté de la plaque.
Du jamais vu dans le monde de l'assurance auto, une exclusivité " L' OLIVIER Assurances ", mais bon, maintenant c'est des Anglais.......
Assureur à la Retraite
Michel HOSTER
EX client de cette compagnie !!!!</t>
  </si>
  <si>
    <t>lechat123-55749</t>
  </si>
  <si>
    <t>Très bonne compagnie, mon sinistre a été traité très rapidement et ils sont très faciles à joindre. Les tarifs sont vraiment intéressants. Je suis réellement très satisfait.</t>
  </si>
  <si>
    <t>zalain13005-70466</t>
  </si>
  <si>
    <t>Bonjour Je voudrai prévenir ceux qui sont démarchés par téléphone par cette assurance Neoliane qui se fait passée pour une filiale de votre banque est un argument de vente qui est faux ou qui vous dit que grâce à vos points de fidélités vous pouvez souscrire à prix avantageux à leur protection civile  Tout ça est faux et seulement  pour vous mettre en confiance ils vous envoient un code par SMS en vous faisant croire que c est pour être sur que vous êtes la bonne personne en vous demandant de lire ce code qui n'est simplement qu'une signature numérique pour souscrire à l un de leur contrat sans vous le dire c est ensuite en lisant ce SMS que vous vous apercevez que c est une signature numérique Ensuite vous recevez le contrat à la limite de la date de rétractation pour que vous n’ayez pas le temps de vous rétracter ayant besoin de votre numéro adhérent  pour vous rétracter Le mieux est d appeler leur service clientèle pour avoir votre numéro d adhèrent pour ouvrir votre compte en ligne pour ensuite faire votre lettre de rétractation plutôt que d'attendre leur contrat J ai appelé ma banque qui m a certifier que cette assurance n est en aucun cas affiliée a cette assurance</t>
  </si>
  <si>
    <t>22/01/2019</t>
  </si>
  <si>
    <t>christophe-p-110327</t>
  </si>
  <si>
    <t>horrible je ne peu plus les voir, c'est un calvaire pour les quitté cela fait trois mois que je me débat avec eu.
cette assureur a pris la grosse tète et n'a plus aucun respect pour ses assuré</t>
  </si>
  <si>
    <t>fredo1979-58831</t>
  </si>
  <si>
    <t xml:space="preserve">sinistres suite Ouragan IRMA 
J'ai un appartement à Saint Martin qui à subit des dégâts suite au passage de l'ouragan IRMA. Mon crédit logement étant au CM je me suis dis pourquoi pas ne pas mettre mon assurance Logement dans le même établissement, j'aurais mieux fais de me casser la jambe ce jour là !!! 
Devant rentrer en France pour des obligations professionnel l'expertise ce fait avec un de mes collègues et un expert du cabinet envoyé par l'assureur, jusque là rien d'anormal. Les problèmes commences dés lors que je relance pour connaître l'état d'avancement de mon dossier et si le rapport d'expertise à bien été remis à la cie pour pouvoir procéder à mon indemnisation....depuis ce jour je ne reçois comme réponse : 
- nous avons bcp de travail 
- il y a bcp de dossier 
Comme si je ne le savais et comme si je ne savais pas que la situation est particulière 
néanmoins il faudrait tout de même que l'assurance et son service dédié à la gestion des sinistres CONSTATEL comprenne que tout le monde n'a pas 40 000 euros devant lui pour entreprendre les travaux et que tout retard dans les indemnisation prive à al fois le propriétaire de la possibilité de louer son appartement et les éventuels locataire de trouver un logement sur une ile ou 75% des logements sont détruits 
je vous passe le courrier et les échanges téléphonique me disant que dans sa grande bonté l'expert va travailler le 11 Novembre pour rendre son rapport et ou rien n'a été fais 
Dans une tel situation et si CONSTATEL n'a pas la capacité humaine pour absorber la charge de travail je pense qu'il y a assez de personne cherchant du travail en France pour les embaucher sous formes de CDD etc et ainsi répondre de façon normal à la demande de leur client 
car sauf erreur de ma part j'ai toujours payé mes cotisations et de ce fait je me réserves le droit d'avoir un service à la hauteur de ce que nous avons vécu 
En résumé j'envisage d'une part de quitter le crédit mutuel et de surtout de ne plus avoir de bien couvert par leur assurance </t>
  </si>
  <si>
    <t>15/11/2017</t>
  </si>
  <si>
    <t>jeff75-100845</t>
  </si>
  <si>
    <t>l'AFER ne répond pas aux emails, ne répond pas aux notifications de déménagement, leur courtier EPARGNE ACTUELLE pareil (se contente de toucher ses commissions recurrentes).
Et que dire des performances pitoyables des fonds AFER.
- Lorsque les marchés montent, les fonds AFER atteignent péniblement la moitié de la performance indicielle.
- Lorsque les marchés dégringolent, les fonds AFER font encore mieux côté descente.
Ouvrez un compte titre, prenez un tracker, même imposé à 30% c'est mieux payé qu'une assurance vie AFER!</t>
  </si>
  <si>
    <t>eltharrion-72178</t>
  </si>
  <si>
    <t>J'ai pris un contrat auprès de leur service concernant une prise en compte du salaire en cas de congé longue maladie.... ca faisait des années que je souhaitais ce contrat mais je ne l'ai rempli qu'après avoir rencontré leur personnel à mon travail. J'ai signé le 1 ier mai le contrat, le temps qu'il me soit établi durée 1 mois. Malheureusement je suis tombé malade le 16 avril et je n'aurai jamais cru que je tomberai en clm.... Après avoir effectué une demande auprès de leur service, 15 jours d'attente et je reçois un courrier ou ils m'indiquent qu'ils refusent  la prise en compte de mes droits en déclarant que j'étais malade avant la signature du contrat.... Pourtant la personne qui m'a établi le contrat me confirmait que je devais attendre juste trois mois après la signature du contrat pour etre indemnisé... En terme je vais avoir une perte de paye et heureusement que celà ne devrait pas durer des années concernant ma maladie. J'aimerai reprendre le boulot mais malheureusement non je ne peux pas.... Merci la MGP. Je me sens juste trahi et peiné de ce genre de réponse, même pas de contact pour comprendre notre situation.</t>
  </si>
  <si>
    <t>14/03/2019</t>
  </si>
  <si>
    <t>vidal-j-128837</t>
  </si>
  <si>
    <t>le monsieur au téléphone étais sympathique et très serviable. par contre c'est pas cool de nous faire écrire un minima de cent cinquante caractères !!</t>
  </si>
  <si>
    <t>dominique-g-105454</t>
  </si>
  <si>
    <t>j'ai constaté une hausse de 7% sur ma prime.  j'ai eu votre service client pour avoir des informations. Etant à la retraite depuis novembre 2020, j'utilise encore moins mon véhicule. un responsable devait me recontacter. aucune nouvelle à ce jour.</t>
  </si>
  <si>
    <t>jose-roberto-x-129704</t>
  </si>
  <si>
    <t>Le paiement avec la conseillère n'a pu aboutir. J'ai dû effectuer la souscription seule depuis mon ordinateur. Aucune solution n'a été proposée par la conseillère qui m'a dit que le responsable n'avait lui non plus aucune solution à le proposer. 
Zéro ! Pour la suite, une fois la souscription faite par ordinateur, tout est ok.
La voiture assurée va effectuer peu de kilomètres, a un stationnement sécurisé et est ancienne. Je reste étonnée, étant déjà assurée chez vous, du montant de la cotisation annuelle. J'aurais pensé 50€ de moins.
Merci pour la prise en considération de ces désagréments.
José Roberto Xavier Affonso</t>
  </si>
  <si>
    <t>almeti-65901</t>
  </si>
  <si>
    <t>Dans l'ensemble, nous sommes satisfaits des garanties habitation de la GMF. En effet, nous avons une agence accessible à proximité et la possibilité de se faire rappeler est pratique. (A noter, on est vraiment rappelé dans les délais annoncés.)
Les conseillers répondent présents et les garanties sont bonnes. (Notre serrure a été parfaitement prise en charge après une tentative d'effraction... rapidement.)
J'apprécie aussi le soucis de satisfaction client (chaque échange donne lieu à une évaluation de leur prestation).
L'ensemble de ces points positifs aide à faire passer un tarif élevé à première vue.</t>
  </si>
  <si>
    <t>11/09/2018</t>
  </si>
  <si>
    <t>jeremie-vanille-74868</t>
  </si>
  <si>
    <t>Ne respecte pas la loi Hamon :
Après avoir signé chez un autre assurreur depuis 2 mois, j'ai maintenant 2 contrats d'assurance car le nouvel assurreur n'a pas pu résilier mon contrat auto à la GMF.
La GMF étant de mauvaise foi, elle ne communique pas avec mon nouvel assureur.</t>
  </si>
  <si>
    <t>vdv-98187</t>
  </si>
  <si>
    <t xml:space="preserve">J’ai eu une sinistre (vol moto) et donnant tous les éléments nécessaires pour le remboursement, cela était réglé en 15jours. Mis à part le fait d’être dégoûtée d’avoir perdu ma moto que j’aimais tant, je n’ai rien à dire de négatif sur cet assureur. Ils sont à l’écoute et réactif. Je recommande vraiment parce que c’est bien de critiquer mais c’est aussi bien parfois de savoir dire quand les choses se déroulent bien! </t>
  </si>
  <si>
    <t>entzmann-y-119096</t>
  </si>
  <si>
    <t>Super service et communication par téléphone avec les interlocuteurs le prix est très satisfaisant par rapport à la concurrence je recommande vivement</t>
  </si>
  <si>
    <t>jmbuy-93134</t>
  </si>
  <si>
    <t>adhérent macif depuis 1990, j'ai eu le 21/5/2020 mon premier sinistre, le vol de mon véhicule retrouvé calciné.
aujourd'hui le 3/7/2020, soit 7 semaines après , je ne suis toujours pas remboursé, je suis obligé d'appeler 2 fois par semaine pour connaitre l'avancement de mon dossier, sinon aucune info.
la semaine dernière, la gestionnaire du dossier m'a dit que c'était un délai tout à fait normal.
quand il s'agit de prélever les cotisations , ils n'attendent pas 7 semaines.
de plus, je suis également assuré pour mon habitation et un autre véhicule, et j'ai mon compte en banque à la SOCRAM.
vous l'aurez compris, je vais donc quitter la MACIF, et je ne recommande à personne d'y adhérer</t>
  </si>
  <si>
    <t>gino-104878</t>
  </si>
  <si>
    <t>Bonjour à tous, bien lire mon insatisfaction de cette mutuelle qui a grandement changé en
l'espace de 10 ans,en s'alliant avec des santéclair,almérys,amélie,puis tartenpion!!!
Je suis à cette mutuelle depuis plus de 40 ans,à l'époque il y avait un contact,humain comme téléphonique qui nous tenait informé ou le suivi était sérieux,clair et précis. De nos jours:il y a espace client ( débrouille toi) moi je ne peux meme pas y rentrer car il faut rentrer les numéros,et le contact est anonyme. Quand aux cotisations à 63 ans 1/2 je paie 136 euros mensuellement pour m'entendre dire,une paire de lunettes tous les 2 ans,ou bien payer des soins dentaires afin de se faire rembourser par la suite.Tout ceci n'est pas normal.Si besoin de lunettes ou se faire soigner les dents ce n'est pas un luxe!!!!
Ce qui m'a le plus déçu dans cette mutuelle,il y a 6 ans environ,ils m'ont supprimé le capital décès, comme quoi il fallait payer une cotisation mensuelle de 6 euros environ à une autre boite pour le conserver.C'est absurde!!!!En parlant avec des personnes ,beaucoup paient moins cher et ont les memes couvertures(Radiance etc;;;la mieux la CMU)De nos jours ,toutes les mutuelles devraient faire leur passage dans les écoles!!!
Fils et petit fils de policier,moi meme policier,ça s'est dégradé vitesse grand V,comme l'orphelinat de la police.Pourtant c'est une époque à se tenir les coudes.Bref tout fout le camp</t>
  </si>
  <si>
    <t>27/02/2021</t>
  </si>
  <si>
    <t>stephanie-l-109756</t>
  </si>
  <si>
    <t>Suite à un sinistre voiture volée, directe assurance m'a dédié un conseiller pour suivre mon affaire. Je suis très contente de l'accompagnement et du suivi. Je recommande cette assurance.</t>
  </si>
  <si>
    <t>amine-50283</t>
  </si>
  <si>
    <t>Très mauvaise relation clientèle et Service client incompétent qui ne fais pas son travaille correctement ainsi la responsable!!!il faut attendre au mois 15 mn pour les avoir,erreur dans le contrat de leurs part ils rajoutent 15 euro supplémentaire n'importe quoi  je n'ai jamais vu ça ...a fuir.....</t>
  </si>
  <si>
    <t>14/12/2016</t>
  </si>
  <si>
    <t>apostu-l-109421</t>
  </si>
  <si>
    <t xml:space="preserve">Je viens de souscrire à la nouvelle assurance car j'avais vendu mon véhicule l'été dernier et je viens de racheter un autre. La procédure de souscription est simple. Merci. </t>
  </si>
  <si>
    <t>petit-e-111195</t>
  </si>
  <si>
    <t>JE SUIS SATISFAIT MAIS CELA A ETE TRES DIFFICILE A ENREGISTRER EN LIGNE LE DEVIS.
J'AI FAILLI RENONCE A SOUSCRIRE ET J'AI DU M'Y REPRENDRE UNE DIZAINE DE FOIS AU MOINS</t>
  </si>
  <si>
    <t>soyons-serieux--79022</t>
  </si>
  <si>
    <t xml:space="preserve">J'ai été accrochée il y a 3 ans par une bonne femme qui voulait dépasser 2 bagnoles en même temps, dont la mienne, et qui a pris la fuite. Et ça fait 3 ans maintenant que les "experts" de la Macif n'ont pas lu mon constat, me déclarant 100% responsable par défaut, ou incompétence. Et quand j'appelle, on me demande d'attendre ou on me dit carrément d'aller voir ailleurs. Cette assurance est réellement déplorable. </t>
  </si>
  <si>
    <t>06/09/2019</t>
  </si>
  <si>
    <t>lea-s-121924</t>
  </si>
  <si>
    <t>Je suis satisfaite du service. 
Facilité d'utilisation du site d'April moto.
Rapidité de prise en charge de mon dossier de souscription. 
Très bien pour les paiements mensuels.</t>
  </si>
  <si>
    <t>ronald-50750</t>
  </si>
  <si>
    <t xml:space="preserve">Suite dégât des eaux S.de B. rapport expert non communiqué à l'assurance (délai 15 jours ouvrables). Promesse de l'expert le 14 décembre d'un règlement avant ou juste après Noël. A ce jour AXA n'a pas connaissance du rapport de l'expert. Malgré plusieurs relances de ma part ... aucun résultat. Décevant. </t>
  </si>
  <si>
    <t>29/12/2016</t>
  </si>
  <si>
    <t>jacky-s-122238</t>
  </si>
  <si>
    <t>Très rapide est simple
Sécurité du site je pense assurer correctement pour mon scooter a un prix avantageux j espère recevoir ma carte verte rapidement</t>
  </si>
  <si>
    <t>juan-a-116128</t>
  </si>
  <si>
    <t>Le prix me convient. Le système est simple et pratique. Plusieurs personnes me l'ont conséillé. Bon avis du départ. On espère que cela restera comme ca en cas d'un problème!</t>
  </si>
  <si>
    <t>ocey1-60189</t>
  </si>
  <si>
    <t xml:space="preserve">Très satisfaite de la MAIF, aussi bien pour l'assurance auto qu'habitation et autres. </t>
  </si>
  <si>
    <t>05/01/2018</t>
  </si>
  <si>
    <t>audreylb-75132</t>
  </si>
  <si>
    <t>A fuire !</t>
  </si>
  <si>
    <t>16/04/2019</t>
  </si>
  <si>
    <t>rodriguez-i-118026</t>
  </si>
  <si>
    <t xml:space="preserve"> Personnel Très efficace, rapide,compétitif au niveau des tarifs, personnel très agréable. Transaction rapide et simple.
Je recommande cette assurance.</t>
  </si>
  <si>
    <t>renault-j-139027</t>
  </si>
  <si>
    <t>SATISFAISANT TRES BONNE ECOUTE DU CLIENT BONNE ASSURANCE CONSEILLER VIRTUEL TRES COMPETANT RECEPTION RAPIDE PRIX CONVENABLE ASSURANCE A RECOMMANDER MERCI</t>
  </si>
  <si>
    <t>philippe-o-110569</t>
  </si>
  <si>
    <t xml:space="preserve">RAS / 
Simplement , il fallait savoir Qu'un conducteur secondaire malgré ses 50% , paierai plus cher , que le conducteur principal à equivalence d'UTILISATION .
salutations </t>
  </si>
  <si>
    <t>charlie-66306</t>
  </si>
  <si>
    <t>rachat total assurance vie receptionné le 15 juin a mon agence dossier complet a ce jour 21 aout 2018 AUCUNE NOUVELLE. J 'ai envoyé une réclamation ou l on m'a dit que le dossier avait été traite le 17 juillet plus d'un mois après la réception et que c'était normal pas de réponse à mon dernier mail, ma conseillère m'avait qu'il fallait attendre. Le délai legal étant de deux mois j'en demande une indemnité de retard et le paiement au plus vite a defaut une avance car j'ai des problemes financiers actuellement a cause de cette situation</t>
  </si>
  <si>
    <t>albert-d-122634</t>
  </si>
  <si>
    <t>cession de véhicule et manque de contact manque d'amabilité et manque de d'explication  manque de gentillesse et manque de confiance alors aurevoir
je résilie mon contrat par cession de véhicule car vous m'auriez eu pour des années comme assuré adieu</t>
  </si>
  <si>
    <t>nanard-63307</t>
  </si>
  <si>
    <t>Pas très rapide, Mais efficace...peut-être un peu cher et encore. comme toutes les assurances, elles ont un porte-monnaie en peau d'hérisson....facile à ranger  mais l'argent très dur à sortir.</t>
  </si>
  <si>
    <t>LCL</t>
  </si>
  <si>
    <t>16/04/2018</t>
  </si>
  <si>
    <t>imen-63793</t>
  </si>
  <si>
    <t xml:space="preserve">Client 259070
Tres dessus on m'écoute pas rt ils ne répond a m'a quistion je suis assurer depuis un an je demande le changement de formule il me confirme sue c'est bon apres il me prélève plus que avant  et bien sur avec la meme formule je vais résilier  bientôt </t>
  </si>
  <si>
    <t>04/05/2018</t>
  </si>
  <si>
    <t>anonymous-90384</t>
  </si>
  <si>
    <t>Suite à un sinistre non responsable, ma voiture a été déclarée Non Réparable, et j'ai été indemnisé à 600 euros alors que des voitures équivalentes étaient vendues 1500 euros en occasion. J'ai réussi à récupérer 200 euros de Malus Doloris grâce à l'intervention d'une association de consommateurs (LDDA)</t>
  </si>
  <si>
    <t>rafa-55119</t>
  </si>
  <si>
    <t>Nul je viens d'avoir un sinistre depuis trois jours j'attends un véhicule de remplacement j'ai contacté cinq fois l'assistance, le véhicule devait m'être livré aujourd'hui j'ai bloqué toute mon après midi sans aucun retour au téléphone on me demande de contacter diretement le loueur ...A la MMAF c'est le client qui bosse !</t>
  </si>
  <si>
    <t>03/06/2017</t>
  </si>
  <si>
    <t>adeline-131649</t>
  </si>
  <si>
    <t xml:space="preserve">attention si vous été remboursé de temps à l’année  de 1000€ pour votre chien par exemple et que vous donner 30€ Par mois soit 360€ à l’année 
Surprise l’année d’après vous redonner par mensualités la différence des 1000€ remboursé !!!!!
Mais bien sûr ça il vous le dise pas quand vous vous inscrivez
Mais il ont le culot de le dire quand vous voulez vous désabonner </t>
  </si>
  <si>
    <t>07/09/2021</t>
  </si>
  <si>
    <t>pascontente-139576</t>
  </si>
  <si>
    <t>Je ne recommande pas du tout.
J'ai payer la première année j'ai du demander ou attendre pour avoir ma carte grise et c'était à moi de l'imprimer la blague. 
La deuxième année ils m'ont prélevé et je n'ai jamais rien reçu malgré mes demandes. Ils sont capable de vous envoyez une lettre pour vous prévenir que vous allez être prélever pour l'année entière; mais même pas capable de nous envoyer ce qui nous est dû, cet à dire la vignette verte ! Je ne recommande pas du tout, aller voir les assurances connu quitte à payer plus cher et de ne payer pour rien !!!!
Bonne journée</t>
  </si>
  <si>
    <t>ti-paule-58219</t>
  </si>
  <si>
    <t xml:space="preserve">Pour souscrire pas de soucis le conseiller Mr LAMY  vous appelle   j usqua 5 fois par jour avant la signature .Puis quand on a besoin d un renseignement impossible de l avoir  et au tel personne ne sait vous répondre  (des potiches)On a l impression d une mutuelle Fantôme 
Conseil À FUIR   </t>
  </si>
  <si>
    <t>19/10/2017</t>
  </si>
  <si>
    <t>sisi-60136</t>
  </si>
  <si>
    <t>g-c-25-117488</t>
  </si>
  <si>
    <t xml:space="preserve">Assure pendant une quinzaine d’année sans sinistre à la macif , je change de voiture et on m’augmente ma prime de 100  % en me disant que c’est une voiture de luxe «  c’est une Porsche » donc j’ai résilié mon contrat , pas correct de ce coup là . </t>
  </si>
  <si>
    <t>yaston-86094</t>
  </si>
  <si>
    <t>Je regrettes de m'etre inscrit dans cette assurance, le mot imcapable à ete creer pour eux, pour un brise glace on me demande de faire des photos, je l'ai fais, et on me demande d'en refaire encore et encore, 9 jours que je suis sans véhicule car ils refusent de me rembourser si je n'ai pas leur validation</t>
  </si>
  <si>
    <t>moi-69685</t>
  </si>
  <si>
    <t xml:space="preserve">A éviter de s'assurer chercher cette compagnie assurance des qu'il deux problème  non responsable résilier  non rembourser en plus  avec un bonus50% plus  assure de plus 25 Anne chercher eu  ? Je ne conseil pas de vous assurer cher eu </t>
  </si>
  <si>
    <t>30/12/2018</t>
  </si>
  <si>
    <t>josie-96308</t>
  </si>
  <si>
    <t xml:space="preserve">   J'avait un  rachat de crédit   avec une assurance décès  sur mon époux  et moi même. Assurés tous les deux à 100%. Mon époux est décédé A mois de mai.  J'ai ouvert un dossier de prise en charge de mon assurance.   mon rachat de crédit  a été pris en charge à 100%.  Assurance compétente . mon dossier à été  traité rapidement malgré le confinement.  Je recommande cette assurance.  J'ai été bien accompagné  pour le bon suivi de mon assurance. Merci. </t>
  </si>
  <si>
    <t>14/08/2020</t>
  </si>
  <si>
    <t>fanny-d-116344</t>
  </si>
  <si>
    <t>Conseilllère très compétence je suis nouvelle utilisatrice donc pas trop d'opinion sur la qualité du service en cas d'incident mais je trouve déjà que l'option connectée est intéressante, j'espère que je vais m'y retrouver financièrement.</t>
  </si>
  <si>
    <t>08/06/2021</t>
  </si>
  <si>
    <t>igins-99719</t>
  </si>
  <si>
    <t>Après plus de quarante années d’assurance (1979) auto et autres auprès de la MAIF,  je viens de recevoir un avis de radiation sans aucune motivation pour un véhicule  (VAM) alors que je n'ai pas eu de sinistre depuis fort longtemps,  cependant mes 3 contrats RAQVAM eux n'ont pas été résiliés...  Après avoir ? à la délégation de mon département la personne que j'ai eu au téléphone n'avait pas d’information , dommage ! Je vais donc aller au devant et faire des recherches pour changer d ’assureur pour l’ensemble de mes  contrats. 
La MAIF assureur militant...
 Bien cordialement</t>
  </si>
  <si>
    <t>05/11/2020</t>
  </si>
  <si>
    <t>lavande-109717</t>
  </si>
  <si>
    <t xml:space="preserve">La MGEN est une mutuelle injoignable. Si nous n'avons pas de problème alors tout va très bien. Les cotisations sont onéreuses et les remboursements inadaptés, insuffisants. La MGEN ne s'adapte pas aux nouvelles pratiques des patients ( ostéo très peu remboursée, médecine douce le néant...). Pas de possibilité d'avoir un interlocuteur et une ligne directe. C'est une plateforme qui traité les appels. Vous tombez à chaque fois sur une personne différente et vous devez reprendre à 0 vos explications ... Difficile d'y échapper en plus lorsqu'on est enseignant. C'est très curieux, sur le site MGEN , la mutuelle est curieusement très très bien notée tandis que sur un site indépendant elle est très mal notée...Les autres grandes enseignes ont leurs agences locales et leurs conseillers accessibles. A la MGEN on ne se sent pas client... </t>
  </si>
  <si>
    <t>mp-103000</t>
  </si>
  <si>
    <t>Dégât des aux qui n'est toujours pas payé 7 mois après. Mauvaise foi caractérisée. Aucune réaction aux mails et quand on tape du poing sur la table, une "illettrée" vous accuse d'escroquerie parcequ'un devis daté du 07 et lu comme 01 !!!! A cejour je suis obligée de contacter un avocat. C'est un scandale. le client est considéré comme un apport d'argent, mais relation zéro. A déconseiller fortement.</t>
  </si>
  <si>
    <t>claire-d-130274</t>
  </si>
  <si>
    <t xml:space="preserve">Bien placé au niveau des prix et garanti ( a voire en cas de sinistre)
Nous espérons être satisfais de cette assurance si nous avons un sinistre.
L'avenir nous le dira !! </t>
  </si>
  <si>
    <t>coyard-a-112743</t>
  </si>
  <si>
    <t xml:space="preserve">Je suis très satisfait de cette assurance car elle assure tout le monde à de bon prix comparé aux autres assurances qui sont trop sélective et cela est un point Fort </t>
  </si>
  <si>
    <t>patrick73-89878</t>
  </si>
  <si>
    <t xml:space="preserve">Attention, les renseignements donnés lors du premier contact par téléphone ne sont pas fiables. J'ai demandé si je devais obligatoirement faire graver mon véhicule, l'opératrice m'a affirmé que non. J'ai signé le contrat et quelques semaines plus tard  l'on me réclame le certificat de gravage. </t>
  </si>
  <si>
    <t>AssurOnline</t>
  </si>
  <si>
    <t>jackie-96871</t>
  </si>
  <si>
    <t>j'ai parrainé 3 personnes, je n'ai jamais vu l'offre de parrainage. depuis plusieurs mois, ils ont pourtant les numéros des contrats signés, ils ne m'ont jamais offert l'offre dont j'avais le droit.C'est de la publicité mensongère et c'est surtout déplorable et assez minable qu'une societé comme celle ci n'honore pas un geste qui ne lui coûtait pas grand chose !!! Qu'est ce que cela représente pour eux ?  déplorable vraiment !!!</t>
  </si>
  <si>
    <t>volguiz-80599</t>
  </si>
  <si>
    <t xml:space="preserve">la cotisation qui augmente de 82 % ??????? En clair si votre animal tombe malade les cotisations s'envolent..... Tout le monde sait qu'un animal vieilli et a plus de risque d'être en visite chez le vétérinaire. c'est la porte ouverte à cet assureur de faire exploser les cotisations.  j'arrête tout de suite mon contrat (qui a des années) et je déconseillerai partout cette assurance! </t>
  </si>
  <si>
    <t>31/10/2019</t>
  </si>
  <si>
    <t>thomas-51432</t>
  </si>
  <si>
    <t>Maaf et leur publicité mensongère.... Tout une histoire qui se répète...
Assuré MAAF depuis des années (contrat habitation, auto, moto, contrats additionnels instruments enfant etc...) j'ai eu l'honneur de recevoir, suite à un sinistre responsable, une lettre m'informant qu'en tant qu'excellent client je bénéficiais du Bonus à vie.... Sauf qu'un malus m'a bien été appliqué avec la majoration afférente..... !
Evidemment suite à réclamation on m'informe que j'ai reçu ce courrier par erreur....FIN DE LA DISCUSSION...si tant est qu'il y'en ai eu une à un moment...
On va donc résilier tous les contrats (+ ceux des beaux parents) en toute tranquillité et continuer à porter la bonne parole quant à leurs agissements....
Un pigeon parmi tant d'autres hélas...</t>
  </si>
  <si>
    <t>18/01/2017</t>
  </si>
  <si>
    <t>mado-80551</t>
  </si>
  <si>
    <t>J'ai été particulièrement bien renseigné par RALI, très sympas , accueillant au téléphone et très agréable</t>
  </si>
  <si>
    <t>30/10/2019</t>
  </si>
  <si>
    <t>jardin-n-133080</t>
  </si>
  <si>
    <t>JE SUIS SATISFAIT DU SERVICE . BON CONTACT AVEC LE CONSEILLER . PRIX CORRECT .
FACILITE DE MISE EN ROUTE POUR LA SUITE . CONTACT SUPER AVEC TOUT LE SERVICE CLIENT</t>
  </si>
  <si>
    <t>cyrille-f-116235</t>
  </si>
  <si>
    <t>suite à un delai trop important de remboursement de réparation d'impact  de pare brise, AVEC XXXX RELANCE, j'ai fait un devis dans une autre assurance qui est mois chère de 200 euros pour plus de service.
Je pense donc résilié bientôt ce contrat</t>
  </si>
  <si>
    <t>sacha-m-111452</t>
  </si>
  <si>
    <t>excellent rapport qualité/prix et grande facilité d'utilisation du site.
ET 50% moins cher que ma précédente assurance avec des services qui me semblent équivalents.</t>
  </si>
  <si>
    <t>23/04/2021</t>
  </si>
  <si>
    <t>mik-d-104961</t>
  </si>
  <si>
    <t>J'ai besoin de baisser les coût fixe mensuels suite au Covid. Je trouve une offre plus basse de 100 euros sur internet chez vous pour ma voiture.... Ce qui veut dire que je paie plus qu'un nouveau souscripteur.. super pour la fidélité !</t>
  </si>
  <si>
    <t>sindy33540-88157</t>
  </si>
  <si>
    <t xml:space="preserve">Horrible... Je n'ai jamais vue ça!! 5 mois que j'ai adhéré, et pas un seul remboursement... La teletransmition qui fait partie du contrat n'est même pas mise en place ! Ils me doivent plusieurs centaines d'euro, et malgré mes appels et mails de réclamation, rien de bouge !!... Je suis désespérée... Et très déçu. </t>
  </si>
  <si>
    <t>10/03/2020</t>
  </si>
  <si>
    <t>fulchiron-139496</t>
  </si>
  <si>
    <t>J’étais client chez vous auparavant, avant que ma compagne soit embauchée chez Groupama où nous avions tous nos contrats. On verra si le retour se passe bien...</t>
  </si>
  <si>
    <t>12/11/2021</t>
  </si>
  <si>
    <t>codevelle-m-126663</t>
  </si>
  <si>
    <t>le devis est correct, mais un manque d'infos sur le youdrive. un delai de 10 j pour verser la sommes par CB aurait été bien. sinon service simple et rapode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</si>
</sst>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3.0</v>
      </c>
      <c r="B2" s="2" t="s">
        <v>11</v>
      </c>
      <c r="C2" s="2" t="s">
        <v>12</v>
      </c>
      <c r="D2" s="2" t="s">
        <v>13</v>
      </c>
      <c r="E2" s="2" t="s">
        <v>14</v>
      </c>
      <c r="F2" s="2" t="s">
        <v>15</v>
      </c>
      <c r="G2" s="2" t="s">
        <v>16</v>
      </c>
      <c r="H2" s="2" t="s">
        <v>17</v>
      </c>
      <c r="I2" s="2" t="str">
        <f>IFERROR(__xludf.DUMMYFUNCTION("GOOGLETRANSLATE(C2,""fr"",""en"")"),"Where did the Macif pass to entertain ??? Member for 32 years, my parents and family was already well before me. But a priori in 2018 loyalty no longer matters to the Macif. 3 months of exchanges or rather attempts with Macif messaging and the quality ser"&amp;"vice and nothing no response except, your file is pending, the manager will contact you before the 22nd we are the 27 and still nothing. Thank you the Macif I don't recognize you anymore and from what I see I am not the only one.
To remedy my concerns I "&amp;"decide to make an appointment at the Valenciennes agency, my wife and I take leave an afternoon to honor our appointment in order to review all of our contracts (3 vehicles, the house, individual insurance, insurance Life .....) Arrival at the agency, fin"&amp;"ally thinking of obtaining answers, there the incompetence is at its height ""we do not find my appointment"" !! After having insisted and waited for a person receive me and there the continuous incompetence because I do not obtain any answer apart from t"&amp;"he inconsistent remarks, the person had not to be in his place !! Worse then by his name we see that it was she who had given the ""lost"" appointment !!
I informed the Macif of these setbacks almost a month has passed since my visit and nothing! I dare "&amp;"not imagine what may happen in the event of a significant disaster.
I never had a problem for 30 years (never had a responsible accident) and a perfect relationship with this insurer that I advised my friends and family, but that was before.")</f>
        <v>Where did the Macif pass to entertain ??? Member for 32 years, my parents and family was already well before me. But a priori in 2018 loyalty no longer matters to the Macif. 3 months of exchanges or rather attempts with Macif messaging and the quality service and nothing no response except, your file is pending, the manager will contact you before the 22nd we are the 27 and still nothing. Thank you the Macif I don't recognize you anymore and from what I see I am not the only one.
To remedy my concerns I decide to make an appointment at the Valenciennes agency, my wife and I take leave an afternoon to honor our appointment in order to review all of our contracts (3 vehicles, the house, individual insurance, insurance Life .....) Arrival at the agency, finally thinking of obtaining answers, there the incompetence is at its height "we do not find my appointment" !! After having insisted and waited for a person receive me and there the continuous incompetence because I do not obtain any answer apart from the inconsistent remarks, the person had not to be in his place !! Worse then by his name we see that it was she who had given the "lost" appointment !!
I informed the Macif of these setbacks almost a month has passed since my visit and nothing! I dare not imagine what may happen in the event of a significant disaster.
I never had a problem for 30 years (never had a responsible accident) and a perfect relationship with this insurer that I advised my friends and family, but that was before.</v>
      </c>
    </row>
    <row r="3">
      <c r="A3" s="2">
        <v>1.0</v>
      </c>
      <c r="B3" s="2" t="s">
        <v>18</v>
      </c>
      <c r="C3" s="2" t="s">
        <v>19</v>
      </c>
      <c r="D3" s="2" t="s">
        <v>20</v>
      </c>
      <c r="E3" s="2" t="s">
        <v>21</v>
      </c>
      <c r="F3" s="2" t="s">
        <v>15</v>
      </c>
      <c r="G3" s="2" t="s">
        <v>22</v>
      </c>
      <c r="H3" s="2" t="s">
        <v>23</v>
      </c>
      <c r="I3" s="2" t="str">
        <f>IFERROR(__xludf.DUMMYFUNCTION("GOOGLETRANSLATE(C3,""fr"",""en"")"),"Ashamed ! They divert the claim with judgment so as not to have to bring you a refund. No serious! Incompetent personnel and without power at the level of their hierarchy for a complaint.")</f>
        <v>Ashamed ! They divert the claim with judgment so as not to have to bring you a refund. No serious! Incompetent personnel and without power at the level of their hierarchy for a complaint.</v>
      </c>
    </row>
    <row r="4">
      <c r="A4" s="2">
        <v>3.0</v>
      </c>
      <c r="B4" s="2" t="s">
        <v>24</v>
      </c>
      <c r="C4" s="2" t="s">
        <v>25</v>
      </c>
      <c r="D4" s="2" t="s">
        <v>26</v>
      </c>
      <c r="E4" s="2" t="s">
        <v>14</v>
      </c>
      <c r="F4" s="2" t="s">
        <v>15</v>
      </c>
      <c r="G4" s="2" t="s">
        <v>27</v>
      </c>
      <c r="H4" s="2" t="s">
        <v>28</v>
      </c>
      <c r="I4" s="2" t="str">
        <f>IFERROR(__xludf.DUMMYFUNCTION("GOOGLETRANSLATE(C4,""fr"",""en"")"),"Refund well, but really too expensive, with equal guarantees. Even after 25 years of loyalty and maximum bonus 50% for many years. Following the first permit suspension (5 months) since I have my license, 39 years old, never an offense, never responsible "&amp;"accident.
With a guarantee equal more than doubling of the annual subscription, even if I have recovered my license and my 12 points for 6 months.")</f>
        <v>Refund well, but really too expensive, with equal guarantees. Even after 25 years of loyalty and maximum bonus 50% for many years. Following the first permit suspension (5 months) since I have my license, 39 years old, never an offense, never responsible accident.
With a guarantee equal more than doubling of the annual subscription, even if I have recovered my license and my 12 points for 6 months.</v>
      </c>
    </row>
    <row r="5">
      <c r="A5" s="2">
        <v>5.0</v>
      </c>
      <c r="B5" s="2" t="s">
        <v>29</v>
      </c>
      <c r="C5" s="2" t="s">
        <v>30</v>
      </c>
      <c r="D5" s="2" t="s">
        <v>31</v>
      </c>
      <c r="E5" s="2" t="s">
        <v>32</v>
      </c>
      <c r="F5" s="2" t="s">
        <v>15</v>
      </c>
      <c r="G5" s="2" t="s">
        <v>33</v>
      </c>
      <c r="H5" s="2" t="s">
        <v>34</v>
      </c>
      <c r="I5" s="2" t="str">
        <f>IFERROR(__xludf.DUMMYFUNCTION("GOOGLETRANSLATE(C5,""fr"",""en"")"),"Dear,
I have been part of the M.G.P.
This mutual insurance company has always given me complete satisfaction, always present in difficult times.
I am currently retired, I hope to keep this mutual for a long time. Too bad the prices are relatively high."&amp;"
Best regards
Jacques LOCHON")</f>
        <v>Dear,
I have been part of the M.G.P.
This mutual insurance company has always given me complete satisfaction, always present in difficult times.
I am currently retired, I hope to keep this mutual for a long time. Too bad the prices are relatively high.
Best regards
Jacques LOCHON</v>
      </c>
    </row>
    <row r="6">
      <c r="A6" s="2">
        <v>4.0</v>
      </c>
      <c r="B6" s="2" t="s">
        <v>35</v>
      </c>
      <c r="C6" s="2" t="s">
        <v>36</v>
      </c>
      <c r="D6" s="2" t="s">
        <v>37</v>
      </c>
      <c r="E6" s="2" t="s">
        <v>14</v>
      </c>
      <c r="F6" s="2" t="s">
        <v>15</v>
      </c>
      <c r="G6" s="2" t="s">
        <v>38</v>
      </c>
      <c r="H6" s="2" t="s">
        <v>39</v>
      </c>
      <c r="I6" s="2" t="str">
        <f>IFERROR(__xludf.DUMMYFUNCTION("GOOGLETRANSLATE(C6,""fr"",""en"")"),"I am satisfied with the service, the advisers are attentive and sympathetic! In addition, prices are very suitable compared to other insurance")</f>
        <v>I am satisfied with the service, the advisers are attentive and sympathetic! In addition, prices are very suitable compared to other insurance</v>
      </c>
    </row>
    <row r="7">
      <c r="A7" s="2">
        <v>3.0</v>
      </c>
      <c r="B7" s="2" t="s">
        <v>40</v>
      </c>
      <c r="C7" s="2" t="s">
        <v>41</v>
      </c>
      <c r="D7" s="2" t="s">
        <v>42</v>
      </c>
      <c r="E7" s="2" t="s">
        <v>32</v>
      </c>
      <c r="F7" s="2" t="s">
        <v>15</v>
      </c>
      <c r="G7" s="2" t="s">
        <v>43</v>
      </c>
      <c r="H7" s="2" t="s">
        <v>44</v>
      </c>
      <c r="I7" s="2" t="str">
        <f>IFERROR(__xludf.DUMMYFUNCTION("GOOGLETRANSLATE(C7,""fr"",""en"")"),"The MGEN does not reimburse what is marked in its statutes: you pay very dear to the subscription which provides all the resources, even the additional wages on which you do not pay any disease contribution.
Results: in case of sick leave MGEN does not p"&amp;"ay for this second salary.
You pay for both but you are only covered on your main job. Their policy of ethics and respect for members does not correspond to reality.
 ")</f>
        <v>The MGEN does not reimburse what is marked in its statutes: you pay very dear to the subscription which provides all the resources, even the additional wages on which you do not pay any disease contribution.
Results: in case of sick leave MGEN does not pay for this second salary.
You pay for both but you are only covered on your main job. Their policy of ethics and respect for members does not correspond to reality.
 </v>
      </c>
    </row>
    <row r="8">
      <c r="A8" s="2">
        <v>2.0</v>
      </c>
      <c r="B8" s="2" t="s">
        <v>45</v>
      </c>
      <c r="C8" s="2" t="s">
        <v>46</v>
      </c>
      <c r="D8" s="2" t="s">
        <v>37</v>
      </c>
      <c r="E8" s="2" t="s">
        <v>14</v>
      </c>
      <c r="F8" s="2" t="s">
        <v>15</v>
      </c>
      <c r="G8" s="2" t="s">
        <v>47</v>
      </c>
      <c r="H8" s="2" t="s">
        <v>48</v>
      </c>
      <c r="I8" s="2" t="str">
        <f>IFERROR(__xludf.DUMMYFUNCTION("GOOGLETRANSLATE(C8,""fr"",""en"")"),"Attractive for prices if not to flee ... So saying computer bugs, disaster of more than 15 days still not treated. Mission order never sent to professionals, we must constantly call the professional concerned otherwise we never know where the sinister")</f>
        <v>Attractive for prices if not to flee ... So saying computer bugs, disaster of more than 15 days still not treated. Mission order never sent to professionals, we must constantly call the professional concerned otherwise we never know where the sinister</v>
      </c>
    </row>
    <row r="9">
      <c r="A9" s="2">
        <v>1.0</v>
      </c>
      <c r="B9" s="2" t="s">
        <v>49</v>
      </c>
      <c r="C9" s="2" t="s">
        <v>50</v>
      </c>
      <c r="D9" s="2" t="s">
        <v>37</v>
      </c>
      <c r="E9" s="2" t="s">
        <v>14</v>
      </c>
      <c r="F9" s="2" t="s">
        <v>15</v>
      </c>
      <c r="G9" s="2" t="s">
        <v>51</v>
      </c>
      <c r="H9" s="2" t="s">
        <v>52</v>
      </c>
      <c r="I9" s="2" t="str">
        <f>IFERROR(__xludf.DUMMYFUNCTION("GOOGLETRANSLATE(C9,""fr"",""en"")"),"Customer for almost two years at home ...
I am a crunch at 1.32, has only 4000 km per year journey ...
Currently, quotes are 1100 euros for my use at home outside, my July 2016 contract (tacit renewal) cost me ... 1900 euros!
800 euros of differenc"&amp;"e which are only on the explanation of:
- These are the prices of last year, there is nothing for you.
Customer service therefore asks you to wait for your deadline to benefit from a possible reduction (because yes, they are not on !!!)
And when we tel"&amp;"l them that we will terminate, they come out the great phrase completely false:
You can't, you have to wait for the end of your contract! Something completely false since the Hamon law ...
Last year, their customer service was fast, I will even have p"&amp;"ut 5 stars.
Today, you have to wait between 10 and 15 minutes to finally have a advice on the phone! Fortunately, we are in the air of unlimited!")</f>
        <v>Customer for almost two years at home ...
I am a crunch at 1.32, has only 4000 km per year journey ...
Currently, quotes are 1100 euros for my use at home outside, my July 2016 contract (tacit renewal) cost me ... 1900 euros!
800 euros of difference which are only on the explanation of:
- These are the prices of last year, there is nothing for you.
Customer service therefore asks you to wait for your deadline to benefit from a possible reduction (because yes, they are not on !!!)
And when we tell them that we will terminate, they come out the great phrase completely false:
You can't, you have to wait for the end of your contract! Something completely false since the Hamon law ...
Last year, their customer service was fast, I will even have put 5 stars.
Today, you have to wait between 10 and 15 minutes to finally have a advice on the phone! Fortunately, we are in the air of unlimited!</v>
      </c>
    </row>
    <row r="10">
      <c r="A10" s="2">
        <v>2.0</v>
      </c>
      <c r="B10" s="2" t="s">
        <v>53</v>
      </c>
      <c r="C10" s="2" t="s">
        <v>54</v>
      </c>
      <c r="D10" s="2" t="s">
        <v>55</v>
      </c>
      <c r="E10" s="2" t="s">
        <v>14</v>
      </c>
      <c r="F10" s="2" t="s">
        <v>15</v>
      </c>
      <c r="G10" s="2" t="s">
        <v>56</v>
      </c>
      <c r="H10" s="2" t="s">
        <v>57</v>
      </c>
      <c r="I10" s="2" t="str">
        <f>IFERROR(__xludf.DUMMYFUNCTION("GOOGLETRANSLATE(C10,""fr"",""en"")"),"Incompetent, the secretary will always request authorization from her chef, lamentable.")</f>
        <v>Incompetent, the secretary will always request authorization from her chef, lamentable.</v>
      </c>
    </row>
    <row r="11">
      <c r="A11" s="2">
        <v>1.0</v>
      </c>
      <c r="B11" s="2" t="s">
        <v>58</v>
      </c>
      <c r="C11" s="2" t="s">
        <v>59</v>
      </c>
      <c r="D11" s="2" t="s">
        <v>31</v>
      </c>
      <c r="E11" s="2" t="s">
        <v>32</v>
      </c>
      <c r="F11" s="2" t="s">
        <v>15</v>
      </c>
      <c r="G11" s="2" t="s">
        <v>60</v>
      </c>
      <c r="H11" s="2" t="s">
        <v>61</v>
      </c>
      <c r="I11" s="2" t="str">
        <f>IFERROR(__xludf.DUMMYFUNCTION("GOOGLETRANSLATE(C11,""fr"",""en"")"),"Hello,
I am unhappy with your mutual insurance company, because I have a person from the Lyon agency in June 2020, who contacted me to complete my contract.
I asked him a question about the health reimbursement following the knee operation that I ha"&amp;"d to undergo on 8/09/2020.
His answer was precise I quote: we will take part of the care and also part of the exceeding of fees but not all.
What was my entrance when last week, I sent the care of care, and in return I am answered that this did not "&amp;"see the contact I have subscribed.
Finally you will be possible to send me by seeing postal the formulas discovered as well as tradition.
Cordially
")</f>
        <v>Hello,
I am unhappy with your mutual insurance company, because I have a person from the Lyon agency in June 2020, who contacted me to complete my contract.
I asked him a question about the health reimbursement following the knee operation that I had to undergo on 8/09/2020.
His answer was precise I quote: we will take part of the care and also part of the exceeding of fees but not all.
What was my entrance when last week, I sent the care of care, and in return I am answered that this did not see the contact I have subscribed.
Finally you will be possible to send me by seeing postal the formulas discovered as well as tradition.
Cordially
</v>
      </c>
    </row>
    <row r="12">
      <c r="A12" s="2">
        <v>1.0</v>
      </c>
      <c r="B12" s="2" t="s">
        <v>62</v>
      </c>
      <c r="C12" s="2" t="s">
        <v>63</v>
      </c>
      <c r="D12" s="2" t="s">
        <v>64</v>
      </c>
      <c r="E12" s="2" t="s">
        <v>65</v>
      </c>
      <c r="F12" s="2" t="s">
        <v>15</v>
      </c>
      <c r="G12" s="2" t="s">
        <v>66</v>
      </c>
      <c r="H12" s="2" t="s">
        <v>67</v>
      </c>
      <c r="I12" s="2" t="str">
        <f>IFERROR(__xludf.DUMMYFUNCTION("GOOGLETRANSLATE(C12,""fr"",""en"")"),"The old contracts are rather good (euros funds), on the other hand management is a disaster ... difficult to have a person on the phone, non -competent staff, referral to other services ... in short all the charm of the administration but really painful. "&amp;"It is simply a question of having common sense to treat simple operations.")</f>
        <v>The old contracts are rather good (euros funds), on the other hand management is a disaster ... difficult to have a person on the phone, non -competent staff, referral to other services ... in short all the charm of the administration but really painful. It is simply a question of having common sense to treat simple operations.</v>
      </c>
    </row>
    <row r="13">
      <c r="A13" s="2">
        <v>2.0</v>
      </c>
      <c r="B13" s="2" t="s">
        <v>68</v>
      </c>
      <c r="C13" s="2" t="s">
        <v>69</v>
      </c>
      <c r="D13" s="2" t="s">
        <v>70</v>
      </c>
      <c r="E13" s="2" t="s">
        <v>14</v>
      </c>
      <c r="F13" s="2" t="s">
        <v>15</v>
      </c>
      <c r="G13" s="2" t="s">
        <v>71</v>
      </c>
      <c r="H13" s="2" t="s">
        <v>72</v>
      </c>
      <c r="I13" s="2" t="str">
        <f>IFERROR(__xludf.DUMMYFUNCTION("GOOGLETRANSLATE(C13,""fr"",""en"")"),"I see Déconseil to have a non -responsible disaster because does not give news despite reminders on reminders. This allows to transfer my file from one agency to another without telling me .... I think I change insurer very soon if things do not improve. "&amp;"Never seen !!!!!!")</f>
        <v>I see Déconseil to have a non -responsible disaster because does not give news despite reminders on reminders. This allows to transfer my file from one agency to another without telling me .... I think I change insurer very soon if things do not improve. Never seen !!!!!!</v>
      </c>
    </row>
    <row r="14">
      <c r="A14" s="2">
        <v>2.0</v>
      </c>
      <c r="B14" s="2" t="s">
        <v>73</v>
      </c>
      <c r="C14" s="2" t="s">
        <v>74</v>
      </c>
      <c r="D14" s="2" t="s">
        <v>75</v>
      </c>
      <c r="E14" s="2" t="s">
        <v>14</v>
      </c>
      <c r="F14" s="2" t="s">
        <v>15</v>
      </c>
      <c r="G14" s="2" t="s">
        <v>76</v>
      </c>
      <c r="H14" s="2" t="s">
        <v>77</v>
      </c>
      <c r="I14" s="2" t="str">
        <f>IFERROR(__xludf.DUMMYFUNCTION("GOOGLETRANSLATE(C14,""fr"",""en"")"),"hello ,
To date your service cannot explain the increase to me.
You are no longer the cheapest after consulting other insurance company with the same services. I have been a customer for 15 years.
Cordially .
A customer for 15 years.")</f>
        <v>hello ,
To date your service cannot explain the increase to me.
You are no longer the cheapest after consulting other insurance company with the same services. I have been a customer for 15 years.
Cordially .
A customer for 15 years.</v>
      </c>
    </row>
    <row r="15">
      <c r="A15" s="2">
        <v>2.0</v>
      </c>
      <c r="B15" s="2" t="s">
        <v>78</v>
      </c>
      <c r="C15" s="2" t="s">
        <v>79</v>
      </c>
      <c r="D15" s="2" t="s">
        <v>80</v>
      </c>
      <c r="E15" s="2" t="s">
        <v>81</v>
      </c>
      <c r="F15" s="2" t="s">
        <v>15</v>
      </c>
      <c r="G15" s="2" t="s">
        <v>82</v>
      </c>
      <c r="H15" s="2" t="s">
        <v>83</v>
      </c>
      <c r="I15" s="2" t="str">
        <f>IFERROR(__xludf.DUMMYFUNCTION("GOOGLETRANSLATE(C15,""fr"",""en"")"),"Hello I am on stop since March 3 and we are on October 9 and I still have not received my salary supplement from the mutual insurance company C is a shame !!!!!!. I do that you call and my work too and always The same answer we do not know for your file w"&amp;"e wait for it just 5 months that I wait but my bills do not expect them on the other hand to take the account for the mutual if there is no worries. A real shame of this mutual !!!!!!! From tomorrow I will start procedures because it is more impossible !!"&amp;"!!!!
Celine")</f>
        <v>Hello I am on stop since March 3 and we are on October 9 and I still have not received my salary supplement from the mutual insurance company C is a shame !!!!!!. I do that you call and my work too and always The same answer we do not know for your file we wait for it just 5 months that I wait but my bills do not expect them on the other hand to take the account for the mutual if there is no worries. A real shame of this mutual !!!!!!! From tomorrow I will start procedures because it is more impossible !!!!!!
Celine</v>
      </c>
    </row>
    <row r="16">
      <c r="A16" s="2">
        <v>4.0</v>
      </c>
      <c r="B16" s="2" t="s">
        <v>84</v>
      </c>
      <c r="C16" s="2" t="s">
        <v>85</v>
      </c>
      <c r="D16" s="2" t="s">
        <v>70</v>
      </c>
      <c r="E16" s="2" t="s">
        <v>14</v>
      </c>
      <c r="F16" s="2" t="s">
        <v>15</v>
      </c>
      <c r="G16" s="2" t="s">
        <v>86</v>
      </c>
      <c r="H16" s="2" t="s">
        <v>86</v>
      </c>
      <c r="I16" s="2" t="str">
        <f>IFERROR(__xludf.DUMMYFUNCTION("GOOGLETRANSLATE(C16,""fr"",""en"")"),"I am satisfied with the price and reception in agency.
Easy access to access, intuitive and pleasant.
The advice is informed and adapted.
Respect for health rules in agency
")</f>
        <v>I am satisfied with the price and reception in agency.
Easy access to access, intuitive and pleasant.
The advice is informed and adapted.
Respect for health rules in agency
</v>
      </c>
    </row>
    <row r="17">
      <c r="A17" s="2">
        <v>2.0</v>
      </c>
      <c r="B17" s="2" t="s">
        <v>87</v>
      </c>
      <c r="C17" s="2" t="s">
        <v>88</v>
      </c>
      <c r="D17" s="2" t="s">
        <v>89</v>
      </c>
      <c r="E17" s="2" t="s">
        <v>90</v>
      </c>
      <c r="F17" s="2" t="s">
        <v>15</v>
      </c>
      <c r="G17" s="2" t="s">
        <v>91</v>
      </c>
      <c r="H17" s="2" t="s">
        <v>92</v>
      </c>
      <c r="I17" s="2" t="str">
        <f>IFERROR(__xludf.DUMMYFUNCTION("GOOGLETRANSLATE(C17,""fr"",""en"")"),"I am sorry I have been paying for 2 years and never reimbursed more than 20 euros per year
Sterilization of my female dog and vaccines compulsory 20 euros
I terminate my contract at the end of the year more.")</f>
        <v>I am sorry I have been paying for 2 years and never reimbursed more than 20 euros per year
Sterilization of my female dog and vaccines compulsory 20 euros
I terminate my contract at the end of the year more.</v>
      </c>
    </row>
    <row r="18">
      <c r="A18" s="2">
        <v>4.0</v>
      </c>
      <c r="B18" s="2" t="s">
        <v>93</v>
      </c>
      <c r="C18" s="2" t="s">
        <v>94</v>
      </c>
      <c r="D18" s="2" t="s">
        <v>95</v>
      </c>
      <c r="E18" s="2" t="s">
        <v>96</v>
      </c>
      <c r="F18" s="2" t="s">
        <v>15</v>
      </c>
      <c r="G18" s="2" t="s">
        <v>97</v>
      </c>
      <c r="H18" s="2" t="s">
        <v>98</v>
      </c>
      <c r="I18" s="2" t="str">
        <f>IFERROR(__xludf.DUMMYFUNCTION("GOOGLETRANSLATE(C18,""fr"",""en"")"),"I am satisfied with the approach I hope I would have no problem afterwards, I hope that an advisor will call me for the rest of my request. Thank you")</f>
        <v>I am satisfied with the approach I hope I would have no problem afterwards, I hope that an advisor will call me for the rest of my request. Thank you</v>
      </c>
    </row>
    <row r="19">
      <c r="A19" s="2">
        <v>1.0</v>
      </c>
      <c r="B19" s="2" t="s">
        <v>99</v>
      </c>
      <c r="C19" s="2" t="s">
        <v>100</v>
      </c>
      <c r="D19" s="2" t="s">
        <v>101</v>
      </c>
      <c r="E19" s="2" t="s">
        <v>14</v>
      </c>
      <c r="F19" s="2" t="s">
        <v>15</v>
      </c>
      <c r="G19" s="2" t="s">
        <v>102</v>
      </c>
      <c r="H19" s="2" t="s">
        <v>103</v>
      </c>
      <c r="I19" s="2" t="str">
        <f>IFERROR(__xludf.DUMMYFUNCTION("GOOGLETRANSLATE(C19,""fr"",""en"")"),"People in agency become paranos and not courteous in addition. The seat only responds with very imposing evidences and they leave your beak in the water. Ashamed.")</f>
        <v>People in agency become paranos and not courteous in addition. The seat only responds with very imposing evidences and they leave your beak in the water. Ashamed.</v>
      </c>
    </row>
    <row r="20">
      <c r="A20" s="2">
        <v>5.0</v>
      </c>
      <c r="B20" s="2" t="s">
        <v>104</v>
      </c>
      <c r="C20" s="2" t="s">
        <v>105</v>
      </c>
      <c r="D20" s="2" t="s">
        <v>37</v>
      </c>
      <c r="E20" s="2" t="s">
        <v>14</v>
      </c>
      <c r="F20" s="2" t="s">
        <v>15</v>
      </c>
      <c r="G20" s="2" t="s">
        <v>106</v>
      </c>
      <c r="H20" s="2" t="s">
        <v>107</v>
      </c>
      <c r="I20" s="2" t="str">
        <f>IFERROR(__xludf.DUMMYFUNCTION("GOOGLETRANSLATE(C20,""fr"",""en"")"),"I am very satisfied, speed, benevolence and listening. The prices are very affordable and the wait on the phone to have a very reasonable advisor.")</f>
        <v>I am very satisfied, speed, benevolence and listening. The prices are very affordable and the wait on the phone to have a very reasonable advisor.</v>
      </c>
    </row>
    <row r="21" ht="15.75" customHeight="1">
      <c r="A21" s="2">
        <v>5.0</v>
      </c>
      <c r="B21" s="2" t="s">
        <v>108</v>
      </c>
      <c r="C21" s="2" t="s">
        <v>109</v>
      </c>
      <c r="D21" s="2" t="s">
        <v>37</v>
      </c>
      <c r="E21" s="2" t="s">
        <v>14</v>
      </c>
      <c r="F21" s="2" t="s">
        <v>15</v>
      </c>
      <c r="G21" s="2" t="s">
        <v>110</v>
      </c>
      <c r="H21" s="2" t="s">
        <v>111</v>
      </c>
      <c r="I21" s="2" t="str">
        <f>IFERROR(__xludf.DUMMYFUNCTION("GOOGLETRANSLATE(C21,""fr"",""en"")"),"I am satisfied with the very reactive service The site is very good and very easy we are well guided not so I am very satisfied with this collaboration")</f>
        <v>I am satisfied with the very reactive service The site is very good and very easy we are well guided not so I am very satisfied with this collaboration</v>
      </c>
    </row>
    <row r="22" ht="15.75" customHeight="1">
      <c r="A22" s="2">
        <v>2.0</v>
      </c>
      <c r="B22" s="2" t="s">
        <v>112</v>
      </c>
      <c r="C22" s="2" t="s">
        <v>113</v>
      </c>
      <c r="D22" s="2" t="s">
        <v>13</v>
      </c>
      <c r="E22" s="2" t="s">
        <v>14</v>
      </c>
      <c r="F22" s="2" t="s">
        <v>15</v>
      </c>
      <c r="G22" s="2" t="s">
        <v>114</v>
      </c>
      <c r="H22" s="2" t="s">
        <v>115</v>
      </c>
      <c r="I22" s="2" t="str">
        <f>IFERROR(__xludf.DUMMYFUNCTION("GOOGLETRANSLATE(C22,""fr"",""en"")"),"The Macif only considers you if you have no claims I have been a customer for 37 years and you go without any qualms")</f>
        <v>The Macif only considers you if you have no claims I have been a customer for 37 years and you go without any qualms</v>
      </c>
    </row>
    <row r="23" ht="15.75" customHeight="1">
      <c r="A23" s="2">
        <v>5.0</v>
      </c>
      <c r="B23" s="2" t="s">
        <v>116</v>
      </c>
      <c r="C23" s="2" t="s">
        <v>117</v>
      </c>
      <c r="D23" s="2" t="s">
        <v>37</v>
      </c>
      <c r="E23" s="2" t="s">
        <v>14</v>
      </c>
      <c r="F23" s="2" t="s">
        <v>15</v>
      </c>
      <c r="G23" s="2" t="s">
        <v>118</v>
      </c>
      <c r="H23" s="2" t="s">
        <v>77</v>
      </c>
      <c r="I23" s="2" t="str">
        <f>IFERROR(__xludf.DUMMYFUNCTION("GOOGLETRANSLATE(C23,""fr"",""en"")"),"Very satisfied with the quality of the Services Customer Service Exemplary Customer Good Listen to the needs very good advice really I recommend to my loved ones")</f>
        <v>Very satisfied with the quality of the Services Customer Service Exemplary Customer Good Listen to the needs very good advice really I recommend to my loved ones</v>
      </c>
    </row>
    <row r="24" ht="15.75" customHeight="1">
      <c r="A24" s="2">
        <v>1.0</v>
      </c>
      <c r="B24" s="2" t="s">
        <v>119</v>
      </c>
      <c r="C24" s="2" t="s">
        <v>120</v>
      </c>
      <c r="D24" s="2" t="s">
        <v>75</v>
      </c>
      <c r="E24" s="2" t="s">
        <v>14</v>
      </c>
      <c r="F24" s="2" t="s">
        <v>15</v>
      </c>
      <c r="G24" s="2" t="s">
        <v>121</v>
      </c>
      <c r="H24" s="2" t="s">
        <v>48</v>
      </c>
      <c r="I24" s="2" t="str">
        <f>IFERROR(__xludf.DUMMYFUNCTION("GOOGLETRANSLATE(C24,""fr"",""en"")"),"I lent my car in leasing the guy it's brought in by an Uber scooter,
So non -responsible bodily accident with several witnesses!
The guy of Direct Assurance told me we take care of all this will take about 6 months to establish responsibilities despit"&amp;"e witnesses to the accident, because it is bodily and it was the police who made the findings .
In order not to lose my job I got 4 hours of RER/day!
And in the end I still lost it, my job!
While it is the third party who is responsible, he under e"&amp;"values ​​the value of my vehicle,
and have no intention of asserting my rights to the opposing company,
So that I find a new vehicle without putting my hand in my pocket, mind -blowing.
Sometimes one and without any communication he partially compens"&amp;"ates on my account has discovered the vehicle that belongs to the Diac!
I call them furious and the speech has changed a lie at all in all lying,
Excuse in an excuse for each it is a different interlocutor, a horror, he do everything not to reimburse "&amp;"me and hides behind the laws delays being exceeded a priori I had 30 days, I will no longer be entitled to reimbursement To top it all, I have been reserved by Direct Insurance and the Diac will be prohibited from banking since unemployed I can not reimbu"&amp;"rse anything!
I was the only one to work since my spouse is handicap as my 5 year old son
So the whole part not supported by the Secu I can no longer pay so my little boy no longer has the right to him and all that thanks to Direct Insurance! Imagine "&amp;"what I am currently experiencing, undocumented, intolerable!
 ")</f>
        <v>I lent my car in leasing the guy it's brought in by an Uber scooter,
So non -responsible bodily accident with several witnesses!
The guy of Direct Assurance told me we take care of all this will take about 6 months to establish responsibilities despite witnesses to the accident, because it is bodily and it was the police who made the findings .
In order not to lose my job I got 4 hours of RER/day!
And in the end I still lost it, my job!
While it is the third party who is responsible, he under evalues ​​the value of my vehicle,
and have no intention of asserting my rights to the opposing company,
So that I find a new vehicle without putting my hand in my pocket, mind -blowing.
Sometimes one and without any communication he partially compensates on my account has discovered the vehicle that belongs to the Diac!
I call them furious and the speech has changed a lie at all in all lying,
Excuse in an excuse for each it is a different interlocutor, a horror, he do everything not to reimburse me and hides behind the laws delays being exceeded a priori I had 30 days, I will no longer be entitled to reimbursement To top it all, I have been reserved by Direct Insurance and the Diac will be prohibited from banking since unemployed I can not reimburse anything!
I was the only one to work since my spouse is handicap as my 5 year old son
So the whole part not supported by the Secu I can no longer pay so my little boy no longer has the right to him and all that thanks to Direct Insurance! Imagine what I am currently experiencing, undocumented, intolerable!
 </v>
      </c>
    </row>
    <row r="25" ht="15.75" customHeight="1">
      <c r="A25" s="2">
        <v>2.0</v>
      </c>
      <c r="B25" s="2" t="s">
        <v>122</v>
      </c>
      <c r="C25" s="2" t="s">
        <v>123</v>
      </c>
      <c r="D25" s="2" t="s">
        <v>37</v>
      </c>
      <c r="E25" s="2" t="s">
        <v>14</v>
      </c>
      <c r="F25" s="2" t="s">
        <v>15</v>
      </c>
      <c r="G25" s="2" t="s">
        <v>124</v>
      </c>
      <c r="H25" s="2" t="s">
        <v>125</v>
      </c>
      <c r="I25" s="2" t="str">
        <f>IFERROR(__xludf.DUMMYFUNCTION("GOOGLETRANSLATE(C25,""fr"",""en"")"),"insurance to flee urgently. very complicated for joints.")</f>
        <v>insurance to flee urgently. very complicated for joints.</v>
      </c>
    </row>
    <row r="26" ht="15.75" customHeight="1">
      <c r="A26" s="2">
        <v>1.0</v>
      </c>
      <c r="B26" s="2" t="s">
        <v>126</v>
      </c>
      <c r="C26" s="2" t="s">
        <v>127</v>
      </c>
      <c r="D26" s="2" t="s">
        <v>75</v>
      </c>
      <c r="E26" s="2" t="s">
        <v>14</v>
      </c>
      <c r="F26" s="2" t="s">
        <v>15</v>
      </c>
      <c r="G26" s="2" t="s">
        <v>128</v>
      </c>
      <c r="H26" s="2" t="s">
        <v>44</v>
      </c>
      <c r="I26" s="2" t="str">
        <f>IFERROR(__xludf.DUMMYFUNCTION("GOOGLETRANSLATE(C26,""fr"",""en"")"),"I have been paying for a full risk insurance for a year and a half.
The only day when I have a problem with my car unfortunately no help.
It's been a month since I asked to speak to a manager and until today I have never been recalled as indicated on th"&amp;"e phone")</f>
        <v>I have been paying for a full risk insurance for a year and a half.
The only day when I have a problem with my car unfortunately no help.
It's been a month since I asked to speak to a manager and until today I have never been recalled as indicated on the phone</v>
      </c>
    </row>
    <row r="27" ht="15.75" customHeight="1">
      <c r="A27" s="2">
        <v>4.0</v>
      </c>
      <c r="B27" s="2" t="s">
        <v>129</v>
      </c>
      <c r="C27" s="2" t="s">
        <v>130</v>
      </c>
      <c r="D27" s="2" t="s">
        <v>55</v>
      </c>
      <c r="E27" s="2" t="s">
        <v>14</v>
      </c>
      <c r="F27" s="2" t="s">
        <v>15</v>
      </c>
      <c r="G27" s="2" t="s">
        <v>131</v>
      </c>
      <c r="H27" s="2" t="s">
        <v>132</v>
      </c>
      <c r="I27" s="2" t="str">
        <f>IFERROR(__xludf.DUMMYFUNCTION("GOOGLETRANSLATE(C27,""fr"",""en"")"),"I am generally happy with my auto insurance and the management of the problems I have encountered. Relational level Ras.Client for 7 years and for the moment no reason to change")</f>
        <v>I am generally happy with my auto insurance and the management of the problems I have encountered. Relational level Ras.Client for 7 years and for the moment no reason to change</v>
      </c>
    </row>
    <row r="28" ht="15.75" customHeight="1">
      <c r="A28" s="2">
        <v>2.0</v>
      </c>
      <c r="B28" s="2" t="s">
        <v>133</v>
      </c>
      <c r="C28" s="2" t="s">
        <v>134</v>
      </c>
      <c r="D28" s="2" t="s">
        <v>37</v>
      </c>
      <c r="E28" s="2" t="s">
        <v>14</v>
      </c>
      <c r="F28" s="2" t="s">
        <v>15</v>
      </c>
      <c r="G28" s="2" t="s">
        <v>135</v>
      </c>
      <c r="H28" s="2" t="s">
        <v>115</v>
      </c>
      <c r="I28" s="2" t="str">
        <f>IFERROR(__xludf.DUMMYFUNCTION("GOOGLETRANSLATE(C28,""fr"",""en"")"),"I liked the olive tree until the day when this insurance added me 20 euros of expenses for a refused set, such colossal costs for a monthly payment will scare half of your customers, I will terminate this insurance, attractive prices but We understand bet"&amp;"ter or compensate for this insurance to recover profits, ashamed to flee !!")</f>
        <v>I liked the olive tree until the day when this insurance added me 20 euros of expenses for a refused set, such colossal costs for a monthly payment will scare half of your customers, I will terminate this insurance, attractive prices but We understand better or compensate for this insurance to recover profits, ashamed to flee !!</v>
      </c>
    </row>
    <row r="29" ht="15.75" customHeight="1">
      <c r="A29" s="2">
        <v>5.0</v>
      </c>
      <c r="B29" s="2" t="s">
        <v>136</v>
      </c>
      <c r="C29" s="2" t="s">
        <v>137</v>
      </c>
      <c r="D29" s="2" t="s">
        <v>70</v>
      </c>
      <c r="E29" s="2" t="s">
        <v>14</v>
      </c>
      <c r="F29" s="2" t="s">
        <v>15</v>
      </c>
      <c r="G29" s="2" t="s">
        <v>138</v>
      </c>
      <c r="H29" s="2" t="s">
        <v>39</v>
      </c>
      <c r="I29" s="2" t="str">
        <f>IFERROR(__xludf.DUMMYFUNCTION("GOOGLETRANSLATE(C29,""fr"",""en"")"),"I am satisfied, if not I will have changed insurance. I only ask to have a new insurance certificate my vehicle paper having been stolen")</f>
        <v>I am satisfied, if not I will have changed insurance. I only ask to have a new insurance certificate my vehicle paper having been stolen</v>
      </c>
    </row>
    <row r="30" ht="15.75" customHeight="1">
      <c r="A30" s="2">
        <v>2.0</v>
      </c>
      <c r="B30" s="2" t="s">
        <v>139</v>
      </c>
      <c r="C30" s="2" t="s">
        <v>140</v>
      </c>
      <c r="D30" s="2" t="s">
        <v>80</v>
      </c>
      <c r="E30" s="2" t="s">
        <v>32</v>
      </c>
      <c r="F30" s="2" t="s">
        <v>15</v>
      </c>
      <c r="G30" s="2" t="s">
        <v>141</v>
      </c>
      <c r="H30" s="2" t="s">
        <v>142</v>
      </c>
      <c r="I30" s="2" t="str">
        <f>IFERROR(__xludf.DUMMYFUNCTION("GOOGLETRANSLATE(C30,""fr"",""en"")"),"Big problem in terms of my reimbursements. I have been reimbursed for two months and now you need the invoices. While I go only to the doctor. I have never seen a doctor give an invoice. I am told that the problem is because I pay to third -party payment."&amp;" With my old mutual insurance company never disturbed and on the site of this mutual, he indicates that if we pay to third party we are reimbursed directly. I also have colleagues who are in the same case.")</f>
        <v>Big problem in terms of my reimbursements. I have been reimbursed for two months and now you need the invoices. While I go only to the doctor. I have never seen a doctor give an invoice. I am told that the problem is because I pay to third -party payment. With my old mutual insurance company never disturbed and on the site of this mutual, he indicates that if we pay to third party we are reimbursed directly. I also have colleagues who are in the same case.</v>
      </c>
    </row>
    <row r="31" ht="15.75" customHeight="1">
      <c r="A31" s="2">
        <v>1.0</v>
      </c>
      <c r="B31" s="2" t="s">
        <v>143</v>
      </c>
      <c r="C31" s="2" t="s">
        <v>144</v>
      </c>
      <c r="D31" s="2" t="s">
        <v>80</v>
      </c>
      <c r="E31" s="2" t="s">
        <v>81</v>
      </c>
      <c r="F31" s="2" t="s">
        <v>15</v>
      </c>
      <c r="G31" s="2" t="s">
        <v>145</v>
      </c>
      <c r="H31" s="2" t="s">
        <v>146</v>
      </c>
      <c r="I31" s="2" t="str">
        <f>IFERROR(__xludf.DUMMYFUNCTION("GOOGLETRANSLATE(C31,""fr"",""en"")"),"Hello, just to say that my companion's file comes was recorded just a week ago, I am told that there are about 4 to 5 weeks. And seeing the comments I get afraid. My companion and on stop following an operation in November 2018, the employer has just tran"&amp;"smitted the papers, his bank account is dry and blocked and I also, the situation and more than precarious. We have really had more than one in for two months, barely what to eat and when I explained to my interlocutor she replied that she could nothing, "&amp;"not even put the file urgently, we have two children! So already 4 to 5 weeks it's huge but if it's no longer, we are dead!
We really don't need more problems it's already a cat ...
")</f>
        <v>Hello, just to say that my companion's file comes was recorded just a week ago, I am told that there are about 4 to 5 weeks. And seeing the comments I get afraid. My companion and on stop following an operation in November 2018, the employer has just transmitted the papers, his bank account is dry and blocked and I also, the situation and more than precarious. We have really had more than one in for two months, barely what to eat and when I explained to my interlocutor she replied that she could nothing, not even put the file urgently, we have two children! So already 4 to 5 weeks it's huge but if it's no longer, we are dead!
We really don't need more problems it's already a cat ...
</v>
      </c>
    </row>
    <row r="32" ht="15.75" customHeight="1">
      <c r="A32" s="2">
        <v>1.0</v>
      </c>
      <c r="B32" s="2" t="s">
        <v>147</v>
      </c>
      <c r="C32" s="2" t="s">
        <v>148</v>
      </c>
      <c r="D32" s="2" t="s">
        <v>26</v>
      </c>
      <c r="E32" s="2" t="s">
        <v>65</v>
      </c>
      <c r="F32" s="2" t="s">
        <v>15</v>
      </c>
      <c r="G32" s="2" t="s">
        <v>149</v>
      </c>
      <c r="H32" s="2" t="s">
        <v>77</v>
      </c>
      <c r="I32" s="2" t="str">
        <f>IFERROR(__xludf.DUMMYFUNCTION("GOOGLETRANSLATE(C32,""fr"",""en"")"),"Flee AXA to take out life insurance. Know that when the death of an AXA life insurance holder, as a beneficiary, despite your requests, AXA does what he wants with this money and communicates an amount that does not justify. You can not verify anything mu"&amp;"st pretext that the customer is the deceased and that it is confidential!
AXA can communicate to you any amount of this insurance by not paying the AV in the last year of the death, in direct debit. In short, flee this non -transparent insurer")</f>
        <v>Flee AXA to take out life insurance. Know that when the death of an AXA life insurance holder, as a beneficiary, despite your requests, AXA does what he wants with this money and communicates an amount that does not justify. You can not verify anything must pretext that the customer is the deceased and that it is confidential!
AXA can communicate to you any amount of this insurance by not paying the AV in the last year of the death, in direct debit. In short, flee this non -transparent insurer</v>
      </c>
    </row>
    <row r="33" ht="15.75" customHeight="1">
      <c r="A33" s="2">
        <v>1.0</v>
      </c>
      <c r="B33" s="2" t="s">
        <v>150</v>
      </c>
      <c r="C33" s="2" t="s">
        <v>151</v>
      </c>
      <c r="D33" s="2" t="s">
        <v>152</v>
      </c>
      <c r="E33" s="2" t="s">
        <v>153</v>
      </c>
      <c r="F33" s="2" t="s">
        <v>15</v>
      </c>
      <c r="G33" s="2" t="s">
        <v>154</v>
      </c>
      <c r="H33" s="2" t="s">
        <v>155</v>
      </c>
      <c r="I33" s="2" t="str">
        <f>IFERROR(__xludf.DUMMYFUNCTION("GOOGLETRANSLATE(C33,""fr"",""en"")"),"Intervention deleted at the request of the Internet user.")</f>
        <v>Intervention deleted at the request of the Internet user.</v>
      </c>
    </row>
    <row r="34" ht="15.75" customHeight="1">
      <c r="A34" s="2">
        <v>1.0</v>
      </c>
      <c r="B34" s="2" t="s">
        <v>156</v>
      </c>
      <c r="C34" s="2" t="s">
        <v>157</v>
      </c>
      <c r="D34" s="2" t="s">
        <v>158</v>
      </c>
      <c r="E34" s="2" t="s">
        <v>14</v>
      </c>
      <c r="F34" s="2" t="s">
        <v>15</v>
      </c>
      <c r="G34" s="2" t="s">
        <v>159</v>
      </c>
      <c r="H34" s="2" t="s">
        <v>39</v>
      </c>
      <c r="I34" s="2" t="str">
        <f>IFERROR(__xludf.DUMMYFUNCTION("GOOGLETRANSLATE(C34,""fr"",""en"")"),"The worst insurance has been for 6 months that I am waiting for the reimbursement of my claim I am walking from service to service. Nobody gives me the same answer and in the end I end up hanging up with my nose. So I'm going to get closer to my lawyer.")</f>
        <v>The worst insurance has been for 6 months that I am waiting for the reimbursement of my claim I am walking from service to service. Nobody gives me the same answer and in the end I end up hanging up with my nose. So I'm going to get closer to my lawyer.</v>
      </c>
    </row>
    <row r="35" ht="15.75" customHeight="1">
      <c r="A35" s="2">
        <v>3.0</v>
      </c>
      <c r="B35" s="2" t="s">
        <v>160</v>
      </c>
      <c r="C35" s="2" t="s">
        <v>161</v>
      </c>
      <c r="D35" s="2" t="s">
        <v>75</v>
      </c>
      <c r="E35" s="2" t="s">
        <v>14</v>
      </c>
      <c r="F35" s="2" t="s">
        <v>15</v>
      </c>
      <c r="G35" s="2" t="s">
        <v>162</v>
      </c>
      <c r="H35" s="2" t="s">
        <v>86</v>
      </c>
      <c r="I35" s="2" t="str">
        <f>IFERROR(__xludf.DUMMYFUNCTION("GOOGLETRANSLATE(C35,""fr"",""en"")"),"I am satisfied with the service, I am satisfied with the price, I will start your organization again to others, I will build loyalty to Direct Insurance for my car insurance.")</f>
        <v>I am satisfied with the service, I am satisfied with the price, I will start your organization again to others, I will build loyalty to Direct Insurance for my car insurance.</v>
      </c>
    </row>
    <row r="36" ht="15.75" customHeight="1">
      <c r="A36" s="2">
        <v>1.0</v>
      </c>
      <c r="B36" s="2" t="s">
        <v>163</v>
      </c>
      <c r="C36" s="2" t="s">
        <v>164</v>
      </c>
      <c r="D36" s="2" t="s">
        <v>75</v>
      </c>
      <c r="E36" s="2" t="s">
        <v>14</v>
      </c>
      <c r="F36" s="2" t="s">
        <v>15</v>
      </c>
      <c r="G36" s="2" t="s">
        <v>165</v>
      </c>
      <c r="H36" s="2" t="s">
        <v>98</v>
      </c>
      <c r="I36" s="2" t="str">
        <f>IFERROR(__xludf.DUMMYFUNCTION("GOOGLETRANSLATE(C36,""fr"",""en"")"),"What are the reasons for increasing my car insurance premium? The contract does last year as a young driver was at a price lower than that of this year, knowing that I am more under probationary license, so that should lower the price following the logic "&amp;"... after 3 years of license without incidents ....")</f>
        <v>What are the reasons for increasing my car insurance premium? The contract does last year as a young driver was at a price lower than that of this year, knowing that I am more under probationary license, so that should lower the price following the logic ... after 3 years of license without incidents ....</v>
      </c>
    </row>
    <row r="37" ht="15.75" customHeight="1">
      <c r="A37" s="2">
        <v>5.0</v>
      </c>
      <c r="B37" s="2" t="s">
        <v>166</v>
      </c>
      <c r="C37" s="2" t="s">
        <v>167</v>
      </c>
      <c r="D37" s="2" t="s">
        <v>37</v>
      </c>
      <c r="E37" s="2" t="s">
        <v>14</v>
      </c>
      <c r="F37" s="2" t="s">
        <v>15</v>
      </c>
      <c r="G37" s="2" t="s">
        <v>98</v>
      </c>
      <c r="H37" s="2" t="s">
        <v>98</v>
      </c>
      <c r="I37" s="2" t="str">
        <f>IFERROR(__xludf.DUMMYFUNCTION("GOOGLETRANSLATE(C37,""fr"",""en"")"),"The contract has just started therefore difficult to do this notice to see in the future if the guarantees are up to what the insurer claims.")</f>
        <v>The contract has just started therefore difficult to do this notice to see in the future if the guarantees are up to what the insurer claims.</v>
      </c>
    </row>
    <row r="38" ht="15.75" customHeight="1">
      <c r="A38" s="2">
        <v>2.0</v>
      </c>
      <c r="B38" s="2" t="s">
        <v>168</v>
      </c>
      <c r="C38" s="2" t="s">
        <v>169</v>
      </c>
      <c r="D38" s="2" t="s">
        <v>158</v>
      </c>
      <c r="E38" s="2" t="s">
        <v>21</v>
      </c>
      <c r="F38" s="2" t="s">
        <v>15</v>
      </c>
      <c r="G38" s="2" t="s">
        <v>170</v>
      </c>
      <c r="H38" s="2" t="s">
        <v>83</v>
      </c>
      <c r="I38" s="2" t="str">
        <f>IFERROR(__xludf.DUMMYFUNCTION("GOOGLETRANSLATE(C38,""fr"",""en"")"),"The latest Maif advertising campaign made me laugh yellow. Indeed, you find it normal to have to reclaim what you are entitled to? WE NEITHER.
In a dilapidated Parisian second home, and where there are many water leaks on all floors, being on the first f"&amp;"loor I undergo the sinister from the upper floors. Having done at my expense the work necessary to secure water driving, I am not the cause of any claim, but I have damage from the upper floors.
Insured at MAIF for about 40 years I contacted the service "&amp;"concerned by transmitting the observation established with the owner of the third floor who recognizes his responsibility. After a very good contact, I receive a written confirmation of the MAIF indicating that the damage is taken into account for a lump "&amp;"sum of 400. I understand that such a sum can jeopardize the financial balance of the MAIF! But that suits me due to the extent of the damage and my ability to take care of them.
Some time after a very unpleasant person tells me, I quote ""that I have not"&amp;"hing to do with anything because I am only assured at third party and therefore only for the damage that my apartment would occasion to others"". Building and nervousness on my part, because it is the double penalty, I did the work for my apartment and I "&amp;"have to bear the costs of the others who did not do it.
In addition by following the logic of my insured apartment at the third party, that should not be a problem to turn to the insurance of the third floor apartment? Otherwise tell me what is the use o"&amp;"f this insurance which does not even defend its members?
My lawyer follows this very closely, in particular on the initially notified and then denied commitment.
That this edifying example serves as a lesson for those who will read it.
When I think o"&amp;"f my teachers' parents, who volunteered a long time ago from the door to carry the MAIF member ideal, they have to turn into their graves. And it's very sad.
")</f>
        <v>The latest Maif advertising campaign made me laugh yellow. Indeed, you find it normal to have to reclaim what you are entitled to? WE NEITHER.
In a dilapidated Parisian second home, and where there are many water leaks on all floors, being on the first floor I undergo the sinister from the upper floors. Having done at my expense the work necessary to secure water driving, I am not the cause of any claim, but I have damage from the upper floors.
Insured at MAIF for about 40 years I contacted the service concerned by transmitting the observation established with the owner of the third floor who recognizes his responsibility. After a very good contact, I receive a written confirmation of the MAIF indicating that the damage is taken into account for a lump sum of 400. I understand that such a sum can jeopardize the financial balance of the MAIF! But that suits me due to the extent of the damage and my ability to take care of them.
Some time after a very unpleasant person tells me, I quote "that I have nothing to do with anything because I am only assured at third party and therefore only for the damage that my apartment would occasion to others". Building and nervousness on my part, because it is the double penalty, I did the work for my apartment and I have to bear the costs of the others who did not do it.
In addition by following the logic of my insured apartment at the third party, that should not be a problem to turn to the insurance of the third floor apartment? Otherwise tell me what is the use of this insurance which does not even defend its members?
My lawyer follows this very closely, in particular on the initially notified and then denied commitment.
That this edifying example serves as a lesson for those who will read it.
When I think of my teachers' parents, who volunteered a long time ago from the door to carry the MAIF member ideal, they have to turn into their graves. And it's very sad.
</v>
      </c>
    </row>
    <row r="39" ht="15.75" customHeight="1">
      <c r="A39" s="2">
        <v>4.0</v>
      </c>
      <c r="B39" s="2" t="s">
        <v>171</v>
      </c>
      <c r="C39" s="2" t="s">
        <v>172</v>
      </c>
      <c r="D39" s="2" t="s">
        <v>173</v>
      </c>
      <c r="E39" s="2" t="s">
        <v>32</v>
      </c>
      <c r="F39" s="2" t="s">
        <v>15</v>
      </c>
      <c r="G39" s="2" t="s">
        <v>174</v>
      </c>
      <c r="H39" s="2" t="s">
        <v>175</v>
      </c>
      <c r="I39" s="2" t="str">
        <f>IFERROR(__xludf.DUMMYFUNCTION("GOOGLETRANSLATE(C39,""fr"",""en"")"),"I was received on the phone by Caroline Person very pleasant, very friendly, very effective in the processing of my request, if all the telephone operators could be like her, her would be magnificent !!! Thank you for your welcome and your good humor.")</f>
        <v>I was received on the phone by Caroline Person very pleasant, very friendly, very effective in the processing of my request, if all the telephone operators could be like her, her would be magnificent !!! Thank you for your welcome and your good humor.</v>
      </c>
    </row>
    <row r="40" ht="15.75" customHeight="1">
      <c r="A40" s="2">
        <v>4.0</v>
      </c>
      <c r="B40" s="2" t="s">
        <v>176</v>
      </c>
      <c r="C40" s="2" t="s">
        <v>177</v>
      </c>
      <c r="D40" s="2" t="s">
        <v>37</v>
      </c>
      <c r="E40" s="2" t="s">
        <v>14</v>
      </c>
      <c r="F40" s="2" t="s">
        <v>15</v>
      </c>
      <c r="G40" s="2" t="s">
        <v>178</v>
      </c>
      <c r="H40" s="2" t="s">
        <v>67</v>
      </c>
      <c r="I40" s="2" t="str">
        <f>IFERROR(__xludf.DUMMYFUNCTION("GOOGLETRANSLATE(C40,""fr"",""en"")"),"Until this day everything is ok, as long as it lasts.
Interesting price, a pity that the franchises are high.
And why put a hundred and fifty characters minimum, it's too much :)")</f>
        <v>Until this day everything is ok, as long as it lasts.
Interesting price, a pity that the franchises are high.
And why put a hundred and fifty characters minimum, it's too much :)</v>
      </c>
    </row>
    <row r="41" ht="15.75" customHeight="1">
      <c r="A41" s="2">
        <v>5.0</v>
      </c>
      <c r="B41" s="2" t="s">
        <v>179</v>
      </c>
      <c r="C41" s="2" t="s">
        <v>180</v>
      </c>
      <c r="D41" s="2" t="s">
        <v>173</v>
      </c>
      <c r="E41" s="2" t="s">
        <v>32</v>
      </c>
      <c r="F41" s="2" t="s">
        <v>15</v>
      </c>
      <c r="G41" s="2" t="s">
        <v>181</v>
      </c>
      <c r="H41" s="2" t="s">
        <v>72</v>
      </c>
      <c r="I41" s="2" t="str">
        <f>IFERROR(__xludf.DUMMYFUNCTION("GOOGLETRANSLATE(C41,""fr"",""en"")"),"Very good customer service with melly nothing to reproach
Very good support.")</f>
        <v>Very good customer service with melly nothing to reproach
Very good support.</v>
      </c>
    </row>
    <row r="42" ht="15.75" customHeight="1">
      <c r="A42" s="2">
        <v>1.0</v>
      </c>
      <c r="B42" s="2" t="s">
        <v>182</v>
      </c>
      <c r="C42" s="2" t="s">
        <v>183</v>
      </c>
      <c r="D42" s="2" t="s">
        <v>184</v>
      </c>
      <c r="E42" s="2" t="s">
        <v>96</v>
      </c>
      <c r="F42" s="2" t="s">
        <v>15</v>
      </c>
      <c r="G42" s="2" t="s">
        <v>185</v>
      </c>
      <c r="H42" s="2" t="s">
        <v>186</v>
      </c>
      <c r="I42" s="2" t="str">
        <f>IFERROR(__xludf.DUMMYFUNCTION("GOOGLETRANSLATE(C42,""fr"",""en"")"),"To contact them, overcrowd number. After 5 minutes of waiting, the telechewereer plays the poor quality of the line, that she does not hear me, that the sound is jerky that it only hears one word in two. My phone was working just before and just after and"&amp;" I hear her colleagues perfectly behind her. And when I tell him that I do not call a laptop but a fixed pouf, it hangs up.")</f>
        <v>To contact them, overcrowd number. After 5 minutes of waiting, the telechewereer plays the poor quality of the line, that she does not hear me, that the sound is jerky that it only hears one word in two. My phone was working just before and just after and I hear her colleagues perfectly behind her. And when I tell him that I do not call a laptop but a fixed pouf, it hangs up.</v>
      </c>
    </row>
    <row r="43" ht="15.75" customHeight="1">
      <c r="A43" s="2">
        <v>1.0</v>
      </c>
      <c r="B43" s="2" t="s">
        <v>187</v>
      </c>
      <c r="C43" s="2" t="s">
        <v>188</v>
      </c>
      <c r="D43" s="2" t="s">
        <v>158</v>
      </c>
      <c r="E43" s="2" t="s">
        <v>14</v>
      </c>
      <c r="F43" s="2" t="s">
        <v>15</v>
      </c>
      <c r="G43" s="2" t="s">
        <v>189</v>
      </c>
      <c r="H43" s="2" t="s">
        <v>83</v>
      </c>
      <c r="I43" s="2" t="str">
        <f>IFERROR(__xludf.DUMMYFUNCTION("GOOGLETRANSLATE(C43,""fr"",""en"")"),"Client previously convinced of MAIF but now very very disappointed due to an abusive and unilateral termination of all our contracts (!) For an incomprehensible reason: impossible to settle this ubiquitous situation (""The decision was taken at the siege"&amp;"""): No sense of humans, dialogue: deep disappointment!")</f>
        <v>Client previously convinced of MAIF but now very very disappointed due to an abusive and unilateral termination of all our contracts (!) For an incomprehensible reason: impossible to settle this ubiquitous situation ("The decision was taken at the siege"): No sense of humans, dialogue: deep disappointment!</v>
      </c>
    </row>
    <row r="44" ht="15.75" customHeight="1">
      <c r="A44" s="2">
        <v>3.0</v>
      </c>
      <c r="B44" s="2" t="s">
        <v>190</v>
      </c>
      <c r="C44" s="2" t="s">
        <v>191</v>
      </c>
      <c r="D44" s="2" t="s">
        <v>75</v>
      </c>
      <c r="E44" s="2" t="s">
        <v>14</v>
      </c>
      <c r="F44" s="2" t="s">
        <v>15</v>
      </c>
      <c r="G44" s="2" t="s">
        <v>192</v>
      </c>
      <c r="H44" s="2" t="s">
        <v>193</v>
      </c>
      <c r="I44" s="2" t="str">
        <f>IFERROR(__xludf.DUMMYFUNCTION("GOOGLETRANSLATE(C44,""fr"",""en"")"),"Home and services are perfect.
In 4 years prices have increased by 27% and even this year despite the health crisis.
I plan to continue my contract")</f>
        <v>Home and services are perfect.
In 4 years prices have increased by 27% and even this year despite the health crisis.
I plan to continue my contract</v>
      </c>
    </row>
    <row r="45" ht="15.75" customHeight="1">
      <c r="A45" s="2">
        <v>1.0</v>
      </c>
      <c r="B45" s="2" t="s">
        <v>194</v>
      </c>
      <c r="C45" s="2" t="s">
        <v>195</v>
      </c>
      <c r="D45" s="2" t="s">
        <v>75</v>
      </c>
      <c r="E45" s="2" t="s">
        <v>14</v>
      </c>
      <c r="F45" s="2" t="s">
        <v>15</v>
      </c>
      <c r="G45" s="2" t="s">
        <v>196</v>
      </c>
      <c r="H45" s="2" t="s">
        <v>193</v>
      </c>
      <c r="I45" s="2" t="str">
        <f>IFERROR(__xludf.DUMMYFUNCTION("GOOGLETRANSLATE(C45,""fr"",""en"")"),"You should be ashamed, because when we look more ready for the general conditions it is scandalous I have never seen that you take advantage of the difficulties of people to offer them affordable prices is still but when you have a sinister given the Sum "&amp;"you claim you will bury people at this time.
You know I work in the automobile and I have to meet around thirty people and when they tell me that they are insured at home I warn them and tell them to take a look at your way of doing things and on your co"&amp;"nditions.")</f>
        <v>You should be ashamed, because when we look more ready for the general conditions it is scandalous I have never seen that you take advantage of the difficulties of people to offer them affordable prices is still but when you have a sinister given the Sum you claim you will bury people at this time.
You know I work in the automobile and I have to meet around thirty people and when they tell me that they are insured at home I warn them and tell them to take a look at your way of doing things and on your conditions.</v>
      </c>
    </row>
    <row r="46" ht="15.75" customHeight="1">
      <c r="A46" s="2">
        <v>1.0</v>
      </c>
      <c r="B46" s="2" t="s">
        <v>197</v>
      </c>
      <c r="C46" s="2" t="s">
        <v>198</v>
      </c>
      <c r="D46" s="2" t="s">
        <v>199</v>
      </c>
      <c r="E46" s="2" t="s">
        <v>32</v>
      </c>
      <c r="F46" s="2" t="s">
        <v>15</v>
      </c>
      <c r="G46" s="2" t="s">
        <v>200</v>
      </c>
      <c r="H46" s="2" t="s">
        <v>201</v>
      </c>
      <c r="I46" s="2" t="str">
        <f>IFERROR(__xludf.DUMMYFUNCTION("GOOGLETRANSLATE(C46,""fr"",""en"")"),"excessive reimbursement deadlines, no reimbursement note, when there is a reimbursement there is a global no detail, we do not know what it corresponds to is the mess, and we are not talking about the phone it is a galley for get them ........ to flee")</f>
        <v>excessive reimbursement deadlines, no reimbursement note, when there is a reimbursement there is a global no detail, we do not know what it corresponds to is the mess, and we are not talking about the phone it is a galley for get them ........ to flee</v>
      </c>
    </row>
    <row r="47" ht="15.75" customHeight="1">
      <c r="A47" s="2">
        <v>1.0</v>
      </c>
      <c r="B47" s="2" t="s">
        <v>202</v>
      </c>
      <c r="C47" s="2" t="s">
        <v>203</v>
      </c>
      <c r="D47" s="2" t="s">
        <v>204</v>
      </c>
      <c r="E47" s="2" t="s">
        <v>81</v>
      </c>
      <c r="F47" s="2" t="s">
        <v>15</v>
      </c>
      <c r="G47" s="2" t="s">
        <v>205</v>
      </c>
      <c r="H47" s="2" t="s">
        <v>206</v>
      </c>
      <c r="I47" s="2" t="str">
        <f>IFERROR(__xludf.DUMMYFUNCTION("GOOGLETRANSLATE(C47,""fr"",""en"")"),"A mutual insurance company whose two different advisers tell you that there is no internship period while the mutualist regulations provide for a 12 -month internship before guaranteeing the service, it is not very serious and abusive.")</f>
        <v>A mutual insurance company whose two different advisers tell you that there is no internship period while the mutualist regulations provide for a 12 -month internship before guaranteeing the service, it is not very serious and abusive.</v>
      </c>
    </row>
    <row r="48" ht="15.75" customHeight="1">
      <c r="A48" s="2">
        <v>1.0</v>
      </c>
      <c r="B48" s="2" t="s">
        <v>207</v>
      </c>
      <c r="C48" s="2" t="s">
        <v>208</v>
      </c>
      <c r="D48" s="2" t="s">
        <v>42</v>
      </c>
      <c r="E48" s="2" t="s">
        <v>32</v>
      </c>
      <c r="F48" s="2" t="s">
        <v>15</v>
      </c>
      <c r="G48" s="2" t="s">
        <v>209</v>
      </c>
      <c r="H48" s="2" t="s">
        <v>210</v>
      </c>
      <c r="I48" s="2" t="str">
        <f>IFERROR(__xludf.DUMMYFUNCTION("GOOGLETRANSLATE(C48,""fr"",""en"")"),"More complicated in terms of administration it is difficult to possible, I do not recognize quality in the service. Apart from ""fun"" when you want to contact them to create an account because their passwords are already exceeded and they tell you a nonc"&amp;"halant tuna: ""Create an account to send us an email""")</f>
        <v>More complicated in terms of administration it is difficult to possible, I do not recognize quality in the service. Apart from "fun" when you want to contact them to create an account because their passwords are already exceeded and they tell you a nonchalant tuna: "Create an account to send us an email"</v>
      </c>
    </row>
    <row r="49" ht="15.75" customHeight="1">
      <c r="A49" s="2">
        <v>2.0</v>
      </c>
      <c r="B49" s="2" t="s">
        <v>211</v>
      </c>
      <c r="C49" s="2" t="s">
        <v>212</v>
      </c>
      <c r="D49" s="2" t="s">
        <v>70</v>
      </c>
      <c r="E49" s="2" t="s">
        <v>14</v>
      </c>
      <c r="F49" s="2" t="s">
        <v>15</v>
      </c>
      <c r="G49" s="2" t="s">
        <v>213</v>
      </c>
      <c r="H49" s="2" t="s">
        <v>83</v>
      </c>
      <c r="I49" s="2" t="str">
        <f>IFERROR(__xludf.DUMMYFUNCTION("GOOGLETRANSLATE(C49,""fr"",""en"")"),"A member for my 18 years at the GMF with my credit with a non -responsible accident and simple broken ice. I underwent an attack on a rodent on the entire engine wiring for an almost new vehicle with damage to three thousand euros. Naievely being assured "&amp;"of all risks and this situation not falling under a contractual exclusion clause I thought I could benefit from an assured care. Refused, because no shock. I therefore after many mediations to use a legal litigation which was unfavorable to me confirming "&amp;"the absence of shock, even if obvious, the shock situation did not correspond at all to the situation concerning me, but the damage Well present them. Under these conditions, why don't tell us clearly that we only cover accidents in all risks. We are obli"&amp;"ged to wait to be confronted with the particular situation to see a non -management. What interest in putting exclusion clauses, if apart from these said clauses, we still exclude care. The GMF preferred to spend its money in lawyer costs rather than to s"&amp;"ay to me as a first intention. What a good customer management and good financial management. Anyway as long as you pay without sinister its contribution everything is fine. As soon as you express your loss outside an accident, a wall opposes you without "&amp;"a possible dialogue with the Delocated claims management service in Paris. Certainly human, my eye.")</f>
        <v>A member for my 18 years at the GMF with my credit with a non -responsible accident and simple broken ice. I underwent an attack on a rodent on the entire engine wiring for an almost new vehicle with damage to three thousand euros. Naievely being assured of all risks and this situation not falling under a contractual exclusion clause I thought I could benefit from an assured care. Refused, because no shock. I therefore after many mediations to use a legal litigation which was unfavorable to me confirming the absence of shock, even if obvious, the shock situation did not correspond at all to the situation concerning me, but the damage Well present them. Under these conditions, why don't tell us clearly that we only cover accidents in all risks. We are obliged to wait to be confronted with the particular situation to see a non -management. What interest in putting exclusion clauses, if apart from these said clauses, we still exclude care. The GMF preferred to spend its money in lawyer costs rather than to say to me as a first intention. What a good customer management and good financial management. Anyway as long as you pay without sinister its contribution everything is fine. As soon as you express your loss outside an accident, a wall opposes you without a possible dialogue with the Delocated claims management service in Paris. Certainly human, my eye.</v>
      </c>
    </row>
    <row r="50" ht="15.75" customHeight="1">
      <c r="A50" s="2">
        <v>3.0</v>
      </c>
      <c r="B50" s="2" t="s">
        <v>214</v>
      </c>
      <c r="C50" s="2" t="s">
        <v>215</v>
      </c>
      <c r="D50" s="2" t="s">
        <v>37</v>
      </c>
      <c r="E50" s="2" t="s">
        <v>14</v>
      </c>
      <c r="F50" s="2" t="s">
        <v>15</v>
      </c>
      <c r="G50" s="2" t="s">
        <v>216</v>
      </c>
      <c r="H50" s="2" t="s">
        <v>86</v>
      </c>
      <c r="I50" s="2" t="str">
        <f>IFERROR(__xludf.DUMMYFUNCTION("GOOGLETRANSLATE(C50,""fr"",""en"")"),"Very good information
Excellence exchange with my interlocutor
I would then see to probably take other contracts if it satisfies me")</f>
        <v>Very good information
Excellence exchange with my interlocutor
I would then see to probably take other contracts if it satisfies me</v>
      </c>
    </row>
    <row r="51" ht="15.75" customHeight="1">
      <c r="A51" s="2">
        <v>4.0</v>
      </c>
      <c r="B51" s="2" t="s">
        <v>217</v>
      </c>
      <c r="C51" s="2" t="s">
        <v>218</v>
      </c>
      <c r="D51" s="2" t="s">
        <v>75</v>
      </c>
      <c r="E51" s="2" t="s">
        <v>14</v>
      </c>
      <c r="F51" s="2" t="s">
        <v>15</v>
      </c>
      <c r="G51" s="2" t="s">
        <v>39</v>
      </c>
      <c r="H51" s="2" t="s">
        <v>39</v>
      </c>
      <c r="I51" s="2" t="str">
        <f>IFERROR(__xludf.DUMMYFUNCTION("GOOGLETRANSLATE(C51,""fr"",""en"")"),"Service that seems satisfactory
A lot of questions about You Drive, while waiting to see the practice
On the other hand, too bad, not to have the same advisor on the entire customer journey ... The first was perfect, the second ... much less ...")</f>
        <v>Service that seems satisfactory
A lot of questions about You Drive, while waiting to see the practice
On the other hand, too bad, not to have the same advisor on the entire customer journey ... The first was perfect, the second ... much less ...</v>
      </c>
    </row>
    <row r="52" ht="15.75" customHeight="1">
      <c r="A52" s="2">
        <v>1.0</v>
      </c>
      <c r="B52" s="2" t="s">
        <v>219</v>
      </c>
      <c r="C52" s="2" t="s">
        <v>220</v>
      </c>
      <c r="D52" s="2" t="s">
        <v>221</v>
      </c>
      <c r="E52" s="2" t="s">
        <v>21</v>
      </c>
      <c r="F52" s="2" t="s">
        <v>15</v>
      </c>
      <c r="G52" s="2" t="s">
        <v>222</v>
      </c>
      <c r="H52" s="2" t="s">
        <v>223</v>
      </c>
      <c r="I52" s="2" t="str">
        <f>IFERROR(__xludf.DUMMYFUNCTION("GOOGLETRANSLATE(C52,""fr"",""en"")"),"Sinister open a month ago for the roof but still not planned that it leaves it !!
I have a tarpaulin in the meantime, which makes a monster noise at night, always my hole on the ceiling, always my tiles less, new leaks and above all it is cold in the hou"&amp;"se.
They received the quote from the craftsman two weeks ago and after 15 days of reflection, rather decide to involve an expert (so I'm waiting for this appointment but in how long ...), to redo a quote etc. ...
")</f>
        <v>Sinister open a month ago for the roof but still not planned that it leaves it !!
I have a tarpaulin in the meantime, which makes a monster noise at night, always my hole on the ceiling, always my tiles less, new leaks and above all it is cold in the house.
They received the quote from the craftsman two weeks ago and after 15 days of reflection, rather decide to involve an expert (so I'm waiting for this appointment but in how long ...), to redo a quote etc. ...
</v>
      </c>
    </row>
    <row r="53" ht="15.75" customHeight="1">
      <c r="A53" s="2">
        <v>5.0</v>
      </c>
      <c r="B53" s="2" t="s">
        <v>224</v>
      </c>
      <c r="C53" s="2" t="s">
        <v>225</v>
      </c>
      <c r="D53" s="2" t="s">
        <v>37</v>
      </c>
      <c r="E53" s="2" t="s">
        <v>14</v>
      </c>
      <c r="F53" s="2" t="s">
        <v>15</v>
      </c>
      <c r="G53" s="2" t="s">
        <v>226</v>
      </c>
      <c r="H53" s="2" t="s">
        <v>28</v>
      </c>
      <c r="I53" s="2" t="str">
        <f>IFERROR(__xludf.DUMMYFUNCTION("GOOGLETRANSLATE(C53,""fr"",""en"")"),"I have just subscribed and I am satisfied with the proposed prices which make me save considerably compared to my old insurance. I am waiting to see the effectiveness of the olive tree if unfortunately occurs a disaster ...")</f>
        <v>I have just subscribed and I am satisfied with the proposed prices which make me save considerably compared to my old insurance. I am waiting to see the effectiveness of the olive tree if unfortunately occurs a disaster ...</v>
      </c>
    </row>
    <row r="54" ht="15.75" customHeight="1">
      <c r="A54" s="2">
        <v>5.0</v>
      </c>
      <c r="B54" s="2" t="s">
        <v>227</v>
      </c>
      <c r="C54" s="2" t="s">
        <v>228</v>
      </c>
      <c r="D54" s="2" t="s">
        <v>229</v>
      </c>
      <c r="E54" s="2" t="s">
        <v>96</v>
      </c>
      <c r="F54" s="2" t="s">
        <v>15</v>
      </c>
      <c r="G54" s="2" t="s">
        <v>230</v>
      </c>
      <c r="H54" s="2" t="s">
        <v>111</v>
      </c>
      <c r="I54" s="2" t="str">
        <f>IFERROR(__xludf.DUMMYFUNCTION("GOOGLETRANSLATE(C54,""fr"",""en"")"),"It is the insurance that offered me the best guarantees at the best price, I hope I never have a claim to judge their efficiency. In any case, the staff are available, listening and responsive.")</f>
        <v>It is the insurance that offered me the best guarantees at the best price, I hope I never have a claim to judge their efficiency. In any case, the staff are available, listening and responsive.</v>
      </c>
    </row>
    <row r="55" ht="15.75" customHeight="1">
      <c r="A55" s="2">
        <v>1.0</v>
      </c>
      <c r="B55" s="2" t="s">
        <v>231</v>
      </c>
      <c r="C55" s="2" t="s">
        <v>232</v>
      </c>
      <c r="D55" s="2" t="s">
        <v>233</v>
      </c>
      <c r="E55" s="2" t="s">
        <v>32</v>
      </c>
      <c r="F55" s="2" t="s">
        <v>15</v>
      </c>
      <c r="G55" s="2" t="s">
        <v>72</v>
      </c>
      <c r="H55" s="2" t="s">
        <v>72</v>
      </c>
      <c r="I55" s="2" t="str">
        <f>IFERROR(__xludf.DUMMYFUNCTION("GOOGLETRANSLATE(C55,""fr"",""en"")"),"A catal for reimbursements We are waiting for ages we are walking at such by saying that it is processed more than three weeks after a request for reimbursement still nothing on the account. I will send them my bank costs because it is not the first time "&amp;"!!! To flee.")</f>
        <v>A catal for reimbursements We are waiting for ages we are walking at such by saying that it is processed more than three weeks after a request for reimbursement still nothing on the account. I will send them my bank costs because it is not the first time !!! To flee.</v>
      </c>
    </row>
    <row r="56" ht="15.75" customHeight="1">
      <c r="A56" s="2">
        <v>5.0</v>
      </c>
      <c r="B56" s="2" t="s">
        <v>234</v>
      </c>
      <c r="C56" s="2" t="s">
        <v>235</v>
      </c>
      <c r="D56" s="2" t="s">
        <v>75</v>
      </c>
      <c r="E56" s="2" t="s">
        <v>14</v>
      </c>
      <c r="F56" s="2" t="s">
        <v>15</v>
      </c>
      <c r="G56" s="2" t="s">
        <v>236</v>
      </c>
      <c r="H56" s="2" t="s">
        <v>28</v>
      </c>
      <c r="I56" s="2" t="str">
        <f>IFERROR(__xludf.DUMMYFUNCTION("GOOGLETRANSLATE(C56,""fr"",""en"")"),"I am very satisfied with the service, excellent welcome from the person on the phone.
The service offered meets my expectations.
Thank you.
Cordially")</f>
        <v>I am very satisfied with the service, excellent welcome from the person on the phone.
The service offered meets my expectations.
Thank you.
Cordially</v>
      </c>
    </row>
    <row r="57" ht="15.75" customHeight="1">
      <c r="A57" s="2">
        <v>5.0</v>
      </c>
      <c r="B57" s="2" t="s">
        <v>237</v>
      </c>
      <c r="C57" s="2" t="s">
        <v>238</v>
      </c>
      <c r="D57" s="2" t="s">
        <v>75</v>
      </c>
      <c r="E57" s="2" t="s">
        <v>14</v>
      </c>
      <c r="F57" s="2" t="s">
        <v>15</v>
      </c>
      <c r="G57" s="2" t="s">
        <v>239</v>
      </c>
      <c r="H57" s="2" t="s">
        <v>193</v>
      </c>
      <c r="I57" s="2" t="str">
        <f>IFERROR(__xludf.DUMMYFUNCTION("GOOGLETRANSLATE(C57,""fr"",""en"")"),"I have only started to get my contracts with Direct Insurance, but for the moment I am very happy with the proportionate service. I still have home insurance and soon motorcycle insurance but I am really happy to be at home!")</f>
        <v>I have only started to get my contracts with Direct Insurance, but for the moment I am very happy with the proportionate service. I still have home insurance and soon motorcycle insurance but I am really happy to be at home!</v>
      </c>
    </row>
    <row r="58" ht="15.75" customHeight="1">
      <c r="A58" s="2">
        <v>1.0</v>
      </c>
      <c r="B58" s="2" t="s">
        <v>240</v>
      </c>
      <c r="C58" s="2" t="s">
        <v>241</v>
      </c>
      <c r="D58" s="2" t="s">
        <v>242</v>
      </c>
      <c r="E58" s="2" t="s">
        <v>14</v>
      </c>
      <c r="F58" s="2" t="s">
        <v>15</v>
      </c>
      <c r="G58" s="2" t="s">
        <v>243</v>
      </c>
      <c r="H58" s="2" t="s">
        <v>244</v>
      </c>
      <c r="I58" s="2" t="str">
        <f>IFERROR(__xludf.DUMMYFUNCTION("GOOGLETRANSLATE(C58,""fr"",""en"")"),"To flee without asking for your rest for those who are lucky enough not to fall into their nets yet. I cannot explicitly say what I think of their method the law being what it is, because to read all the post I revisit my mishap which is still not over.
"&amp;"I await a response from the Furet.com which put me in touch with these them, in all ways there is no question that they are doing so good account.")</f>
        <v>To flee without asking for your rest for those who are lucky enough not to fall into their nets yet. I cannot explicitly say what I think of their method the law being what it is, because to read all the post I revisit my mishap which is still not over.
I await a response from the Furet.com which put me in touch with these them, in all ways there is no question that they are doing so good account.</v>
      </c>
    </row>
    <row r="59" ht="15.75" customHeight="1">
      <c r="A59" s="2">
        <v>1.0</v>
      </c>
      <c r="B59" s="2" t="s">
        <v>245</v>
      </c>
      <c r="C59" s="2" t="s">
        <v>246</v>
      </c>
      <c r="D59" s="2" t="s">
        <v>247</v>
      </c>
      <c r="E59" s="2" t="s">
        <v>32</v>
      </c>
      <c r="F59" s="2" t="s">
        <v>15</v>
      </c>
      <c r="G59" s="2" t="s">
        <v>248</v>
      </c>
      <c r="H59" s="2" t="s">
        <v>249</v>
      </c>
      <c r="I59" s="2" t="str">
        <f>IFERROR(__xludf.DUMMYFUNCTION("GOOGLETRANSLATE(C59,""fr"",""en"")"),"A disaster
My son terminated his contract because he benefits from a business mutual, sends with acknowledgment of receipt. Nothing helps, they don't want to hear anything. He continues to send him the schedule for 2021 with threats if he does not pay hi"&amp;"s deadlines. As for me, they have just interrupted remote transmission with my insurance insurance fund
Big delay on my reimbursements
 To flee urgently")</f>
        <v>A disaster
My son terminated his contract because he benefits from a business mutual, sends with acknowledgment of receipt. Nothing helps, they don't want to hear anything. He continues to send him the schedule for 2021 with threats if he does not pay his deadlines. As for me, they have just interrupted remote transmission with my insurance insurance fund
Big delay on my reimbursements
 To flee urgently</v>
      </c>
    </row>
    <row r="60" ht="15.75" customHeight="1">
      <c r="A60" s="2">
        <v>4.0</v>
      </c>
      <c r="B60" s="2" t="s">
        <v>250</v>
      </c>
      <c r="C60" s="2" t="s">
        <v>251</v>
      </c>
      <c r="D60" s="2" t="s">
        <v>37</v>
      </c>
      <c r="E60" s="2" t="s">
        <v>14</v>
      </c>
      <c r="F60" s="2" t="s">
        <v>15</v>
      </c>
      <c r="G60" s="2" t="s">
        <v>252</v>
      </c>
      <c r="H60" s="2" t="s">
        <v>67</v>
      </c>
      <c r="I60" s="2" t="str">
        <f>IFERROR(__xludf.DUMMYFUNCTION("GOOGLETRANSLATE(C60,""fr"",""en"")"),"Going from ""classic"" insurance to the olive tree, I went from 95th to 35th per month for the same guarantees, and greater ease for the searches.")</f>
        <v>Going from "classic" insurance to the olive tree, I went from 95th to 35th per month for the same guarantees, and greater ease for the searches.</v>
      </c>
    </row>
    <row r="61" ht="15.75" customHeight="1">
      <c r="A61" s="2">
        <v>1.0</v>
      </c>
      <c r="B61" s="2" t="s">
        <v>253</v>
      </c>
      <c r="C61" s="2" t="s">
        <v>254</v>
      </c>
      <c r="D61" s="2" t="s">
        <v>75</v>
      </c>
      <c r="E61" s="2" t="s">
        <v>14</v>
      </c>
      <c r="F61" s="2" t="s">
        <v>15</v>
      </c>
      <c r="G61" s="2" t="s">
        <v>255</v>
      </c>
      <c r="H61" s="2" t="s">
        <v>52</v>
      </c>
      <c r="I61" s="2" t="str">
        <f>IFERROR(__xludf.DUMMYFUNCTION("GOOGLETRANSLATE(C61,""fr"",""en"")"),"Being a direct insurance customer, I contacted them as part of a change of vehicle since I found it cheaper than what they offered me on their site in the ""Change vehicle"" section on an insurance comparator, and guess Who ... Direct Insurance!
I take m"&amp;"y phone like any good loyal customer to mention the problem to them. After several minutes of number and call search I come across a customer advisor who ultimately spit out the script that has been taught in call centers in Morocco and says Grosso-Modo: "&amp;"we can do nothing Doing and commitments do not allow you to terminate. Thank you Hamon law, I will now change insurance even if it costs me more but at least I would not be a pigeon that they will succeed in having and to make pay their huge fees of adver"&amp;"tising companions!
I invite you to do the same so that they know that we are not pigeons!")</f>
        <v>Being a direct insurance customer, I contacted them as part of a change of vehicle since I found it cheaper than what they offered me on their site in the "Change vehicle" section on an insurance comparator, and guess Who ... Direct Insurance!
I take my phone like any good loyal customer to mention the problem to them. After several minutes of number and call search I come across a customer advisor who ultimately spit out the script that has been taught in call centers in Morocco and says Grosso-Modo: we can do nothing Doing and commitments do not allow you to terminate. Thank you Hamon law, I will now change insurance even if it costs me more but at least I would not be a pigeon that they will succeed in having and to make pay their huge fees of advertising companions!
I invite you to do the same so that they know that we are not pigeons!</v>
      </c>
    </row>
    <row r="62" ht="15.75" customHeight="1">
      <c r="A62" s="2">
        <v>4.0</v>
      </c>
      <c r="B62" s="2" t="s">
        <v>256</v>
      </c>
      <c r="C62" s="2" t="s">
        <v>257</v>
      </c>
      <c r="D62" s="2" t="s">
        <v>37</v>
      </c>
      <c r="E62" s="2" t="s">
        <v>14</v>
      </c>
      <c r="F62" s="2" t="s">
        <v>15</v>
      </c>
      <c r="G62" s="2" t="s">
        <v>258</v>
      </c>
      <c r="H62" s="2" t="s">
        <v>98</v>
      </c>
      <c r="I62" s="2" t="str">
        <f>IFERROR(__xludf.DUMMYFUNCTION("GOOGLETRANSLATE(C62,""fr"",""en"")"),"For the moment I am fully satisfied especially with regard to the price and the rappidity with which you have dealt with the file, I will not fail to order my friends.")</f>
        <v>For the moment I am fully satisfied especially with regard to the price and the rappidity with which you have dealt with the file, I will not fail to order my friends.</v>
      </c>
    </row>
    <row r="63" ht="15.75" customHeight="1">
      <c r="A63" s="2">
        <v>5.0</v>
      </c>
      <c r="B63" s="2" t="s">
        <v>259</v>
      </c>
      <c r="C63" s="2" t="s">
        <v>260</v>
      </c>
      <c r="D63" s="2" t="s">
        <v>37</v>
      </c>
      <c r="E63" s="2" t="s">
        <v>14</v>
      </c>
      <c r="F63" s="2" t="s">
        <v>15</v>
      </c>
      <c r="G63" s="2" t="s">
        <v>261</v>
      </c>
      <c r="H63" s="2" t="s">
        <v>61</v>
      </c>
      <c r="I63" s="2" t="str">
        <f>IFERROR(__xludf.DUMMYFUNCTION("GOOGLETRANSLATE(C63,""fr"",""en"")"),"Super welcome, excellent responsiveness, easy contact I highly recommend, the answers to my questions treated very quickly, very satisfactory.")</f>
        <v>Super welcome, excellent responsiveness, easy contact I highly recommend, the answers to my questions treated very quickly, very satisfactory.</v>
      </c>
    </row>
    <row r="64" ht="15.75" customHeight="1">
      <c r="A64" s="2">
        <v>2.0</v>
      </c>
      <c r="B64" s="2" t="s">
        <v>262</v>
      </c>
      <c r="C64" s="2" t="s">
        <v>263</v>
      </c>
      <c r="D64" s="2" t="s">
        <v>75</v>
      </c>
      <c r="E64" s="2" t="s">
        <v>14</v>
      </c>
      <c r="F64" s="2" t="s">
        <v>15</v>
      </c>
      <c r="G64" s="2" t="s">
        <v>264</v>
      </c>
      <c r="H64" s="2" t="s">
        <v>83</v>
      </c>
      <c r="I64" s="2" t="str">
        <f>IFERROR(__xludf.DUMMYFUNCTION("GOOGLETRANSLATE(C64,""fr"",""en"")"),"I strongly advise against this insurance does not process the files and make their client pear")</f>
        <v>I strongly advise against this insurance does not process the files and make their client pear</v>
      </c>
    </row>
    <row r="65" ht="15.75" customHeight="1">
      <c r="A65" s="2">
        <v>3.0</v>
      </c>
      <c r="B65" s="2" t="s">
        <v>265</v>
      </c>
      <c r="C65" s="2" t="s">
        <v>266</v>
      </c>
      <c r="D65" s="2" t="s">
        <v>37</v>
      </c>
      <c r="E65" s="2" t="s">
        <v>14</v>
      </c>
      <c r="F65" s="2" t="s">
        <v>15</v>
      </c>
      <c r="G65" s="2" t="s">
        <v>267</v>
      </c>
      <c r="H65" s="2" t="s">
        <v>86</v>
      </c>
      <c r="I65" s="2" t="str">
        <f>IFERROR(__xludf.DUMMYFUNCTION("GOOGLETRANSLATE(C65,""fr"",""en"")"),"The price is a little expensive but I win in relation to my former car insurance
I will see if I would be happy with this new insurance, this is my first time with you")</f>
        <v>The price is a little expensive but I win in relation to my former car insurance
I will see if I would be happy with this new insurance, this is my first time with you</v>
      </c>
    </row>
    <row r="66" ht="15.75" customHeight="1">
      <c r="A66" s="2">
        <v>1.0</v>
      </c>
      <c r="B66" s="2" t="s">
        <v>268</v>
      </c>
      <c r="C66" s="2" t="s">
        <v>269</v>
      </c>
      <c r="D66" s="2" t="s">
        <v>42</v>
      </c>
      <c r="E66" s="2" t="s">
        <v>32</v>
      </c>
      <c r="F66" s="2" t="s">
        <v>15</v>
      </c>
      <c r="G66" s="2" t="s">
        <v>270</v>
      </c>
      <c r="H66" s="2" t="s">
        <v>17</v>
      </c>
      <c r="I66" s="2" t="str">
        <f>IFERROR(__xludf.DUMMYFUNCTION("GOOGLETRANSLATE(C66,""fr"",""en"")"),"After 37 years as an adhesive at the MGEN, I can tell you how this mutual, almost imposed by national education at the start of my career, is to be avoided as much as possible ... High price compared to the reimbursements made , exceeding, even linked to "&amp;"cancer, not taken into account and, above all, an exceptional incompetence at the administrative level ... You just have to see the head of doctors or secretaries when you tell them that you are Mgen! Why have I never changed my mutual? Because, after a s"&amp;"erious illness, it was difficult to be accepted in another!
For my son, it took months, when he became a student, so that his vital card was finally valid ... Following many ""bugs"" due to the incompetence of certain employees!")</f>
        <v>After 37 years as an adhesive at the MGEN, I can tell you how this mutual, almost imposed by national education at the start of my career, is to be avoided as much as possible ... High price compared to the reimbursements made , exceeding, even linked to cancer, not taken into account and, above all, an exceptional incompetence at the administrative level ... You just have to see the head of doctors or secretaries when you tell them that you are Mgen! Why have I never changed my mutual? Because, after a serious illness, it was difficult to be accepted in another!
For my son, it took months, when he became a student, so that his vital card was finally valid ... Following many "bugs" due to the incompetence of certain employees!</v>
      </c>
    </row>
    <row r="67" ht="15.75" customHeight="1">
      <c r="A67" s="2">
        <v>3.0</v>
      </c>
      <c r="B67" s="2" t="s">
        <v>271</v>
      </c>
      <c r="C67" s="2" t="s">
        <v>272</v>
      </c>
      <c r="D67" s="2" t="s">
        <v>273</v>
      </c>
      <c r="E67" s="2" t="s">
        <v>153</v>
      </c>
      <c r="F67" s="2" t="s">
        <v>15</v>
      </c>
      <c r="G67" s="2" t="s">
        <v>274</v>
      </c>
      <c r="H67" s="2" t="s">
        <v>275</v>
      </c>
      <c r="I67" s="2" t="str">
        <f>IFERROR(__xludf.DUMMYFUNCTION("GOOGLETRANSLATE(C67,""fr"",""en"")"),"Competent and honest insurer, available and attentive staff.
The price of insurance is suitable for the product and the advantages it presents.
Their intervention is really fast when needed.")</f>
        <v>Competent and honest insurer, available and attentive staff.
The price of insurance is suitable for the product and the advantages it presents.
Their intervention is really fast when needed.</v>
      </c>
    </row>
    <row r="68" ht="15.75" customHeight="1">
      <c r="A68" s="2">
        <v>4.0</v>
      </c>
      <c r="B68" s="2" t="s">
        <v>276</v>
      </c>
      <c r="C68" s="2" t="s">
        <v>277</v>
      </c>
      <c r="D68" s="2" t="s">
        <v>37</v>
      </c>
      <c r="E68" s="2" t="s">
        <v>14</v>
      </c>
      <c r="F68" s="2" t="s">
        <v>15</v>
      </c>
      <c r="G68" s="2" t="s">
        <v>278</v>
      </c>
      <c r="H68" s="2" t="s">
        <v>39</v>
      </c>
      <c r="I68" s="2" t="str">
        <f>IFERROR(__xludf.DUMMYFUNCTION("GOOGLETRANSLATE(C68,""fr"",""en"")"),"I am satisfied with my experience as part of the registration procedure. Thank you for the ease with which the advisers can be attached by phone without having to wait a long time or have to listen to the instructions of a robot.")</f>
        <v>I am satisfied with my experience as part of the registration procedure. Thank you for the ease with which the advisers can be attached by phone without having to wait a long time or have to listen to the instructions of a robot.</v>
      </c>
    </row>
    <row r="69" ht="15.75" customHeight="1">
      <c r="A69" s="2">
        <v>1.0</v>
      </c>
      <c r="B69" s="2" t="s">
        <v>279</v>
      </c>
      <c r="C69" s="2" t="s">
        <v>280</v>
      </c>
      <c r="D69" s="2" t="s">
        <v>13</v>
      </c>
      <c r="E69" s="2" t="s">
        <v>21</v>
      </c>
      <c r="F69" s="2" t="s">
        <v>15</v>
      </c>
      <c r="G69" s="2" t="s">
        <v>281</v>
      </c>
      <c r="H69" s="2" t="s">
        <v>282</v>
      </c>
      <c r="I69" s="2" t="str">
        <f>IFERROR(__xludf.DUMMYFUNCTION("GOOGLETRANSLATE(C69,""fr"",""en"")"),"Incompetent advisers
Poor reimbursement
Important franchise
High prices. This insurance is not to be recommended
The quality is not there.")</f>
        <v>Incompetent advisers
Poor reimbursement
Important franchise
High prices. This insurance is not to be recommended
The quality is not there.</v>
      </c>
    </row>
    <row r="70" ht="15.75" customHeight="1">
      <c r="A70" s="2">
        <v>1.0</v>
      </c>
      <c r="B70" s="2" t="s">
        <v>283</v>
      </c>
      <c r="C70" s="2" t="s">
        <v>284</v>
      </c>
      <c r="D70" s="2" t="s">
        <v>75</v>
      </c>
      <c r="E70" s="2" t="s">
        <v>14</v>
      </c>
      <c r="F70" s="2" t="s">
        <v>15</v>
      </c>
      <c r="G70" s="2" t="s">
        <v>285</v>
      </c>
      <c r="H70" s="2" t="s">
        <v>286</v>
      </c>
      <c r="I70" s="2" t="str">
        <f>IFERROR(__xludf.DUMMYFUNCTION("GOOGLETRANSLATE(C70,""fr"",""en"")"),"The ad is really attractive but behind this cloud of smoke there are only inconveniences. I have subscribed to all risks auto insurance with the serenity pack, my Land Cruiser to undergo an attempted theft with vandalism in addition, deposit From complain"&amp;"t, declaration to insurance, the expert passes to see the vehicle and he concludes that I am responsible and that I myself vandalized my car so no care. Storage, no return from the insurance based on the expert's report. On the other hand it is recognized"&amp;" as a sinister and my penalty. Impossible to dialogue with people who are on the other side of the Mediterranean, who are never the same and are not damaged to send you an email or a letter to the right address. To flee to avoid if you can relay this will"&amp;" avoid many people to live the same galley")</f>
        <v>The ad is really attractive but behind this cloud of smoke there are only inconveniences. I have subscribed to all risks auto insurance with the serenity pack, my Land Cruiser to undergo an attempted theft with vandalism in addition, deposit From complaint, declaration to insurance, the expert passes to see the vehicle and he concludes that I am responsible and that I myself vandalized my car so no care. Storage, no return from the insurance based on the expert's report. On the other hand it is recognized as a sinister and my penalty. Impossible to dialogue with people who are on the other side of the Mediterranean, who are never the same and are not damaged to send you an email or a letter to the right address. To flee to avoid if you can relay this will avoid many people to live the same galley</v>
      </c>
    </row>
    <row r="71" ht="15.75" customHeight="1">
      <c r="A71" s="2">
        <v>5.0</v>
      </c>
      <c r="B71" s="2" t="s">
        <v>287</v>
      </c>
      <c r="C71" s="2" t="s">
        <v>288</v>
      </c>
      <c r="D71" s="2" t="s">
        <v>37</v>
      </c>
      <c r="E71" s="2" t="s">
        <v>14</v>
      </c>
      <c r="F71" s="2" t="s">
        <v>15</v>
      </c>
      <c r="G71" s="2" t="s">
        <v>289</v>
      </c>
      <c r="H71" s="2" t="s">
        <v>34</v>
      </c>
      <c r="I71" s="2" t="str">
        <f>IFERROR(__xludf.DUMMYFUNCTION("GOOGLETRANSLATE(C71,""fr"",""en"")"),"Perfect welcome, easy website to download the documents, received my green card immediately by email and mail, competitive price, confidence insurance,")</f>
        <v>Perfect welcome, easy website to download the documents, received my green card immediately by email and mail, competitive price, confidence insurance,</v>
      </c>
    </row>
    <row r="72" ht="15.75" customHeight="1">
      <c r="A72" s="2">
        <v>5.0</v>
      </c>
      <c r="B72" s="2" t="s">
        <v>290</v>
      </c>
      <c r="C72" s="2" t="s">
        <v>291</v>
      </c>
      <c r="D72" s="2" t="s">
        <v>75</v>
      </c>
      <c r="E72" s="2" t="s">
        <v>14</v>
      </c>
      <c r="F72" s="2" t="s">
        <v>15</v>
      </c>
      <c r="G72" s="2" t="s">
        <v>292</v>
      </c>
      <c r="H72" s="2" t="s">
        <v>193</v>
      </c>
      <c r="I72" s="2" t="str">
        <f>IFERROR(__xludf.DUMMYFUNCTION("GOOGLETRANSLATE(C72,""fr"",""en"")"),"very good insurance recommend by my father
simple practice and a competitive price
Ditto for apartment insurance.
With unworthy free options. à la carte")</f>
        <v>very good insurance recommend by my father
simple practice and a competitive price
Ditto for apartment insurance.
With unworthy free options. à la carte</v>
      </c>
    </row>
    <row r="73" ht="15.75" customHeight="1">
      <c r="A73" s="2">
        <v>4.0</v>
      </c>
      <c r="B73" s="2" t="s">
        <v>293</v>
      </c>
      <c r="C73" s="2" t="s">
        <v>294</v>
      </c>
      <c r="D73" s="2" t="s">
        <v>95</v>
      </c>
      <c r="E73" s="2" t="s">
        <v>96</v>
      </c>
      <c r="F73" s="2" t="s">
        <v>15</v>
      </c>
      <c r="G73" s="2" t="s">
        <v>295</v>
      </c>
      <c r="H73" s="2" t="s">
        <v>28</v>
      </c>
      <c r="I73" s="2" t="str">
        <f>IFERROR(__xludf.DUMMYFUNCTION("GOOGLETRANSLATE(C73,""fr"",""en"")"),"Easy to use the website level, I don't know if you are competitive in relation to competition.
I hope I am well insured and above all a troubleshooting assistance of o kms")</f>
        <v>Easy to use the website level, I don't know if you are competitive in relation to competition.
I hope I am well insured and above all a troubleshooting assistance of o kms</v>
      </c>
    </row>
    <row r="74" ht="15.75" customHeight="1">
      <c r="A74" s="2">
        <v>2.0</v>
      </c>
      <c r="B74" s="2" t="s">
        <v>296</v>
      </c>
      <c r="C74" s="2" t="s">
        <v>297</v>
      </c>
      <c r="D74" s="2" t="s">
        <v>75</v>
      </c>
      <c r="E74" s="2" t="s">
        <v>14</v>
      </c>
      <c r="F74" s="2" t="s">
        <v>15</v>
      </c>
      <c r="G74" s="2" t="s">
        <v>298</v>
      </c>
      <c r="H74" s="2" t="s">
        <v>193</v>
      </c>
      <c r="I74" s="2" t="str">
        <f>IFERROR(__xludf.DUMMYFUNCTION("GOOGLETRANSLATE(C74,""fr"",""en"")"),"Contributions keep increasing despite a bonus that also increases because I have never had an accident prices remains high enough for the right drivers")</f>
        <v>Contributions keep increasing despite a bonus that also increases because I have never had an accident prices remains high enough for the right drivers</v>
      </c>
    </row>
    <row r="75" ht="15.75" customHeight="1">
      <c r="A75" s="2">
        <v>2.0</v>
      </c>
      <c r="B75" s="2" t="s">
        <v>299</v>
      </c>
      <c r="C75" s="2" t="s">
        <v>300</v>
      </c>
      <c r="D75" s="2" t="s">
        <v>75</v>
      </c>
      <c r="E75" s="2" t="s">
        <v>14</v>
      </c>
      <c r="F75" s="2" t="s">
        <v>15</v>
      </c>
      <c r="G75" s="2" t="s">
        <v>301</v>
      </c>
      <c r="H75" s="2" t="s">
        <v>193</v>
      </c>
      <c r="I75" s="2" t="str">
        <f>IFERROR(__xludf.DUMMYFUNCTION("GOOGLETRANSLATE(C75,""fr"",""en"")"),"We can't even download the current schedule. The site is very badly done. I don't have recent documents when I need it to set up a file. I would not recommend the Direct Assurance site.")</f>
        <v>We can't even download the current schedule. The site is very badly done. I don't have recent documents when I need it to set up a file. I would not recommend the Direct Assurance site.</v>
      </c>
    </row>
    <row r="76" ht="15.75" customHeight="1">
      <c r="A76" s="2">
        <v>1.0</v>
      </c>
      <c r="B76" s="2" t="s">
        <v>302</v>
      </c>
      <c r="C76" s="2" t="s">
        <v>303</v>
      </c>
      <c r="D76" s="2" t="s">
        <v>152</v>
      </c>
      <c r="E76" s="2" t="s">
        <v>153</v>
      </c>
      <c r="F76" s="2" t="s">
        <v>15</v>
      </c>
      <c r="G76" s="2" t="s">
        <v>304</v>
      </c>
      <c r="H76" s="2" t="s">
        <v>210</v>
      </c>
      <c r="I76" s="2" t="str">
        <f>IFERROR(__xludf.DUMMYFUNCTION("GOOGLETRANSLATE(C76,""fr"",""en"")"),"Disability 1 Following breast cancer")</f>
        <v>Disability 1 Following breast cancer</v>
      </c>
    </row>
    <row r="77" ht="15.75" customHeight="1">
      <c r="A77" s="2">
        <v>4.0</v>
      </c>
      <c r="B77" s="2" t="s">
        <v>305</v>
      </c>
      <c r="C77" s="2" t="s">
        <v>306</v>
      </c>
      <c r="D77" s="2" t="s">
        <v>95</v>
      </c>
      <c r="E77" s="2" t="s">
        <v>96</v>
      </c>
      <c r="F77" s="2" t="s">
        <v>15</v>
      </c>
      <c r="G77" s="2" t="s">
        <v>162</v>
      </c>
      <c r="H77" s="2" t="s">
        <v>86</v>
      </c>
      <c r="I77" s="2" t="str">
        <f>IFERROR(__xludf.DUMMYFUNCTION("GOOGLETRANSLATE(C77,""fr"",""en"")"),"Very satisfactory service with a simple and practical interface. An advisor quickly contacted me for the procedures. Hoping that the rest will be identical")</f>
        <v>Very satisfactory service with a simple and practical interface. An advisor quickly contacted me for the procedures. Hoping that the rest will be identical</v>
      </c>
    </row>
    <row r="78" ht="15.75" customHeight="1">
      <c r="A78" s="2">
        <v>1.0</v>
      </c>
      <c r="B78" s="2" t="s">
        <v>307</v>
      </c>
      <c r="C78" s="2" t="s">
        <v>308</v>
      </c>
      <c r="D78" s="2" t="s">
        <v>309</v>
      </c>
      <c r="E78" s="2" t="s">
        <v>81</v>
      </c>
      <c r="F78" s="2" t="s">
        <v>15</v>
      </c>
      <c r="G78" s="2" t="s">
        <v>310</v>
      </c>
      <c r="H78" s="2" t="s">
        <v>111</v>
      </c>
      <c r="I78" s="2" t="str">
        <f>IFERROR(__xludf.DUMMYFUNCTION("GOOGLETRANSLATE(C78,""fr"",""en"")"),"Inadmissible, after multiple calls and emails, no return, I am answered that my file is in processing, or that the file is blocked while the adviser tells me to have all the documents, have already worried about Soutis and now financial concern because No"&amp;"n -payment of my invalidity annuity, what happens ?? I had no problem before, the regulation followed !!")</f>
        <v>Inadmissible, after multiple calls and emails, no return, I am answered that my file is in processing, or that the file is blocked while the adviser tells me to have all the documents, have already worried about Soutis and now financial concern because Non -payment of my invalidity annuity, what happens ?? I had no problem before, the regulation followed !!</v>
      </c>
    </row>
    <row r="79" ht="15.75" customHeight="1">
      <c r="A79" s="2">
        <v>1.0</v>
      </c>
      <c r="B79" s="2" t="s">
        <v>311</v>
      </c>
      <c r="C79" s="2" t="s">
        <v>312</v>
      </c>
      <c r="D79" s="2" t="s">
        <v>313</v>
      </c>
      <c r="E79" s="2" t="s">
        <v>90</v>
      </c>
      <c r="F79" s="2" t="s">
        <v>15</v>
      </c>
      <c r="G79" s="2" t="s">
        <v>314</v>
      </c>
      <c r="H79" s="2" t="s">
        <v>249</v>
      </c>
      <c r="I79" s="2" t="str">
        <f>IFERROR(__xludf.DUMMYFUNCTION("GOOGLETRANSLATE(C79,""fr"",""en"")"),"This insurance is only good when we are not yet a customer but as soon as we have signed the contract there is no one left, so I decrease to take this insurance, really not serious, to have them on the phone is Impossible and no answers to emails")</f>
        <v>This insurance is only good when we are not yet a customer but as soon as we have signed the contract there is no one left, so I decrease to take this insurance, really not serious, to have them on the phone is Impossible and no answers to emails</v>
      </c>
    </row>
    <row r="80" ht="15.75" customHeight="1">
      <c r="A80" s="2">
        <v>4.0</v>
      </c>
      <c r="B80" s="2" t="s">
        <v>315</v>
      </c>
      <c r="C80" s="2" t="s">
        <v>316</v>
      </c>
      <c r="D80" s="2" t="s">
        <v>75</v>
      </c>
      <c r="E80" s="2" t="s">
        <v>14</v>
      </c>
      <c r="F80" s="2" t="s">
        <v>15</v>
      </c>
      <c r="G80" s="2" t="s">
        <v>317</v>
      </c>
      <c r="H80" s="2" t="s">
        <v>39</v>
      </c>
      <c r="I80" s="2" t="str">
        <f>IFERROR(__xludf.DUMMYFUNCTION("GOOGLETRANSLATE(C80,""fr"",""en"")"),"I just made my contract with you, while waiting to use the different terms of my contract I remain pending. But I admit that
Transparency of the information that gives me very well, and allows me to appreciate.")</f>
        <v>I just made my contract with you, while waiting to use the different terms of my contract I remain pending. But I admit that
Transparency of the information that gives me very well, and allows me to appreciate.</v>
      </c>
    </row>
    <row r="81" ht="15.75" customHeight="1">
      <c r="A81" s="2">
        <v>2.0</v>
      </c>
      <c r="B81" s="2" t="s">
        <v>318</v>
      </c>
      <c r="C81" s="2" t="s">
        <v>319</v>
      </c>
      <c r="D81" s="2" t="s">
        <v>75</v>
      </c>
      <c r="E81" s="2" t="s">
        <v>14</v>
      </c>
      <c r="F81" s="2" t="s">
        <v>15</v>
      </c>
      <c r="G81" s="2" t="s">
        <v>320</v>
      </c>
      <c r="H81" s="2" t="s">
        <v>321</v>
      </c>
      <c r="I81" s="2" t="str">
        <f>IFERROR(__xludf.DUMMYFUNCTION("GOOGLETRANSLATE(C81,""fr"",""en"")"),"It is true that this insurance is not expensive but even for an all risk formula with 'tranquility pack' do not expect what you are properly compensated in the event of an accident. They ask you to advance everything and they confirm the care (by phone). "&amp;"Once you pay, another person confirms you by written that it is your responsibility ... :) No replacement car, incomplete expertise, only 300 euros for coroporal damage compensation (while the law is thousands of thousands euros ..)
Even if you are not r"&amp;"esponsible, Da will do everything to defend opposing insurance.
In short, to take into account when you think of ensuring a car, do not think that at the price and avoid this insurance.")</f>
        <v>It is true that this insurance is not expensive but even for an all risk formula with 'tranquility pack' do not expect what you are properly compensated in the event of an accident. They ask you to advance everything and they confirm the care (by phone). Once you pay, another person confirms you by written that it is your responsibility ... :) No replacement car, incomplete expertise, only 300 euros for coroporal damage compensation (while the law is thousands of thousands euros ..)
Even if you are not responsible, Da will do everything to defend opposing insurance.
In short, to take into account when you think of ensuring a car, do not think that at the price and avoid this insurance.</v>
      </c>
    </row>
    <row r="82" ht="15.75" customHeight="1">
      <c r="A82" s="2">
        <v>1.0</v>
      </c>
      <c r="B82" s="2" t="s">
        <v>322</v>
      </c>
      <c r="C82" s="2" t="s">
        <v>323</v>
      </c>
      <c r="D82" s="2" t="s">
        <v>324</v>
      </c>
      <c r="E82" s="2" t="s">
        <v>81</v>
      </c>
      <c r="F82" s="2" t="s">
        <v>15</v>
      </c>
      <c r="G82" s="2" t="s">
        <v>34</v>
      </c>
      <c r="H82" s="2" t="s">
        <v>34</v>
      </c>
      <c r="I82" s="2" t="str">
        <f>IFERROR(__xludf.DUMMYFUNCTION("GOOGLETRANSLATE(C82,""fr"",""en"")"),"Receive your money in just a few minutes, but restore it with difficulty after several months !!! You have to fight to provide the same evidence several times, so the time passes and your money is still not given!
How can we trust?
")</f>
        <v>Receive your money in just a few minutes, but restore it with difficulty after several months !!! You have to fight to provide the same evidence several times, so the time passes and your money is still not given!
How can we trust?
</v>
      </c>
    </row>
    <row r="83" ht="15.75" customHeight="1">
      <c r="A83" s="2">
        <v>4.0</v>
      </c>
      <c r="B83" s="2" t="s">
        <v>325</v>
      </c>
      <c r="C83" s="2" t="s">
        <v>326</v>
      </c>
      <c r="D83" s="2" t="s">
        <v>37</v>
      </c>
      <c r="E83" s="2" t="s">
        <v>14</v>
      </c>
      <c r="F83" s="2" t="s">
        <v>15</v>
      </c>
      <c r="G83" s="2" t="s">
        <v>327</v>
      </c>
      <c r="H83" s="2" t="s">
        <v>111</v>
      </c>
      <c r="I83" s="2" t="str">
        <f>IFERROR(__xludf.DUMMYFUNCTION("GOOGLETRANSLATE(C83,""fr"",""en"")"),"One of the only contracts that provides a second home driver, while the other companies ignore the secondary driver often confused with driver ready for steering wheel")</f>
        <v>One of the only contracts that provides a second home driver, while the other companies ignore the secondary driver often confused with driver ready for steering wheel</v>
      </c>
    </row>
    <row r="84" ht="15.75" customHeight="1">
      <c r="A84" s="2">
        <v>1.0</v>
      </c>
      <c r="B84" s="2" t="s">
        <v>328</v>
      </c>
      <c r="C84" s="2" t="s">
        <v>329</v>
      </c>
      <c r="D84" s="2" t="s">
        <v>229</v>
      </c>
      <c r="E84" s="2" t="s">
        <v>96</v>
      </c>
      <c r="F84" s="2" t="s">
        <v>15</v>
      </c>
      <c r="G84" s="2" t="s">
        <v>330</v>
      </c>
      <c r="H84" s="2" t="s">
        <v>331</v>
      </c>
      <c r="I84" s="2" t="str">
        <f>IFERROR(__xludf.DUMMYFUNCTION("GOOGLETRANSLATE(C84,""fr"",""en"")"),"New scooter Buy in June from Honda who offers me AMV. I should have looked at the opinions before subscribing. A nightmare ! Surprised after 5 months of coverage by a letter in the termination of my contract. who had decided to terminate. Since radio sile"&amp;"nce .. to conclude, to avoid absolutely!")</f>
        <v>New scooter Buy in June from Honda who offers me AMV. I should have looked at the opinions before subscribing. A nightmare ! Surprised after 5 months of coverage by a letter in the termination of my contract. who had decided to terminate. Since radio silence .. to conclude, to avoid absolutely!</v>
      </c>
    </row>
    <row r="85" ht="15.75" customHeight="1">
      <c r="A85" s="2">
        <v>5.0</v>
      </c>
      <c r="B85" s="2" t="s">
        <v>332</v>
      </c>
      <c r="C85" s="2" t="s">
        <v>333</v>
      </c>
      <c r="D85" s="2" t="s">
        <v>158</v>
      </c>
      <c r="E85" s="2" t="s">
        <v>14</v>
      </c>
      <c r="F85" s="2" t="s">
        <v>15</v>
      </c>
      <c r="G85" s="2" t="s">
        <v>334</v>
      </c>
      <c r="H85" s="2" t="s">
        <v>335</v>
      </c>
      <c r="I85" s="2" t="str">
        <f>IFERROR(__xludf.DUMMYFUNCTION("GOOGLETRANSLATE(C85,""fr"",""en"")"),"First auto insurance with whom I remained insured for more than 3 years (insured for 2 vehicles for almost 10 years).
I regularly test the competition (every 2 years) and no one offers me cheaper for 2 contracts any risk. I had accidents or climatic dama"&amp;"ge so I was able to test the ""after -sales service"". No problem encountered to date.")</f>
        <v>First auto insurance with whom I remained insured for more than 3 years (insured for 2 vehicles for almost 10 years).
I regularly test the competition (every 2 years) and no one offers me cheaper for 2 contracts any risk. I had accidents or climatic damage so I was able to test the "after -sales service". No problem encountered to date.</v>
      </c>
    </row>
    <row r="86" ht="15.75" customHeight="1">
      <c r="A86" s="2">
        <v>1.0</v>
      </c>
      <c r="B86" s="2" t="s">
        <v>336</v>
      </c>
      <c r="C86" s="2" t="s">
        <v>337</v>
      </c>
      <c r="D86" s="2" t="s">
        <v>75</v>
      </c>
      <c r="E86" s="2" t="s">
        <v>14</v>
      </c>
      <c r="F86" s="2" t="s">
        <v>15</v>
      </c>
      <c r="G86" s="2" t="s">
        <v>255</v>
      </c>
      <c r="H86" s="2" t="s">
        <v>52</v>
      </c>
      <c r="I86" s="2" t="str">
        <f>IFERROR(__xludf.DUMMYFUNCTION("GOOGLETRANSLATE(C86,""fr"",""en"")"),"I have been insured since January 2011 without any claim. I had optionally subscribed to the serenity pack which makes a 20 % reduction in your subscription after 5 years. However, this reduction was not applied, on the contrary, my subscription has furth"&amp;"er increased. I called at least 5 times direct insurance, I never came across the same advisor of course. Each time I was confirmed that I was entitled to this reduction and that the necessary would be done and that I would receive a confirmation email. I"&amp;"t has been two months and I have still received nothing and I am still deducted from the same amount. I sent a registered letter to the Direct Insurance Consumer Service. Following this letter, I had an online advisor who explained to me that in 2011 when"&amp;" I subscribe to my contract, the serenity pack was not yet marketed and that it was in 2012 and that consequently, my 20 % reduction would be applied in January 2018. It is really anything! This would mean that in 2011, I subscribed and paid for an option"&amp;" that did not exist !!
So I am more than fed up with this insurer that I strongly advise against. I do not even understand that they can still exercise, given their incompetence and their lack of professionalism!")</f>
        <v>I have been insured since January 2011 without any claim. I had optionally subscribed to the serenity pack which makes a 20 % reduction in your subscription after 5 years. However, this reduction was not applied, on the contrary, my subscription has further increased. I called at least 5 times direct insurance, I never came across the same advisor of course. Each time I was confirmed that I was entitled to this reduction and that the necessary would be done and that I would receive a confirmation email. It has been two months and I have still received nothing and I am still deducted from the same amount. I sent a registered letter to the Direct Insurance Consumer Service. Following this letter, I had an online advisor who explained to me that in 2011 when I subscribe to my contract, the serenity pack was not yet marketed and that it was in 2012 and that consequently, my 20 % reduction would be applied in January 2018. It is really anything! This would mean that in 2011, I subscribed and paid for an option that did not exist !!
So I am more than fed up with this insurer that I strongly advise against. I do not even understand that they can still exercise, given their incompetence and their lack of professionalism!</v>
      </c>
    </row>
    <row r="87" ht="15.75" customHeight="1">
      <c r="A87" s="2">
        <v>1.0</v>
      </c>
      <c r="B87" s="2" t="s">
        <v>338</v>
      </c>
      <c r="C87" s="2" t="s">
        <v>339</v>
      </c>
      <c r="D87" s="2" t="s">
        <v>101</v>
      </c>
      <c r="E87" s="2" t="s">
        <v>65</v>
      </c>
      <c r="F87" s="2" t="s">
        <v>15</v>
      </c>
      <c r="G87" s="2" t="s">
        <v>340</v>
      </c>
      <c r="H87" s="2" t="s">
        <v>341</v>
      </c>
      <c r="I87" s="2" t="str">
        <f>IFERROR(__xludf.DUMMYFUNCTION("GOOGLETRANSLATE(C87,""fr"",""en"")"),"Null ..... Band of liars when you go home, you still get to look in a mirror so you lie .... to people you lose the documents as it paid every month c shameful")</f>
        <v>Null ..... Band of liars when you go home, you still get to look in a mirror so you lie .... to people you lose the documents as it paid every month c shameful</v>
      </c>
    </row>
    <row r="88" ht="15.75" customHeight="1">
      <c r="A88" s="2">
        <v>5.0</v>
      </c>
      <c r="B88" s="2" t="s">
        <v>342</v>
      </c>
      <c r="C88" s="2" t="s">
        <v>343</v>
      </c>
      <c r="D88" s="2" t="s">
        <v>37</v>
      </c>
      <c r="E88" s="2" t="s">
        <v>14</v>
      </c>
      <c r="F88" s="2" t="s">
        <v>15</v>
      </c>
      <c r="G88" s="2" t="s">
        <v>344</v>
      </c>
      <c r="H88" s="2" t="s">
        <v>39</v>
      </c>
      <c r="I88" s="2" t="str">
        <f>IFERROR(__xludf.DUMMYFUNCTION("GOOGLETRANSLATE(C88,""fr"",""en"")"),"Satisfied with the Jattend service to see now how it will take place
Very good phone welcome very well explained and all understood immediately")</f>
        <v>Satisfied with the Jattend service to see now how it will take place
Very good phone welcome very well explained and all understood immediately</v>
      </c>
    </row>
    <row r="89" ht="15.75" customHeight="1">
      <c r="A89" s="2">
        <v>4.0</v>
      </c>
      <c r="B89" s="2" t="s">
        <v>345</v>
      </c>
      <c r="C89" s="2" t="s">
        <v>346</v>
      </c>
      <c r="D89" s="2" t="s">
        <v>37</v>
      </c>
      <c r="E89" s="2" t="s">
        <v>14</v>
      </c>
      <c r="F89" s="2" t="s">
        <v>15</v>
      </c>
      <c r="G89" s="2" t="s">
        <v>347</v>
      </c>
      <c r="H89" s="2" t="s">
        <v>107</v>
      </c>
      <c r="I89" s="2" t="str">
        <f>IFERROR(__xludf.DUMMYFUNCTION("GOOGLETRANSLATE(C89,""fr"",""en"")"),"Very warm telephone, clear and precise. After a thirty years at the same insurer but too high prices I am at Olivier Insurance, hoping for such a long collaboration.")</f>
        <v>Very warm telephone, clear and precise. After a thirty years at the same insurer but too high prices I am at Olivier Insurance, hoping for such a long collaboration.</v>
      </c>
    </row>
    <row r="90" ht="15.75" customHeight="1">
      <c r="A90" s="2">
        <v>1.0</v>
      </c>
      <c r="B90" s="2" t="s">
        <v>348</v>
      </c>
      <c r="C90" s="2" t="s">
        <v>349</v>
      </c>
      <c r="D90" s="2" t="s">
        <v>184</v>
      </c>
      <c r="E90" s="2" t="s">
        <v>96</v>
      </c>
      <c r="F90" s="2" t="s">
        <v>15</v>
      </c>
      <c r="G90" s="2" t="s">
        <v>350</v>
      </c>
      <c r="H90" s="2" t="s">
        <v>61</v>
      </c>
      <c r="I90" s="2" t="str">
        <f>IFERROR(__xludf.DUMMYFUNCTION("GOOGLETRANSLATE(C90,""fr"",""en"")"),"Insured for over 15 years at the Mutuelle des Motards, I knew that the prices were higher
But a very good coverage on August 1 I had a claim insured all risk I make a statement the expert passes I remind them
My surprise they all do not to take into acc"&amp;"ount my claim
Who will not look for huge sums
Several complaint letter
No response suddenly changes insurance the same mishap arrived at one of my colleague
I strongly advise against this insurance")</f>
        <v>Insured for over 15 years at the Mutuelle des Motards, I knew that the prices were higher
But a very good coverage on August 1 I had a claim insured all risk I make a statement the expert passes I remind them
My surprise they all do not to take into account my claim
Who will not look for huge sums
Several complaint letter
No response suddenly changes insurance the same mishap arrived at one of my colleague
I strongly advise against this insurance</v>
      </c>
    </row>
    <row r="91" ht="15.75" customHeight="1">
      <c r="A91" s="2">
        <v>5.0</v>
      </c>
      <c r="B91" s="2" t="s">
        <v>351</v>
      </c>
      <c r="C91" s="2" t="s">
        <v>352</v>
      </c>
      <c r="D91" s="2" t="s">
        <v>233</v>
      </c>
      <c r="E91" s="2" t="s">
        <v>32</v>
      </c>
      <c r="F91" s="2" t="s">
        <v>15</v>
      </c>
      <c r="G91" s="2" t="s">
        <v>353</v>
      </c>
      <c r="H91" s="2" t="s">
        <v>44</v>
      </c>
      <c r="I91" s="2" t="str">
        <f>IFERROR(__xludf.DUMMYFUNCTION("GOOGLETRANSLATE(C91,""fr"",""en"")"),"Very satisfied. Listen, services and prices.
This mutual, proposed by Cocoon, is in perfect adequacy with my retired needs. Level 2.
Several comparisons made and all the 'directors' advises me to stay in this mutual. The reimbursements are fast, the con"&amp;"tacts are easy. I recommend.")</f>
        <v>Very satisfied. Listen, services and prices.
This mutual, proposed by Cocoon, is in perfect adequacy with my retired needs. Level 2.
Several comparisons made and all the 'directors' advises me to stay in this mutual. The reimbursements are fast, the contacts are easy. I recommend.</v>
      </c>
    </row>
    <row r="92" ht="15.75" customHeight="1">
      <c r="A92" s="2">
        <v>1.0</v>
      </c>
      <c r="B92" s="2" t="s">
        <v>354</v>
      </c>
      <c r="C92" s="2" t="s">
        <v>355</v>
      </c>
      <c r="D92" s="2" t="s">
        <v>242</v>
      </c>
      <c r="E92" s="2" t="s">
        <v>14</v>
      </c>
      <c r="F92" s="2" t="s">
        <v>15</v>
      </c>
      <c r="G92" s="2" t="s">
        <v>356</v>
      </c>
      <c r="H92" s="2" t="s">
        <v>357</v>
      </c>
      <c r="I92" s="2" t="str">
        <f>IFERROR(__xludf.DUMMYFUNCTION("GOOGLETRANSLATE(C92,""fr"",""en"")"),"Hello, Customer for several years at Active Insurance I advise against anyone to take a contract with this calamitous insurer !!! I have been insured at 3 other insurers and I can tell you that Active Insurance is by far the worst insurer in every way wit"&amp;"h whom I have unfortunately collaborating. This is a company that is only there to debit / invoice without ensuring any service (a shame for an insurer). Flee this insurance at all costs, I don't think you can find worse. If however you cross the course, "&amp;"do not come and complain you will have been warned.")</f>
        <v>Hello, Customer for several years at Active Insurance I advise against anyone to take a contract with this calamitous insurer !!! I have been insured at 3 other insurers and I can tell you that Active Insurance is by far the worst insurer in every way with whom I have unfortunately collaborating. This is a company that is only there to debit / invoice without ensuring any service (a shame for an insurer). Flee this insurance at all costs, I don't think you can find worse. If however you cross the course, do not come and complain you will have been warned.</v>
      </c>
    </row>
    <row r="93" ht="15.75" customHeight="1">
      <c r="A93" s="2">
        <v>3.0</v>
      </c>
      <c r="B93" s="2" t="s">
        <v>358</v>
      </c>
      <c r="C93" s="2" t="s">
        <v>359</v>
      </c>
      <c r="D93" s="2" t="s">
        <v>13</v>
      </c>
      <c r="E93" s="2" t="s">
        <v>14</v>
      </c>
      <c r="F93" s="2" t="s">
        <v>15</v>
      </c>
      <c r="G93" s="2" t="s">
        <v>360</v>
      </c>
      <c r="H93" s="2" t="s">
        <v>52</v>
      </c>
      <c r="I93" s="2" t="str">
        <f>IFERROR(__xludf.DUMMYFUNCTION("GOOGLETRANSLATE(C93,""fr"",""en"")"),"The advisers are friendly and attentive ... but the prices have increased a lot in 4 years")</f>
        <v>The advisers are friendly and attentive ... but the prices have increased a lot in 4 years</v>
      </c>
    </row>
    <row r="94" ht="15.75" customHeight="1">
      <c r="A94" s="2">
        <v>4.0</v>
      </c>
      <c r="B94" s="2" t="s">
        <v>361</v>
      </c>
      <c r="C94" s="2" t="s">
        <v>362</v>
      </c>
      <c r="D94" s="2" t="s">
        <v>70</v>
      </c>
      <c r="E94" s="2" t="s">
        <v>14</v>
      </c>
      <c r="F94" s="2" t="s">
        <v>15</v>
      </c>
      <c r="G94" s="2" t="s">
        <v>363</v>
      </c>
      <c r="H94" s="2" t="s">
        <v>86</v>
      </c>
      <c r="I94" s="2" t="str">
        <f>IFERROR(__xludf.DUMMYFUNCTION("GOOGLETRANSLATE(C94,""fr"",""en"")"),"I am very satisfied with customer relations.
My interlocutor knows how to make herself available whenever necessary.
The call center has a very professional and friendly approach.")</f>
        <v>I am very satisfied with customer relations.
My interlocutor knows how to make herself available whenever necessary.
The call center has a very professional and friendly approach.</v>
      </c>
    </row>
    <row r="95" ht="15.75" customHeight="1">
      <c r="A95" s="2">
        <v>4.0</v>
      </c>
      <c r="B95" s="2" t="s">
        <v>364</v>
      </c>
      <c r="C95" s="2" t="s">
        <v>365</v>
      </c>
      <c r="D95" s="2" t="s">
        <v>75</v>
      </c>
      <c r="E95" s="2" t="s">
        <v>14</v>
      </c>
      <c r="F95" s="2" t="s">
        <v>15</v>
      </c>
      <c r="G95" s="2" t="s">
        <v>366</v>
      </c>
      <c r="H95" s="2" t="s">
        <v>107</v>
      </c>
      <c r="I95" s="2" t="str">
        <f>IFERROR(__xludf.DUMMYFUNCTION("GOOGLETRANSLATE(C95,""fr"",""en"")"),"Very clear site
FAST AND EFFECTIVE
Very low file fees and not additional monthly payment
It remains to know the after -sales service in the event of a disaster .... but it seems promising")</f>
        <v>Very clear site
FAST AND EFFECTIVE
Very low file fees and not additional monthly payment
It remains to know the after -sales service in the event of a disaster .... but it seems promising</v>
      </c>
    </row>
    <row r="96" ht="15.75" customHeight="1">
      <c r="A96" s="2">
        <v>5.0</v>
      </c>
      <c r="B96" s="2" t="s">
        <v>367</v>
      </c>
      <c r="C96" s="2" t="s">
        <v>368</v>
      </c>
      <c r="D96" s="2" t="s">
        <v>75</v>
      </c>
      <c r="E96" s="2" t="s">
        <v>14</v>
      </c>
      <c r="F96" s="2" t="s">
        <v>15</v>
      </c>
      <c r="G96" s="2" t="s">
        <v>369</v>
      </c>
      <c r="H96" s="2" t="s">
        <v>107</v>
      </c>
      <c r="I96" s="2" t="str">
        <f>IFERROR(__xludf.DUMMYFUNCTION("GOOGLETRANSLATE(C96,""fr"",""en"")"),"I am a new customer and I am very satisfied with the great prices and very good guarantees offered and above all to take advantage of the promotional code of a friends. Thank you insurance")</f>
        <v>I am a new customer and I am very satisfied with the great prices and very good guarantees offered and above all to take advantage of the promotional code of a friends. Thank you insurance</v>
      </c>
    </row>
    <row r="97" ht="15.75" customHeight="1">
      <c r="A97" s="2">
        <v>1.0</v>
      </c>
      <c r="B97" s="2" t="s">
        <v>370</v>
      </c>
      <c r="C97" s="2" t="s">
        <v>371</v>
      </c>
      <c r="D97" s="2" t="s">
        <v>184</v>
      </c>
      <c r="E97" s="2" t="s">
        <v>96</v>
      </c>
      <c r="F97" s="2" t="s">
        <v>15</v>
      </c>
      <c r="G97" s="2" t="s">
        <v>264</v>
      </c>
      <c r="H97" s="2" t="s">
        <v>83</v>
      </c>
      <c r="I97" s="2" t="str">
        <f>IFERROR(__xludf.DUMMYFUNCTION("GOOGLETRANSLATE(C97,""fr"",""en"")"),"First motorcycle claim, bonus 50% plus 8.
3 months after no significant advance, my motorcycle is still in expertise, I get rocked by the mutual of bikers and despite that I have reported that it criminal to go to work, always the same contempt.")</f>
        <v>First motorcycle claim, bonus 50% plus 8.
3 months after no significant advance, my motorcycle is still in expertise, I get rocked by the mutual of bikers and despite that I have reported that it criminal to go to work, always the same contempt.</v>
      </c>
    </row>
    <row r="98" ht="15.75" customHeight="1">
      <c r="A98" s="2">
        <v>3.0</v>
      </c>
      <c r="B98" s="2" t="s">
        <v>372</v>
      </c>
      <c r="C98" s="2" t="s">
        <v>373</v>
      </c>
      <c r="D98" s="2" t="s">
        <v>101</v>
      </c>
      <c r="E98" s="2" t="s">
        <v>21</v>
      </c>
      <c r="F98" s="2" t="s">
        <v>15</v>
      </c>
      <c r="G98" s="2" t="s">
        <v>374</v>
      </c>
      <c r="H98" s="2" t="s">
        <v>61</v>
      </c>
      <c r="I98" s="2" t="str">
        <f>IFERROR(__xludf.DUMMYFUNCTION("GOOGLETRANSLATE(C98,""fr"",""en"")"),"On the death of my parents, I resumed the contract of the apartment and the house of which I inherited. These ""old contracts"" increase arithmestically every year and I arrive at dizzying sums. More than 3 times the price is low than the market offers. O"&amp;"n the other hand, in 2011, a mini tornado dropped one of my chimneys. Without discussing, the Jadot firm funded me a new and better quality. I try to motivate them to review their prices but there, they have a hard ear :-) Excellent claims management but "&amp;"prohibitive prices. Shame!")</f>
        <v>On the death of my parents, I resumed the contract of the apartment and the house of which I inherited. These "old contracts" increase arithmestically every year and I arrive at dizzying sums. More than 3 times the price is low than the market offers. On the other hand, in 2011, a mini tornado dropped one of my chimneys. Without discussing, the Jadot firm funded me a new and better quality. I try to motivate them to review their prices but there, they have a hard ear :-) Excellent claims management but prohibitive prices. Shame!</v>
      </c>
    </row>
    <row r="99" ht="15.75" customHeight="1">
      <c r="A99" s="2">
        <v>2.0</v>
      </c>
      <c r="B99" s="2" t="s">
        <v>375</v>
      </c>
      <c r="C99" s="2" t="s">
        <v>376</v>
      </c>
      <c r="D99" s="2" t="s">
        <v>37</v>
      </c>
      <c r="E99" s="2" t="s">
        <v>14</v>
      </c>
      <c r="F99" s="2" t="s">
        <v>15</v>
      </c>
      <c r="G99" s="2" t="s">
        <v>377</v>
      </c>
      <c r="H99" s="2" t="s">
        <v>67</v>
      </c>
      <c r="I99" s="2" t="str">
        <f>IFERROR(__xludf.DUMMYFUNCTION("GOOGLETRANSLATE(C99,""fr"",""en"")"),"The contract is in my name when I had informed the name of my son.
I just inquired as a file manager.
When I look at the contract alone the email is as director")</f>
        <v>The contract is in my name when I had informed the name of my son.
I just inquired as a file manager.
When I look at the contract alone the email is as director</v>
      </c>
    </row>
    <row r="100" ht="15.75" customHeight="1">
      <c r="A100" s="2">
        <v>4.0</v>
      </c>
      <c r="B100" s="2" t="s">
        <v>378</v>
      </c>
      <c r="C100" s="2" t="s">
        <v>379</v>
      </c>
      <c r="D100" s="2" t="s">
        <v>37</v>
      </c>
      <c r="E100" s="2" t="s">
        <v>14</v>
      </c>
      <c r="F100" s="2" t="s">
        <v>15</v>
      </c>
      <c r="G100" s="2" t="s">
        <v>380</v>
      </c>
      <c r="H100" s="2" t="s">
        <v>77</v>
      </c>
      <c r="I100" s="2" t="str">
        <f>IFERROR(__xludf.DUMMYFUNCTION("GOOGLETRANSLATE(C100,""fr"",""en"")"),"I am satisfied with the service, but the subscription to a new contract is not very fluid! You have to resume the procedures from the start, when the information does not change!")</f>
        <v>I am satisfied with the service, but the subscription to a new contract is not very fluid! You have to resume the procedures from the start, when the information does not change!</v>
      </c>
    </row>
    <row r="101" ht="15.75" customHeight="1">
      <c r="A101" s="2">
        <v>5.0</v>
      </c>
      <c r="B101" s="2" t="s">
        <v>381</v>
      </c>
      <c r="C101" s="2" t="s">
        <v>382</v>
      </c>
      <c r="D101" s="2" t="s">
        <v>37</v>
      </c>
      <c r="E101" s="2" t="s">
        <v>14</v>
      </c>
      <c r="F101" s="2" t="s">
        <v>15</v>
      </c>
      <c r="G101" s="2" t="s">
        <v>383</v>
      </c>
      <c r="H101" s="2" t="s">
        <v>67</v>
      </c>
      <c r="I101" s="2" t="str">
        <f>IFERROR(__xludf.DUMMYFUNCTION("GOOGLETRANSLATE(C101,""fr"",""en"")"),"Person on the phone very friendly! Quick quote! Super attractive price compared to my former insurer !! I recommend the Olivier to everyone!")</f>
        <v>Person on the phone very friendly! Quick quote! Super attractive price compared to my former insurer !! I recommend the Olivier to everyone!</v>
      </c>
    </row>
    <row r="102" ht="15.75" customHeight="1">
      <c r="A102" s="2">
        <v>5.0</v>
      </c>
      <c r="B102" s="2" t="s">
        <v>384</v>
      </c>
      <c r="C102" s="2" t="s">
        <v>385</v>
      </c>
      <c r="D102" s="2" t="s">
        <v>37</v>
      </c>
      <c r="E102" s="2" t="s">
        <v>14</v>
      </c>
      <c r="F102" s="2" t="s">
        <v>15</v>
      </c>
      <c r="G102" s="2" t="s">
        <v>386</v>
      </c>
      <c r="H102" s="2" t="s">
        <v>193</v>
      </c>
      <c r="I102" s="2" t="str">
        <f>IFERROR(__xludf.DUMMYFUNCTION("GOOGLETRANSLATE(C102,""fr"",""en"")"),"Very good telephone contact. Very attractive price. I highly recommend this insurance. In addition I benefited from a sponsorship it is very appreciable!")</f>
        <v>Very good telephone contact. Very attractive price. I highly recommend this insurance. In addition I benefited from a sponsorship it is very appreciable!</v>
      </c>
    </row>
    <row r="103" ht="15.75" customHeight="1">
      <c r="A103" s="2">
        <v>3.0</v>
      </c>
      <c r="B103" s="2" t="s">
        <v>387</v>
      </c>
      <c r="C103" s="2" t="s">
        <v>388</v>
      </c>
      <c r="D103" s="2" t="s">
        <v>37</v>
      </c>
      <c r="E103" s="2" t="s">
        <v>14</v>
      </c>
      <c r="F103" s="2" t="s">
        <v>15</v>
      </c>
      <c r="G103" s="2" t="s">
        <v>66</v>
      </c>
      <c r="H103" s="2" t="s">
        <v>67</v>
      </c>
      <c r="I103" s="2" t="str">
        <f>IFERROR(__xludf.DUMMYFUNCTION("GOOGLETRANSLATE(C103,""fr"",""en"")"),"A rather high franchise even by adjusting the monthly or annual rates, very good interlocutor on the phone who knew how to answer all of my questions.")</f>
        <v>A rather high franchise even by adjusting the monthly or annual rates, very good interlocutor on the phone who knew how to answer all of my questions.</v>
      </c>
    </row>
    <row r="104" ht="15.75" customHeight="1">
      <c r="A104" s="2">
        <v>1.0</v>
      </c>
      <c r="B104" s="2" t="s">
        <v>389</v>
      </c>
      <c r="C104" s="2" t="s">
        <v>390</v>
      </c>
      <c r="D104" s="2" t="s">
        <v>75</v>
      </c>
      <c r="E104" s="2" t="s">
        <v>14</v>
      </c>
      <c r="F104" s="2" t="s">
        <v>15</v>
      </c>
      <c r="G104" s="2" t="s">
        <v>391</v>
      </c>
      <c r="H104" s="2" t="s">
        <v>341</v>
      </c>
      <c r="I104" s="2" t="str">
        <f>IFERROR(__xludf.DUMMYFUNCTION("GOOGLETRANSLATE(C104,""fr"",""en"")"),"I was insured at Direct Assurance. Under the Hamon Law My new insurer sent an A/R a request for termination.
Direct Insurance says never having received it and does not want to interrupt the contract.
Their explanation The opinion was lost due to the Co"&amp;"vid 19 and the bazaar which sold it.
Yet I have the notice of receipt of the registered mail.
Despite that he does not want to do anything")</f>
        <v>I was insured at Direct Assurance. Under the Hamon Law My new insurer sent an A/R a request for termination.
Direct Insurance says never having received it and does not want to interrupt the contract.
Their explanation The opinion was lost due to the Covid 19 and the bazaar which sold it.
Yet I have the notice of receipt of the registered mail.
Despite that he does not want to do anything</v>
      </c>
    </row>
    <row r="105" ht="15.75" customHeight="1">
      <c r="A105" s="2">
        <v>4.0</v>
      </c>
      <c r="B105" s="2" t="s">
        <v>392</v>
      </c>
      <c r="C105" s="2" t="s">
        <v>393</v>
      </c>
      <c r="D105" s="2" t="s">
        <v>394</v>
      </c>
      <c r="E105" s="2" t="s">
        <v>32</v>
      </c>
      <c r="F105" s="2" t="s">
        <v>15</v>
      </c>
      <c r="G105" s="2" t="s">
        <v>395</v>
      </c>
      <c r="H105" s="2" t="s">
        <v>201</v>
      </c>
      <c r="I105" s="2" t="str">
        <f>IFERROR(__xludf.DUMMYFUNCTION("GOOGLETRANSLATE(C105,""fr"",""en"")"),"I was on the phone with Mrs. Mariama she is an excellent she explains everything about my card I have her pa receipt it is still as I understood he without late
Thank you
Cordially
Ahamar Mouhsin")</f>
        <v>I was on the phone with Mrs. Mariama she is an excellent she explains everything about my card I have her pa receipt it is still as I understood he without late
Thank you
Cordially
Ahamar Mouhsin</v>
      </c>
    </row>
    <row r="106" ht="15.75" customHeight="1">
      <c r="A106" s="2">
        <v>1.0</v>
      </c>
      <c r="B106" s="2" t="s">
        <v>396</v>
      </c>
      <c r="C106" s="2" t="s">
        <v>397</v>
      </c>
      <c r="D106" s="2" t="s">
        <v>101</v>
      </c>
      <c r="E106" s="2" t="s">
        <v>21</v>
      </c>
      <c r="F106" s="2" t="s">
        <v>15</v>
      </c>
      <c r="G106" s="2" t="s">
        <v>398</v>
      </c>
      <c r="H106" s="2" t="s">
        <v>341</v>
      </c>
      <c r="I106" s="2" t="str">
        <f>IFERROR(__xludf.DUMMYFUNCTION("GOOGLETRANSLATE(C106,""fr"",""en"")"),"Having terminated my contract in March 2020 I received in September a recommended for an unpaid 4.24 with threats of prosecution if not paid within 10 days.
A recommended is € 4.30
A simple letter or a telephone call would have been simpler
Now I may w"&amp;"ait for the judicial regulations for this debt!")</f>
        <v>Having terminated my contract in March 2020 I received in September a recommended for an unpaid 4.24 with threats of prosecution if not paid within 10 days.
A recommended is € 4.30
A simple letter or a telephone call would have been simpler
Now I may wait for the judicial regulations for this debt!</v>
      </c>
    </row>
    <row r="107" ht="15.75" customHeight="1">
      <c r="A107" s="2">
        <v>1.0</v>
      </c>
      <c r="B107" s="2" t="s">
        <v>399</v>
      </c>
      <c r="C107" s="2" t="s">
        <v>400</v>
      </c>
      <c r="D107" s="2" t="s">
        <v>221</v>
      </c>
      <c r="E107" s="2" t="s">
        <v>21</v>
      </c>
      <c r="F107" s="2" t="s">
        <v>15</v>
      </c>
      <c r="G107" s="2" t="s">
        <v>401</v>
      </c>
      <c r="H107" s="2" t="s">
        <v>402</v>
      </c>
      <c r="I107" s="2" t="str">
        <f>IFERROR(__xludf.DUMMYFUNCTION("GOOGLETRANSLATE(C107,""fr"",""en"")"),"Having undergone degradation on my roof following a very strong wind, I am called to report it but after a saying craftsman comes to see the damage of soiled tiles he told you that the roof was dilapidated so yes had classified the folder. My craftsman di"&amp;"d the job and I had to pay the bill while I pay insurance and I have never had any problems! thank you")</f>
        <v>Having undergone degradation on my roof following a very strong wind, I am called to report it but after a saying craftsman comes to see the damage of soiled tiles he told you that the roof was dilapidated so yes had classified the folder. My craftsman did the job and I had to pay the bill while I pay insurance and I have never had any problems! thank you</v>
      </c>
    </row>
    <row r="108" ht="15.75" customHeight="1">
      <c r="A108" s="2">
        <v>2.0</v>
      </c>
      <c r="B108" s="2" t="s">
        <v>403</v>
      </c>
      <c r="C108" s="2" t="s">
        <v>404</v>
      </c>
      <c r="D108" s="2" t="s">
        <v>229</v>
      </c>
      <c r="E108" s="2" t="s">
        <v>96</v>
      </c>
      <c r="F108" s="2" t="s">
        <v>15</v>
      </c>
      <c r="G108" s="2" t="s">
        <v>405</v>
      </c>
      <c r="H108" s="2" t="s">
        <v>406</v>
      </c>
      <c r="I108" s="2" t="str">
        <f>IFERROR(__xludf.DUMMYFUNCTION("GOOGLETRANSLATE(C108,""fr"",""en"")"),"After my accident, an accident having several version because the opposing party does not talk about the fact that it comes out of this parking space. I have been waiting for my disaster to be not responsible for circumstances for 3 months. And despite th"&amp;"e elements added to the file, the compensation service (which we are going to nicknamed the incompetent), has not either time to examine the file, or await a new piece, in short does not take the time to take my seriously and studying all the elements I h"&amp;"ave given to the file. I even write an email questioning the opposing version but these incompetent laughs because they have nothing to do. I find that it is a shame to put a compensation service in the hands of anyone if can involve in their work. While "&amp;"it seems to me to be the most important service of insurance.
I have been waiting to be judged not responsible for this accident for 3 months. Because currently I cannot drive in these conditions because my motorcycle is wreck and only reimbursed me 3,50"&amp;"0 euros out of the 5000 planned.
I do not know if a more competent service can take over but it is just not acceptable to see such a zero service.
Insurance to avoid because in the event of conflict in insurance, it will bend and have you wear the hat"&amp;". In any case it is indeed my feelings.")</f>
        <v>After my accident, an accident having several version because the opposing party does not talk about the fact that it comes out of this parking space. I have been waiting for my disaster to be not responsible for circumstances for 3 months. And despite the elements added to the file, the compensation service (which we are going to nicknamed the incompetent), has not either time to examine the file, or await a new piece, in short does not take the time to take my seriously and studying all the elements I have given to the file. I even write an email questioning the opposing version but these incompetent laughs because they have nothing to do. I find that it is a shame to put a compensation service in the hands of anyone if can involve in their work. While it seems to me to be the most important service of insurance.
I have been waiting to be judged not responsible for this accident for 3 months. Because currently I cannot drive in these conditions because my motorcycle is wreck and only reimbursed me 3,500 euros out of the 5000 planned.
I do not know if a more competent service can take over but it is just not acceptable to see such a zero service.
Insurance to avoid because in the event of conflict in insurance, it will bend and have you wear the hat. In any case it is indeed my feelings.</v>
      </c>
    </row>
    <row r="109" ht="15.75" customHeight="1">
      <c r="A109" s="2">
        <v>5.0</v>
      </c>
      <c r="B109" s="2" t="s">
        <v>407</v>
      </c>
      <c r="C109" s="2" t="s">
        <v>408</v>
      </c>
      <c r="D109" s="2" t="s">
        <v>75</v>
      </c>
      <c r="E109" s="2" t="s">
        <v>14</v>
      </c>
      <c r="F109" s="2" t="s">
        <v>15</v>
      </c>
      <c r="G109" s="2" t="s">
        <v>409</v>
      </c>
      <c r="H109" s="2" t="s">
        <v>39</v>
      </c>
      <c r="I109" s="2" t="str">
        <f>IFERROR(__xludf.DUMMYFUNCTION("GOOGLETRANSLATE(C109,""fr"",""en"")"),"Attractive, simple, quick price to subscribe to no problem for a year I have not had a problem or an accident to see if in the future it remains like that and that the insurance will be there in case.")</f>
        <v>Attractive, simple, quick price to subscribe to no problem for a year I have not had a problem or an accident to see if in the future it remains like that and that the insurance will be there in case.</v>
      </c>
    </row>
    <row r="110" ht="15.75" customHeight="1">
      <c r="A110" s="2">
        <v>3.0</v>
      </c>
      <c r="B110" s="2" t="s">
        <v>410</v>
      </c>
      <c r="C110" s="2" t="s">
        <v>411</v>
      </c>
      <c r="D110" s="2" t="s">
        <v>37</v>
      </c>
      <c r="E110" s="2" t="s">
        <v>14</v>
      </c>
      <c r="F110" s="2" t="s">
        <v>15</v>
      </c>
      <c r="G110" s="2" t="s">
        <v>162</v>
      </c>
      <c r="H110" s="2" t="s">
        <v>86</v>
      </c>
      <c r="I110" s="2" t="str">
        <f>IFERROR(__xludf.DUMMYFUNCTION("GOOGLETRANSLATE(C110,""fr"",""en"")"),"Correct prices ????
Not very clear on the prices on the phone, do not hesitate to ask the precise prices of the 1st payment several times")</f>
        <v>Correct prices ????
Not very clear on the prices on the phone, do not hesitate to ask the precise prices of the 1st payment several times</v>
      </c>
    </row>
    <row r="111" ht="15.75" customHeight="1">
      <c r="A111" s="2">
        <v>3.0</v>
      </c>
      <c r="B111" s="2" t="s">
        <v>412</v>
      </c>
      <c r="C111" s="2" t="s">
        <v>413</v>
      </c>
      <c r="D111" s="2" t="s">
        <v>158</v>
      </c>
      <c r="E111" s="2" t="s">
        <v>14</v>
      </c>
      <c r="F111" s="2" t="s">
        <v>15</v>
      </c>
      <c r="G111" s="2" t="s">
        <v>414</v>
      </c>
      <c r="H111" s="2" t="s">
        <v>52</v>
      </c>
      <c r="I111" s="2" t="str">
        <f>IFERROR(__xludf.DUMMYFUNCTION("GOOGLETRANSLATE(C111,""fr"",""en"")"),"Insurance is lacking more and more respect for customers; After several attempts to appeal to the Call for Communications Calls Coupées without reason; Advisers who do not want to do their job or who say they put an end to communication without wanting to"&amp;" give their name and first name? Or go customer quality? I am completely disappointed with this deplorable attitude.")</f>
        <v>Insurance is lacking more and more respect for customers; After several attempts to appeal to the Call for Communications Calls Coupées without reason; Advisers who do not want to do their job or who say they put an end to communication without wanting to give their name and first name? Or go customer quality? I am completely disappointed with this deplorable attitude.</v>
      </c>
    </row>
    <row r="112" ht="15.75" customHeight="1">
      <c r="A112" s="2">
        <v>4.0</v>
      </c>
      <c r="B112" s="2" t="s">
        <v>415</v>
      </c>
      <c r="C112" s="2" t="s">
        <v>416</v>
      </c>
      <c r="D112" s="2" t="s">
        <v>13</v>
      </c>
      <c r="E112" s="2" t="s">
        <v>14</v>
      </c>
      <c r="F112" s="2" t="s">
        <v>15</v>
      </c>
      <c r="G112" s="2" t="s">
        <v>417</v>
      </c>
      <c r="H112" s="2" t="s">
        <v>155</v>
      </c>
      <c r="I112" s="2" t="str">
        <f>IFERROR(__xludf.DUMMYFUNCTION("GOOGLETRANSLATE(C112,""fr"",""en"")"),"Customer for 20 years, I am very satisfied. Except for the subscription which does not take into account consumer loyalty ...")</f>
        <v>Customer for 20 years, I am very satisfied. Except for the subscription which does not take into account consumer loyalty ...</v>
      </c>
    </row>
    <row r="113" ht="15.75" customHeight="1">
      <c r="A113" s="2">
        <v>4.0</v>
      </c>
      <c r="B113" s="2" t="s">
        <v>418</v>
      </c>
      <c r="C113" s="2" t="s">
        <v>419</v>
      </c>
      <c r="D113" s="2" t="s">
        <v>37</v>
      </c>
      <c r="E113" s="2" t="s">
        <v>14</v>
      </c>
      <c r="F113" s="2" t="s">
        <v>15</v>
      </c>
      <c r="G113" s="2" t="s">
        <v>420</v>
      </c>
      <c r="H113" s="2" t="s">
        <v>28</v>
      </c>
      <c r="I113" s="2" t="str">
        <f>IFERROR(__xludf.DUMMYFUNCTION("GOOGLETRANSLATE(C113,""fr"",""en"")"),"I am satisfied with prices and reception and friendliness of advisers on the phone.
The website on the other hand dysfunction (slowness, errors ...).")</f>
        <v>I am satisfied with prices and reception and friendliness of advisers on the phone.
The website on the other hand dysfunction (slowness, errors ...).</v>
      </c>
    </row>
    <row r="114" ht="15.75" customHeight="1">
      <c r="A114" s="2">
        <v>5.0</v>
      </c>
      <c r="B114" s="2" t="s">
        <v>421</v>
      </c>
      <c r="C114" s="2" t="s">
        <v>422</v>
      </c>
      <c r="D114" s="2" t="s">
        <v>37</v>
      </c>
      <c r="E114" s="2" t="s">
        <v>14</v>
      </c>
      <c r="F114" s="2" t="s">
        <v>15</v>
      </c>
      <c r="G114" s="2" t="s">
        <v>423</v>
      </c>
      <c r="H114" s="2" t="s">
        <v>341</v>
      </c>
      <c r="I114" s="2" t="str">
        <f>IFERROR(__xludf.DUMMYFUNCTION("GOOGLETRANSLATE(C114,""fr"",""en"")"),"Really delighted! A speed and clarity of exchanges, a very good price offered!
Having made other quotes, and was very disappointed with another insurance you were at the top!")</f>
        <v>Really delighted! A speed and clarity of exchanges, a very good price offered!
Having made other quotes, and was very disappointed with another insurance you were at the top!</v>
      </c>
    </row>
    <row r="115" ht="15.75" customHeight="1">
      <c r="A115" s="2">
        <v>4.0</v>
      </c>
      <c r="B115" s="2" t="s">
        <v>424</v>
      </c>
      <c r="C115" s="2" t="s">
        <v>425</v>
      </c>
      <c r="D115" s="2" t="s">
        <v>37</v>
      </c>
      <c r="E115" s="2" t="s">
        <v>14</v>
      </c>
      <c r="F115" s="2" t="s">
        <v>15</v>
      </c>
      <c r="G115" s="2" t="s">
        <v>327</v>
      </c>
      <c r="H115" s="2" t="s">
        <v>111</v>
      </c>
      <c r="I115" s="2" t="str">
        <f>IFERROR(__xludf.DUMMYFUNCTION("GOOGLETRANSLATE(C115,""fr"",""en"")"),"Internet / easy telephone subscription, good care for the insurance advisor, speed of subscription, quality of service to be confirmed later")</f>
        <v>Internet / easy telephone subscription, good care for the insurance advisor, speed of subscription, quality of service to be confirmed later</v>
      </c>
    </row>
    <row r="116" ht="15.75" customHeight="1">
      <c r="A116" s="2">
        <v>2.0</v>
      </c>
      <c r="B116" s="2" t="s">
        <v>426</v>
      </c>
      <c r="C116" s="2" t="s">
        <v>427</v>
      </c>
      <c r="D116" s="2" t="s">
        <v>37</v>
      </c>
      <c r="E116" s="2" t="s">
        <v>14</v>
      </c>
      <c r="F116" s="2" t="s">
        <v>15</v>
      </c>
      <c r="G116" s="2" t="s">
        <v>428</v>
      </c>
      <c r="H116" s="2" t="s">
        <v>357</v>
      </c>
      <c r="I116" s="2" t="str">
        <f>IFERROR(__xludf.DUMMYFUNCTION("GOOGLETRANSLATE(C116,""fr"",""en"")"),"The olive assurance invoice at a high price for the slightest forgetfulness in your registration! 15 euros per addendum for modification of the contract! You do not have the right to make mistakes (even in good faith)")</f>
        <v>The olive assurance invoice at a high price for the slightest forgetfulness in your registration! 15 euros per addendum for modification of the contract! You do not have the right to make mistakes (even in good faith)</v>
      </c>
    </row>
    <row r="117" ht="15.75" customHeight="1">
      <c r="A117" s="2">
        <v>4.0</v>
      </c>
      <c r="B117" s="2" t="s">
        <v>429</v>
      </c>
      <c r="C117" s="2" t="s">
        <v>430</v>
      </c>
      <c r="D117" s="2" t="s">
        <v>70</v>
      </c>
      <c r="E117" s="2" t="s">
        <v>14</v>
      </c>
      <c r="F117" s="2" t="s">
        <v>15</v>
      </c>
      <c r="G117" s="2" t="s">
        <v>431</v>
      </c>
      <c r="H117" s="2" t="s">
        <v>86</v>
      </c>
      <c r="I117" s="2" t="str">
        <f>IFERROR(__xludf.DUMMYFUNCTION("GOOGLETRANSLATE(C117,""fr"",""en"")"),"I'm satisfied.
very good .
Easy to access and very clear site.
I am happy with the services.
Rapport quality /price very well and suits me. I recommend GMF.")</f>
        <v>I'm satisfied.
very good .
Easy to access and very clear site.
I am happy with the services.
Rapport quality /price very well and suits me. I recommend GMF.</v>
      </c>
    </row>
    <row r="118" ht="15.75" customHeight="1">
      <c r="A118" s="2">
        <v>2.0</v>
      </c>
      <c r="B118" s="2" t="s">
        <v>432</v>
      </c>
      <c r="C118" s="2" t="s">
        <v>433</v>
      </c>
      <c r="D118" s="2" t="s">
        <v>95</v>
      </c>
      <c r="E118" s="2" t="s">
        <v>96</v>
      </c>
      <c r="F118" s="2" t="s">
        <v>15</v>
      </c>
      <c r="G118" s="2" t="s">
        <v>434</v>
      </c>
      <c r="H118" s="2" t="s">
        <v>39</v>
      </c>
      <c r="I118" s="2" t="str">
        <f>IFERROR(__xludf.DUMMYFUNCTION("GOOGLETRANSLATE(C118,""fr"",""en"")"),"I am satisfied with the service
Price is to be able to adjust the options to be to third party my having the protection equipment helmet jacket and gloves")</f>
        <v>I am satisfied with the service
Price is to be able to adjust the options to be to third party my having the protection equipment helmet jacket and gloves</v>
      </c>
    </row>
    <row r="119" ht="15.75" customHeight="1">
      <c r="A119" s="2">
        <v>5.0</v>
      </c>
      <c r="B119" s="2" t="s">
        <v>435</v>
      </c>
      <c r="C119" s="2" t="s">
        <v>436</v>
      </c>
      <c r="D119" s="2" t="s">
        <v>75</v>
      </c>
      <c r="E119" s="2" t="s">
        <v>14</v>
      </c>
      <c r="F119" s="2" t="s">
        <v>15</v>
      </c>
      <c r="G119" s="2" t="s">
        <v>437</v>
      </c>
      <c r="H119" s="2" t="s">
        <v>98</v>
      </c>
      <c r="I119" s="2" t="str">
        <f>IFERROR(__xludf.DUMMYFUNCTION("GOOGLETRANSLATE(C119,""fr"",""en"")"),"Attractive price for all the guarantees offered.
A good choice of option according to needs and objects to be provided.
Online quote and confirmation of easy home insurance.
")</f>
        <v>Attractive price for all the guarantees offered.
A good choice of option according to needs and objects to be provided.
Online quote and confirmation of easy home insurance.
</v>
      </c>
    </row>
    <row r="120" ht="15.75" customHeight="1">
      <c r="A120" s="2">
        <v>5.0</v>
      </c>
      <c r="B120" s="2" t="s">
        <v>438</v>
      </c>
      <c r="C120" s="2" t="s">
        <v>439</v>
      </c>
      <c r="D120" s="2" t="s">
        <v>229</v>
      </c>
      <c r="E120" s="2" t="s">
        <v>96</v>
      </c>
      <c r="F120" s="2" t="s">
        <v>15</v>
      </c>
      <c r="G120" s="2" t="s">
        <v>440</v>
      </c>
      <c r="H120" s="2" t="s">
        <v>107</v>
      </c>
      <c r="I120" s="2" t="str">
        <f>IFERROR(__xludf.DUMMYFUNCTION("GOOGLETRANSLATE(C120,""fr"",""en"")"),"I am satisfied with the service, the prices suit me and everything is clear.
Simple fast and efficient, what betterly?
The site is quite intuitive.
")</f>
        <v>I am satisfied with the service, the prices suit me and everything is clear.
Simple fast and efficient, what betterly?
The site is quite intuitive.
</v>
      </c>
    </row>
    <row r="121" ht="15.75" customHeight="1">
      <c r="A121" s="2">
        <v>3.0</v>
      </c>
      <c r="B121" s="2" t="s">
        <v>441</v>
      </c>
      <c r="C121" s="2" t="s">
        <v>442</v>
      </c>
      <c r="D121" s="2" t="s">
        <v>75</v>
      </c>
      <c r="E121" s="2" t="s">
        <v>14</v>
      </c>
      <c r="F121" s="2" t="s">
        <v>15</v>
      </c>
      <c r="G121" s="2" t="s">
        <v>443</v>
      </c>
      <c r="H121" s="2" t="s">
        <v>193</v>
      </c>
      <c r="I121" s="2" t="str">
        <f>IFERROR(__xludf.DUMMYFUNCTION("GOOGLETRANSLATE(C121,""fr"",""en"")"),"An increase in the very strong annual rate this year compared to 2020. I do not really understand this increase. To see Lannee next.
Cordially")</f>
        <v>An increase in the very strong annual rate this year compared to 2020. I do not really understand this increase. To see Lannee next.
Cordially</v>
      </c>
    </row>
    <row r="122" ht="15.75" customHeight="1">
      <c r="A122" s="2">
        <v>1.0</v>
      </c>
      <c r="B122" s="2" t="s">
        <v>444</v>
      </c>
      <c r="C122" s="2" t="s">
        <v>445</v>
      </c>
      <c r="D122" s="2" t="s">
        <v>55</v>
      </c>
      <c r="E122" s="2" t="s">
        <v>14</v>
      </c>
      <c r="F122" s="2" t="s">
        <v>15</v>
      </c>
      <c r="G122" s="2" t="s">
        <v>446</v>
      </c>
      <c r="H122" s="2" t="s">
        <v>17</v>
      </c>
      <c r="I122" s="2" t="str">
        <f>IFERROR(__xludf.DUMMYFUNCTION("GOOGLETRANSLATE(C122,""fr"",""en"")"),"Too bad there is not the possibility of putting 0 star everywhere. I was badly informed and it was I who pay the price. I was never told that there was a towing limit otherwise I would have feared otherwise and I would not have called upon this service al"&amp;"l the other companies mention directly in the quote the number of towing per year. The maaf presents this as being unlimited which is false because it has struck me down because I had 2 in 2015, 1 in 2016 and 2 in 2017 they could at least have returned to"&amp;" me but no on the contrary even after having been Radied they continue to send me advertising so that I register for their car insurance")</f>
        <v>Too bad there is not the possibility of putting 0 star everywhere. I was badly informed and it was I who pay the price. I was never told that there was a towing limit otherwise I would have feared otherwise and I would not have called upon this service all the other companies mention directly in the quote the number of towing per year. The maaf presents this as being unlimited which is false because it has struck me down because I had 2 in 2015, 1 in 2016 and 2 in 2017 they could at least have returned to me but no on the contrary even after having been Radied they continue to send me advertising so that I register for their car insurance</v>
      </c>
    </row>
    <row r="123" ht="15.75" customHeight="1">
      <c r="A123" s="2">
        <v>5.0</v>
      </c>
      <c r="B123" s="2" t="s">
        <v>447</v>
      </c>
      <c r="C123" s="2" t="s">
        <v>448</v>
      </c>
      <c r="D123" s="2" t="s">
        <v>95</v>
      </c>
      <c r="E123" s="2" t="s">
        <v>96</v>
      </c>
      <c r="F123" s="2" t="s">
        <v>15</v>
      </c>
      <c r="G123" s="2" t="s">
        <v>449</v>
      </c>
      <c r="H123" s="2" t="s">
        <v>28</v>
      </c>
      <c r="I123" s="2" t="str">
        <f>IFERROR(__xludf.DUMMYFUNCTION("GOOGLETRANSLATE(C123,""fr"",""en"")"),"I am satisfied with the very affordable price service fast to the job I recommend service to other person who not knowledge !!")</f>
        <v>I am satisfied with the very affordable price service fast to the job I recommend service to other person who not knowledge !!</v>
      </c>
    </row>
    <row r="124" ht="15.75" customHeight="1">
      <c r="A124" s="2">
        <v>3.0</v>
      </c>
      <c r="B124" s="2" t="s">
        <v>450</v>
      </c>
      <c r="C124" s="2" t="s">
        <v>451</v>
      </c>
      <c r="D124" s="2" t="s">
        <v>95</v>
      </c>
      <c r="E124" s="2" t="s">
        <v>96</v>
      </c>
      <c r="F124" s="2" t="s">
        <v>15</v>
      </c>
      <c r="G124" s="2" t="s">
        <v>452</v>
      </c>
      <c r="H124" s="2" t="s">
        <v>86</v>
      </c>
      <c r="I124" s="2" t="str">
        <f>IFERROR(__xludf.DUMMYFUNCTION("GOOGLETRANSLATE(C124,""fr"",""en"")"),"Well thank you very much served good day good value for money supported quickly good value for money and its going quickly and fast and good value for money.")</f>
        <v>Well thank you very much served good day good value for money supported quickly good value for money and its going quickly and fast and good value for money.</v>
      </c>
    </row>
    <row r="125" ht="15.75" customHeight="1">
      <c r="A125" s="2">
        <v>4.0</v>
      </c>
      <c r="B125" s="2" t="s">
        <v>453</v>
      </c>
      <c r="C125" s="2" t="s">
        <v>454</v>
      </c>
      <c r="D125" s="2" t="s">
        <v>37</v>
      </c>
      <c r="E125" s="2" t="s">
        <v>14</v>
      </c>
      <c r="F125" s="2" t="s">
        <v>15</v>
      </c>
      <c r="G125" s="2" t="s">
        <v>455</v>
      </c>
      <c r="H125" s="2" t="s">
        <v>86</v>
      </c>
      <c r="I125" s="2" t="str">
        <f>IFERROR(__xludf.DUMMYFUNCTION("GOOGLETRANSLATE(C125,""fr"",""en"")"),"Full satisfaction for the implementation of the online contract
Reasonable price for a young driver
Speed ​​for the finalization of the online contract")</f>
        <v>Full satisfaction for the implementation of the online contract
Reasonable price for a young driver
Speed ​​for the finalization of the online contract</v>
      </c>
    </row>
    <row r="126" ht="15.75" customHeight="1">
      <c r="A126" s="2">
        <v>5.0</v>
      </c>
      <c r="B126" s="2" t="s">
        <v>456</v>
      </c>
      <c r="C126" s="2" t="s">
        <v>457</v>
      </c>
      <c r="D126" s="2" t="s">
        <v>37</v>
      </c>
      <c r="E126" s="2" t="s">
        <v>14</v>
      </c>
      <c r="F126" s="2" t="s">
        <v>15</v>
      </c>
      <c r="G126" s="2" t="s">
        <v>386</v>
      </c>
      <c r="H126" s="2" t="s">
        <v>193</v>
      </c>
      <c r="I126" s="2" t="str">
        <f>IFERROR(__xludf.DUMMYFUNCTION("GOOGLETRANSLATE(C126,""fr"",""en"")"),"I am satisfied with my service at the olive tree.
The implementation is simple and quick.
Recommended for listening to your needs, reactive and very available.")</f>
        <v>I am satisfied with my service at the olive tree.
The implementation is simple and quick.
Recommended for listening to your needs, reactive and very available.</v>
      </c>
    </row>
    <row r="127" ht="15.75" customHeight="1">
      <c r="A127" s="2">
        <v>1.0</v>
      </c>
      <c r="B127" s="2" t="s">
        <v>458</v>
      </c>
      <c r="C127" s="2" t="s">
        <v>459</v>
      </c>
      <c r="D127" s="2" t="s">
        <v>42</v>
      </c>
      <c r="E127" s="2" t="s">
        <v>32</v>
      </c>
      <c r="F127" s="2" t="s">
        <v>15</v>
      </c>
      <c r="G127" s="2" t="s">
        <v>460</v>
      </c>
      <c r="H127" s="2" t="s">
        <v>39</v>
      </c>
      <c r="I127" s="2" t="str">
        <f>IFERROR(__xludf.DUMMYFUNCTION("GOOGLETRANSLATE(C127,""fr"",""en"")"),"Hello,
Teacher at the MGEN since 1980, I have just undergone a hip operation with 4 days of hospitalization and a cost of € 3500. Recovery required a work stoppage of more than 90 days and I therefore went to half a treatment for two months. My contract "&amp;"provided for daily allowances to compensate for these losses.
I have just received a notice stipulating that given my income I was not entitled to any compensation. I had chosen the ""balance"" formula in the event of this case, precisely.
I therefore a"&amp;"dvise you to calculate this income/compensation ratio before choosing your formula.
In the end, between the surgeon's consultation in France then the trip to have me operated 2 months later in Lyon (I work in Mayotte) I paid around 3000 € for these 2 tri"&amp;"ps.
This operation therefore costs me € 6,500. The MGEN has reimbursed € 620 and my annual subscription amounts to 1818 €.
I do not hide my deep disappointment (without talking about communication difficulties and the lamentable functioning of the site "&amp;"...).
Consequently, I have to keep the MGEN until the end of 2021 but I will terminate this mutual insurance company to either choose another, or no longer use it and save the monthly payments in case or ... .")</f>
        <v>Hello,
Teacher at the MGEN since 1980, I have just undergone a hip operation with 4 days of hospitalization and a cost of € 3500. Recovery required a work stoppage of more than 90 days and I therefore went to half a treatment for two months. My contract provided for daily allowances to compensate for these losses.
I have just received a notice stipulating that given my income I was not entitled to any compensation. I had chosen the "balance" formula in the event of this case, precisely.
I therefore advise you to calculate this income/compensation ratio before choosing your formula.
In the end, between the surgeon's consultation in France then the trip to have me operated 2 months later in Lyon (I work in Mayotte) I paid around 3000 € for these 2 trips.
This operation therefore costs me € 6,500. The MGEN has reimbursed € 620 and my annual subscription amounts to 1818 €.
I do not hide my deep disappointment (without talking about communication difficulties and the lamentable functioning of the site ...).
Consequently, I have to keep the MGEN until the end of 2021 but I will terminate this mutual insurance company to either choose another, or no longer use it and save the monthly payments in case or ... .</v>
      </c>
    </row>
    <row r="128" ht="15.75" customHeight="1">
      <c r="A128" s="2">
        <v>3.0</v>
      </c>
      <c r="B128" s="2" t="s">
        <v>461</v>
      </c>
      <c r="C128" s="2" t="s">
        <v>462</v>
      </c>
      <c r="D128" s="2" t="s">
        <v>70</v>
      </c>
      <c r="E128" s="2" t="s">
        <v>14</v>
      </c>
      <c r="F128" s="2" t="s">
        <v>15</v>
      </c>
      <c r="G128" s="2" t="s">
        <v>463</v>
      </c>
      <c r="H128" s="2" t="s">
        <v>39</v>
      </c>
      <c r="I128" s="2" t="str">
        <f>IFERROR(__xludf.DUMMYFUNCTION("GOOGLETRANSLATE(C128,""fr"",""en"")"),"Simple and practical. This site is very well done.
The prices are competitive.
You have given satisfaction to customer requests.
thank you so much.")</f>
        <v>Simple and practical. This site is very well done.
The prices are competitive.
You have given satisfaction to customer requests.
thank you so much.</v>
      </c>
    </row>
    <row r="129" ht="15.75" customHeight="1">
      <c r="A129" s="2">
        <v>1.0</v>
      </c>
      <c r="B129" s="2" t="s">
        <v>464</v>
      </c>
      <c r="C129" s="2" t="s">
        <v>465</v>
      </c>
      <c r="D129" s="2" t="s">
        <v>173</v>
      </c>
      <c r="E129" s="2" t="s">
        <v>32</v>
      </c>
      <c r="F129" s="2" t="s">
        <v>15</v>
      </c>
      <c r="G129" s="2" t="s">
        <v>466</v>
      </c>
      <c r="H129" s="2" t="s">
        <v>467</v>
      </c>
      <c r="I129" s="2" t="str">
        <f>IFERROR(__xludf.DUMMYFUNCTION("GOOGLETRANSLATE(C129,""fr"",""en"")"),"During my membership they took my monthly subscription to me without having received the confirmation of termination of my mutual which did not accept termination. Which means that I found myself without any possibility of teletransmission of the CPAM thi"&amp;"s one unable to carry out teletransmission if we have two mutuals. No possibility of contact. Impossible to join and when they are asked to recall .... I wait again. They remain in their denial and I had to pay me two monthly contributions without having "&amp;"been entitled to be reimbursed for my care caused and to have to pay them from my pocket. Thank you Santia")</f>
        <v>During my membership they took my monthly subscription to me without having received the confirmation of termination of my mutual which did not accept termination. Which means that I found myself without any possibility of teletransmission of the CPAM this one unable to carry out teletransmission if we have two mutuals. No possibility of contact. Impossible to join and when they are asked to recall .... I wait again. They remain in their denial and I had to pay me two monthly contributions without having been entitled to be reimbursed for my care caused and to have to pay them from my pocket. Thank you Santia</v>
      </c>
    </row>
    <row r="130" ht="15.75" customHeight="1">
      <c r="A130" s="2">
        <v>4.0</v>
      </c>
      <c r="B130" s="2" t="s">
        <v>468</v>
      </c>
      <c r="C130" s="2" t="s">
        <v>469</v>
      </c>
      <c r="D130" s="2" t="s">
        <v>95</v>
      </c>
      <c r="E130" s="2" t="s">
        <v>96</v>
      </c>
      <c r="F130" s="2" t="s">
        <v>15</v>
      </c>
      <c r="G130" s="2" t="s">
        <v>470</v>
      </c>
      <c r="H130" s="2" t="s">
        <v>39</v>
      </c>
      <c r="I130" s="2" t="str">
        <f>IFERROR(__xludf.DUMMYFUNCTION("GOOGLETRANSLATE(C130,""fr"",""en"")"),"I have nothing to say except that the speed to which one can subscribe to a contract is extremely fast and other than that for the moment everything is correct")</f>
        <v>I have nothing to say except that the speed to which one can subscribe to a contract is extremely fast and other than that for the moment everything is correct</v>
      </c>
    </row>
    <row r="131" ht="15.75" customHeight="1">
      <c r="A131" s="2">
        <v>2.0</v>
      </c>
      <c r="B131" s="2" t="s">
        <v>471</v>
      </c>
      <c r="C131" s="2" t="s">
        <v>472</v>
      </c>
      <c r="D131" s="2" t="s">
        <v>75</v>
      </c>
      <c r="E131" s="2" t="s">
        <v>14</v>
      </c>
      <c r="F131" s="2" t="s">
        <v>15</v>
      </c>
      <c r="G131" s="2" t="s">
        <v>473</v>
      </c>
      <c r="H131" s="2" t="s">
        <v>39</v>
      </c>
      <c r="I131" s="2" t="str">
        <f>IFERROR(__xludf.DUMMYFUNCTION("GOOGLETRANSLATE(C131,""fr"",""en"")"),"I am not satisfied with the service because we make pays a service that I do not consume ... I stop my contracts in their terms that's all ... Especially concerning my Peugeot 106")</f>
        <v>I am not satisfied with the service because we make pays a service that I do not consume ... I stop my contracts in their terms that's all ... Especially concerning my Peugeot 106</v>
      </c>
    </row>
    <row r="132" ht="15.75" customHeight="1">
      <c r="A132" s="2">
        <v>2.0</v>
      </c>
      <c r="B132" s="2" t="s">
        <v>474</v>
      </c>
      <c r="C132" s="2" t="s">
        <v>475</v>
      </c>
      <c r="D132" s="2" t="s">
        <v>37</v>
      </c>
      <c r="E132" s="2" t="s">
        <v>14</v>
      </c>
      <c r="F132" s="2" t="s">
        <v>15</v>
      </c>
      <c r="G132" s="2" t="s">
        <v>476</v>
      </c>
      <c r="H132" s="2" t="s">
        <v>107</v>
      </c>
      <c r="I132" s="2" t="str">
        <f>IFERROR(__xludf.DUMMYFUNCTION("GOOGLETRANSLATE(C132,""fr"",""en"")"),"An attractive price in the first year, increasing by 18% without disaster, no 2nd.
A vehicle flight in March 2021 still not reimbursed in September 2021.
Value to say of experts € 35,000, reimbursement proposal € 28,000 ... file transmitted to the lawye"&amp;"r.
Another non -responsible body loss vehicle, I had to send a registered letter for the expertise expert.
I had to send a registered letter to require the refund still not made 3 weeks after transmitting the invoice ...
The apologies are legion on the"&amp;" phone: lack of staff, computer concern and now summer period ...
In short, quick to take you but it's all.
Ah yes, I forgot: 3 green card shipments with a bad registration number for the same vehicle.
I keep available to all emails, letters and conv"&amp;"ersations recorded.
A school case of everything you need to do to flow a box.")</f>
        <v>An attractive price in the first year, increasing by 18% without disaster, no 2nd.
A vehicle flight in March 2021 still not reimbursed in September 2021.
Value to say of experts € 35,000, reimbursement proposal € 28,000 ... file transmitted to the lawyer.
Another non -responsible body loss vehicle, I had to send a registered letter for the expertise expert.
I had to send a registered letter to require the refund still not made 3 weeks after transmitting the invoice ...
The apologies are legion on the phone: lack of staff, computer concern and now summer period ...
In short, quick to take you but it's all.
Ah yes, I forgot: 3 green card shipments with a bad registration number for the same vehicle.
I keep available to all emails, letters and conversations recorded.
A school case of everything you need to do to flow a box.</v>
      </c>
    </row>
    <row r="133" ht="15.75" customHeight="1">
      <c r="A133" s="2">
        <v>5.0</v>
      </c>
      <c r="B133" s="2" t="s">
        <v>477</v>
      </c>
      <c r="C133" s="2" t="s">
        <v>478</v>
      </c>
      <c r="D133" s="2" t="s">
        <v>75</v>
      </c>
      <c r="E133" s="2" t="s">
        <v>14</v>
      </c>
      <c r="F133" s="2" t="s">
        <v>15</v>
      </c>
      <c r="G133" s="2" t="s">
        <v>455</v>
      </c>
      <c r="H133" s="2" t="s">
        <v>86</v>
      </c>
      <c r="I133" s="2" t="str">
        <f>IFERROR(__xludf.DUMMYFUNCTION("GOOGLETRANSLATE(C133,""fr"",""en"")"),"I am satisfied with the price for the service
I am satisfied with the speed
I'm waiting to see the evolution with you
I recommend you to my friends")</f>
        <v>I am satisfied with the price for the service
I am satisfied with the speed
I'm waiting to see the evolution with you
I recommend you to my friends</v>
      </c>
    </row>
    <row r="134" ht="15.75" customHeight="1">
      <c r="A134" s="2">
        <v>4.0</v>
      </c>
      <c r="B134" s="2" t="s">
        <v>479</v>
      </c>
      <c r="C134" s="2" t="s">
        <v>480</v>
      </c>
      <c r="D134" s="2" t="s">
        <v>75</v>
      </c>
      <c r="E134" s="2" t="s">
        <v>14</v>
      </c>
      <c r="F134" s="2" t="s">
        <v>15</v>
      </c>
      <c r="G134" s="2" t="s">
        <v>481</v>
      </c>
      <c r="H134" s="2" t="s">
        <v>98</v>
      </c>
      <c r="I134" s="2" t="str">
        <f>IFERROR(__xludf.DUMMYFUNCTION("GOOGLETRANSLATE(C134,""fr"",""en"")"),"Always pleasant welcome on the phone, good listening and available for every question. The waiting period is always reasonable depending on the time. I advise without hesitation")</f>
        <v>Always pleasant welcome on the phone, good listening and available for every question. The waiting period is always reasonable depending on the time. I advise without hesitation</v>
      </c>
    </row>
    <row r="135" ht="15.75" customHeight="1">
      <c r="A135" s="2">
        <v>1.0</v>
      </c>
      <c r="B135" s="2" t="s">
        <v>482</v>
      </c>
      <c r="C135" s="2" t="s">
        <v>483</v>
      </c>
      <c r="D135" s="2" t="s">
        <v>247</v>
      </c>
      <c r="E135" s="2" t="s">
        <v>32</v>
      </c>
      <c r="F135" s="2" t="s">
        <v>15</v>
      </c>
      <c r="G135" s="2" t="s">
        <v>484</v>
      </c>
      <c r="H135" s="2" t="s">
        <v>103</v>
      </c>
      <c r="I135" s="2" t="str">
        <f>IFERROR(__xludf.DUMMYFUNCTION("GOOGLETRANSLATE(C135,""fr"",""en"")"),"I have been waiting for my delivery in Luxembourg for 6 months now ... I believe that I will never see the € 800 to which I have entitled to which my contract provides for a fee of 200% and that the SS price of Luxembourg for a private room is 66% of exce"&amp;"eding fees ...
In short to flee ...")</f>
        <v>I have been waiting for my delivery in Luxembourg for 6 months now ... I believe that I will never see the € 800 to which I have entitled to which my contract provides for a fee of 200% and that the SS price of Luxembourg for a private room is 66% of exceeding fees ...
In short to flee ...</v>
      </c>
    </row>
    <row r="136" ht="15.75" customHeight="1">
      <c r="A136" s="2">
        <v>1.0</v>
      </c>
      <c r="B136" s="2" t="s">
        <v>485</v>
      </c>
      <c r="C136" s="2" t="s">
        <v>486</v>
      </c>
      <c r="D136" s="2" t="s">
        <v>487</v>
      </c>
      <c r="E136" s="2" t="s">
        <v>65</v>
      </c>
      <c r="F136" s="2" t="s">
        <v>15</v>
      </c>
      <c r="G136" s="2" t="s">
        <v>488</v>
      </c>
      <c r="H136" s="2" t="s">
        <v>98</v>
      </c>
      <c r="I136" s="2" t="str">
        <f>IFERROR(__xludf.DUMMYFUNCTION("GOOGLETRANSLATE(C136,""fr"",""en"")"),"So we with the Swiss Life a horror .ma woman is heir to her godmother who has a capitalization contract at Swiss Life with a very comfortable sum. It has been several months since we are asked the same papers provided 50 times. It is two weeks ago J APORL"&amp;" I am told the file has been complete since March 29, we pay the funds to you, seeing nothing to happen I remind today even I am told that the file is not complete. He no longer knows what to say is a shame. We seized our lawyers that day which assigned t"&amp;"he Swiss Life before the competent court for a request for the request for damages. Assurance to flee what horror and what shame. So a simple individual if he has the misfortune of not being able to an insurance premium we leave him of time to regularize."&amp;" If it is not done in 8 days we are rapping it from the insurance. We are the file on a bad file insurance payer and as a bonus we send him the bailiffs to the door and the swiss life allowed to play with the nerves of people Well laugh. Laughs best who l"&amp;"aughs last")</f>
        <v>So we with the Swiss Life a horror .ma woman is heir to her godmother who has a capitalization contract at Swiss Life with a very comfortable sum. It has been several months since we are asked the same papers provided 50 times. It is two weeks ago J APORL I am told the file has been complete since March 29, we pay the funds to you, seeing nothing to happen I remind today even I am told that the file is not complete. He no longer knows what to say is a shame. We seized our lawyers that day which assigned the Swiss Life before the competent court for a request for the request for damages. Assurance to flee what horror and what shame. So a simple individual if he has the misfortune of not being able to an insurance premium we leave him of time to regularize. If it is not done in 8 days we are rapping it from the insurance. We are the file on a bad file insurance payer and as a bonus we send him the bailiffs to the door and the swiss life allowed to play with the nerves of people Well laugh. Laughs best who laughs last</v>
      </c>
    </row>
    <row r="137" ht="15.75" customHeight="1">
      <c r="A137" s="2">
        <v>2.0</v>
      </c>
      <c r="B137" s="2" t="s">
        <v>489</v>
      </c>
      <c r="C137" s="2" t="s">
        <v>490</v>
      </c>
      <c r="D137" s="2" t="s">
        <v>70</v>
      </c>
      <c r="E137" s="2" t="s">
        <v>14</v>
      </c>
      <c r="F137" s="2" t="s">
        <v>15</v>
      </c>
      <c r="G137" s="2" t="s">
        <v>491</v>
      </c>
      <c r="H137" s="2" t="s">
        <v>77</v>
      </c>
      <c r="I137" s="2" t="str">
        <f>IFERROR(__xludf.DUMMYFUNCTION("GOOGLETRANSLATE(C137,""fr"",""en"")"),"Admittedly, I am satisfied with the service and the coverage especially for the car, however, for a car of more than 20 years with a super bonus, I always pay practically the same thing. No tangible drop. More than 10 years at GMF ...
For the site, it is"&amp;" simple and practical for obtaining documents rather than wasting time in agency.")</f>
        <v>Admittedly, I am satisfied with the service and the coverage especially for the car, however, for a car of more than 20 years with a super bonus, I always pay practically the same thing. No tangible drop. More than 10 years at GMF ...
For the site, it is simple and practical for obtaining documents rather than wasting time in agency.</v>
      </c>
    </row>
    <row r="138" ht="15.75" customHeight="1">
      <c r="A138" s="2">
        <v>2.0</v>
      </c>
      <c r="B138" s="2" t="s">
        <v>492</v>
      </c>
      <c r="C138" s="2" t="s">
        <v>493</v>
      </c>
      <c r="D138" s="2" t="s">
        <v>37</v>
      </c>
      <c r="E138" s="2" t="s">
        <v>14</v>
      </c>
      <c r="F138" s="2" t="s">
        <v>15</v>
      </c>
      <c r="G138" s="2" t="s">
        <v>494</v>
      </c>
      <c r="H138" s="2" t="s">
        <v>83</v>
      </c>
      <c r="I138" s="2" t="str">
        <f>IFERROR(__xludf.DUMMYFUNCTION("GOOGLETRANSLATE(C138,""fr"",""en"")"),"30 % increase in my premium in 2 years without any claim, for accidentology reasons in the 13. However, when I registered with Lolivier, in 2016 the premium had already been raised due to a non -responsible disaster suffered it Some years ago. Suddenly, I"&amp;" have the impression that all the apologies are good for justifying an increase !!!")</f>
        <v>30 % increase in my premium in 2 years without any claim, for accidentology reasons in the 13. However, when I registered with Lolivier, in 2016 the premium had already been raised due to a non -responsible disaster suffered it Some years ago. Suddenly, I have the impression that all the apologies are good for justifying an increase !!!</v>
      </c>
    </row>
    <row r="139" ht="15.75" customHeight="1">
      <c r="A139" s="2">
        <v>1.0</v>
      </c>
      <c r="B139" s="2" t="s">
        <v>495</v>
      </c>
      <c r="C139" s="2" t="s">
        <v>496</v>
      </c>
      <c r="D139" s="2" t="s">
        <v>26</v>
      </c>
      <c r="E139" s="2" t="s">
        <v>21</v>
      </c>
      <c r="F139" s="2" t="s">
        <v>15</v>
      </c>
      <c r="G139" s="2" t="s">
        <v>497</v>
      </c>
      <c r="H139" s="2" t="s">
        <v>331</v>
      </c>
      <c r="I139" s="2" t="str">
        <f>IFERROR(__xludf.DUMMYFUNCTION("GOOGLETRANSLATE(C139,""fr"",""en"")"),"Hello, since March, I try to carry out the end of my work on the entrance corridor. I had big concerns of engorgement, fortunately I have another insurance for the leakage problems, which means that after various interventions the PBM was resolved. But as"&amp;" a precaution the last plumber (having worked at La Saur, very pro) advised to wait a happy new year to be sure not to rehake the tiles ... I followed this advice and I bite my fingers Because since I was made ""Poirot"" with you saying a 1st expertise fi"&amp;"rm, sick leave, computer pbm and so on until the day I called and that we are told we no longer work for AXA! re cabinet of expertise vacation time ... blah blah I specify that with photos it is obvious to see the old white tiles and the new gray tiles wh"&amp;"ere the plumber changed the pipes! The poor secretary only tells me that she transmitted, in short we are at the end of the year and the waiting time here for craftsmen is 6 to 10 months, this is where I am. I specify that there are never an apology, I am"&amp;" myself a shopping and I could not consider treating customers in this way! Without saying that my son signed a contract this summer, too bad! Very disappointed with this lack of professionalism ...")</f>
        <v>Hello, since March, I try to carry out the end of my work on the entrance corridor. I had big concerns of engorgement, fortunately I have another insurance for the leakage problems, which means that after various interventions the PBM was resolved. But as a precaution the last plumber (having worked at La Saur, very pro) advised to wait a happy new year to be sure not to rehake the tiles ... I followed this advice and I bite my fingers Because since I was made "Poirot" with you saying a 1st expertise firm, sick leave, computer pbm and so on until the day I called and that we are told we no longer work for AXA! re cabinet of expertise vacation time ... blah blah I specify that with photos it is obvious to see the old white tiles and the new gray tiles where the plumber changed the pipes! The poor secretary only tells me that she transmitted, in short we are at the end of the year and the waiting time here for craftsmen is 6 to 10 months, this is where I am. I specify that there are never an apology, I am myself a shopping and I could not consider treating customers in this way! Without saying that my son signed a contract this summer, too bad! Very disappointed with this lack of professionalism ...</v>
      </c>
    </row>
    <row r="140" ht="15.75" customHeight="1">
      <c r="A140" s="2">
        <v>2.0</v>
      </c>
      <c r="B140" s="2" t="s">
        <v>498</v>
      </c>
      <c r="C140" s="2" t="s">
        <v>499</v>
      </c>
      <c r="D140" s="2" t="s">
        <v>13</v>
      </c>
      <c r="E140" s="2" t="s">
        <v>14</v>
      </c>
      <c r="F140" s="2" t="s">
        <v>15</v>
      </c>
      <c r="G140" s="2" t="s">
        <v>500</v>
      </c>
      <c r="H140" s="2" t="s">
        <v>501</v>
      </c>
      <c r="I140" s="2" t="str">
        <f>IFERROR(__xludf.DUMMYFUNCTION("GOOGLETRANSLATE(C140,""fr"",""en"")"),"- 3 claims in 48 years and 3 head intakes - they invent anything so as not to pay - it seems that my car was driving when its cashily was hit - I knew that I had an automatic but not an autonomous - I understood - finally you say - I'm looking for another"&amp;" honest assurance")</f>
        <v>- 3 claims in 48 years and 3 head intakes - they invent anything so as not to pay - it seems that my car was driving when its cashily was hit - I knew that I had an automatic but not an autonomous - I understood - finally you say - I'm looking for another honest assurance</v>
      </c>
    </row>
    <row r="141" ht="15.75" customHeight="1">
      <c r="A141" s="2">
        <v>3.0</v>
      </c>
      <c r="B141" s="2" t="s">
        <v>502</v>
      </c>
      <c r="C141" s="2" t="s">
        <v>503</v>
      </c>
      <c r="D141" s="2" t="s">
        <v>37</v>
      </c>
      <c r="E141" s="2" t="s">
        <v>14</v>
      </c>
      <c r="F141" s="2" t="s">
        <v>15</v>
      </c>
      <c r="G141" s="2" t="s">
        <v>504</v>
      </c>
      <c r="H141" s="2" t="s">
        <v>28</v>
      </c>
      <c r="I141" s="2" t="str">
        <f>IFERROR(__xludf.DUMMYFUNCTION("GOOGLETRANSLATE(C141,""fr"",""en"")"),"It's good and very fast to ensure, the site is very complete and understandable for everyone. Nothing more to add.
Thank you good day to you")</f>
        <v>It's good and very fast to ensure, the site is very complete and understandable for everyone. Nothing more to add.
Thank you good day to you</v>
      </c>
    </row>
    <row r="142" ht="15.75" customHeight="1">
      <c r="A142" s="2">
        <v>1.0</v>
      </c>
      <c r="B142" s="2" t="s">
        <v>505</v>
      </c>
      <c r="C142" s="2" t="s">
        <v>506</v>
      </c>
      <c r="D142" s="2" t="s">
        <v>75</v>
      </c>
      <c r="E142" s="2" t="s">
        <v>14</v>
      </c>
      <c r="F142" s="2" t="s">
        <v>15</v>
      </c>
      <c r="G142" s="2" t="s">
        <v>507</v>
      </c>
      <c r="H142" s="2" t="s">
        <v>508</v>
      </c>
      <c r="I142" s="2" t="str">
        <f>IFERROR(__xludf.DUMMYFUNCTION("GOOGLETRANSLATE(C142,""fr"",""en"")"),"A deplorable telephone service, increases each year for no reason, (given explanation, normal is everywhere the same :(")</f>
        <v>A deplorable telephone service, increases each year for no reason, (given explanation, normal is everywhere the same :(</v>
      </c>
    </row>
    <row r="143" ht="15.75" customHeight="1">
      <c r="A143" s="2">
        <v>3.0</v>
      </c>
      <c r="B143" s="2" t="s">
        <v>509</v>
      </c>
      <c r="C143" s="2" t="s">
        <v>510</v>
      </c>
      <c r="D143" s="2" t="s">
        <v>75</v>
      </c>
      <c r="E143" s="2" t="s">
        <v>14</v>
      </c>
      <c r="F143" s="2" t="s">
        <v>15</v>
      </c>
      <c r="G143" s="2" t="s">
        <v>193</v>
      </c>
      <c r="H143" s="2" t="s">
        <v>193</v>
      </c>
      <c r="I143" s="2" t="str">
        <f>IFERROR(__xludf.DUMMYFUNCTION("GOOGLETRANSLATE(C143,""fr"",""en"")"),"I am satisfied with the price on the market and the approach ... I could obviously advise direct insurance to relationships and friends.
The very simplified approach.")</f>
        <v>I am satisfied with the price on the market and the approach ... I could obviously advise direct insurance to relationships and friends.
The very simplified approach.</v>
      </c>
    </row>
    <row r="144" ht="15.75" customHeight="1">
      <c r="A144" s="2">
        <v>5.0</v>
      </c>
      <c r="B144" s="2" t="s">
        <v>511</v>
      </c>
      <c r="C144" s="2" t="s">
        <v>512</v>
      </c>
      <c r="D144" s="2" t="s">
        <v>75</v>
      </c>
      <c r="E144" s="2" t="s">
        <v>14</v>
      </c>
      <c r="F144" s="2" t="s">
        <v>15</v>
      </c>
      <c r="G144" s="2" t="s">
        <v>513</v>
      </c>
      <c r="H144" s="2" t="s">
        <v>86</v>
      </c>
      <c r="I144" s="2" t="str">
        <f>IFERROR(__xludf.DUMMYFUNCTION("GOOGLETRANSLATE(C144,""fr"",""en"")"),"Very satisfied with the service and fast.
The site is very easy to use. I strongly recommend. The prices are very attractive compared to the competition")</f>
        <v>Very satisfied with the service and fast.
The site is very easy to use. I strongly recommend. The prices are very attractive compared to the competition</v>
      </c>
    </row>
    <row r="145" ht="15.75" customHeight="1">
      <c r="A145" s="2">
        <v>2.0</v>
      </c>
      <c r="B145" s="2" t="s">
        <v>514</v>
      </c>
      <c r="C145" s="2" t="s">
        <v>515</v>
      </c>
      <c r="D145" s="2" t="s">
        <v>221</v>
      </c>
      <c r="E145" s="2" t="s">
        <v>21</v>
      </c>
      <c r="F145" s="2" t="s">
        <v>15</v>
      </c>
      <c r="G145" s="2" t="s">
        <v>213</v>
      </c>
      <c r="H145" s="2" t="s">
        <v>83</v>
      </c>
      <c r="I145" s="2" t="str">
        <f>IFERROR(__xludf.DUMMYFUNCTION("GOOGLETRANSLATE(C145,""fr"",""en"")"),"I had water degats. Covered event according to CG. Pacifica refuses the pay by a letter that replies to a Whatsup message. No explanation pk they do not cover, nor a reference to the contract and its CG. I then dispute by a letter, with reference to the c"&amp;"ontract, I calculate for them how much they owe me. 2J after I receive the transfer to my account. Chance? Human fault? Or the insurer's policy to pay only after the dispute - if there is ever any?")</f>
        <v>I had water degats. Covered event according to CG. Pacifica refuses the pay by a letter that replies to a Whatsup message. No explanation pk they do not cover, nor a reference to the contract and its CG. I then dispute by a letter, with reference to the contract, I calculate for them how much they owe me. 2J after I receive the transfer to my account. Chance? Human fault? Or the insurer's policy to pay only after the dispute - if there is ever any?</v>
      </c>
    </row>
    <row r="146" ht="15.75" customHeight="1">
      <c r="A146" s="2">
        <v>3.0</v>
      </c>
      <c r="B146" s="2" t="s">
        <v>516</v>
      </c>
      <c r="C146" s="2" t="s">
        <v>517</v>
      </c>
      <c r="D146" s="2" t="s">
        <v>70</v>
      </c>
      <c r="E146" s="2" t="s">
        <v>14</v>
      </c>
      <c r="F146" s="2" t="s">
        <v>15</v>
      </c>
      <c r="G146" s="2" t="s">
        <v>165</v>
      </c>
      <c r="H146" s="2" t="s">
        <v>98</v>
      </c>
      <c r="I146" s="2" t="str">
        <f>IFERROR(__xludf.DUMMYFUNCTION("GOOGLETRANSLATE(C146,""fr"",""en"")"),"I recalled yesterday to correct the mileage ""Petit Rouleur"" of 400 km (96500-&gt; 91077).
Given the number of contracts I have at GMF, and the budget that this represents, without major disaster for several decades, I thought that the GMF would have made "&amp;"a ""small"" commercial gesture by maintaining mileage at 12 months (96500) ...
But no, strict application of the announced provisions: too bad!")</f>
        <v>I recalled yesterday to correct the mileage "Petit Rouleur" of 400 km (96500-&gt; 91077).
Given the number of contracts I have at GMF, and the budget that this represents, without major disaster for several decades, I thought that the GMF would have made a "small" commercial gesture by maintaining mileage at 12 months (96500) ...
But no, strict application of the announced provisions: too bad!</v>
      </c>
    </row>
    <row r="147" ht="15.75" customHeight="1">
      <c r="A147" s="2">
        <v>2.0</v>
      </c>
      <c r="B147" s="2" t="s">
        <v>518</v>
      </c>
      <c r="C147" s="2" t="s">
        <v>519</v>
      </c>
      <c r="D147" s="2" t="s">
        <v>75</v>
      </c>
      <c r="E147" s="2" t="s">
        <v>14</v>
      </c>
      <c r="F147" s="2" t="s">
        <v>15</v>
      </c>
      <c r="G147" s="2" t="s">
        <v>520</v>
      </c>
      <c r="H147" s="2" t="s">
        <v>521</v>
      </c>
      <c r="I147" s="2" t="str">
        <f>IFERROR(__xludf.DUMMYFUNCTION("GOOGLETRANSLATE(C147,""fr"",""en"")"),"The prices do not suit me since I have been your customer for more than 9 years despite that I added my wife at Direct Insurance. No commercial gesture and no possible negotiation with you. These constraints really push me to go to insurers even more expe"&amp;"nsive!
Cordially.
Your dissatisfied customer")</f>
        <v>The prices do not suit me since I have been your customer for more than 9 years despite that I added my wife at Direct Insurance. No commercial gesture and no possible negotiation with you. These constraints really push me to go to insurers even more expensive!
Cordially.
Your dissatisfied customer</v>
      </c>
    </row>
    <row r="148" ht="15.75" customHeight="1">
      <c r="A148" s="2">
        <v>3.0</v>
      </c>
      <c r="B148" s="2" t="s">
        <v>522</v>
      </c>
      <c r="C148" s="2" t="s">
        <v>523</v>
      </c>
      <c r="D148" s="2" t="s">
        <v>37</v>
      </c>
      <c r="E148" s="2" t="s">
        <v>14</v>
      </c>
      <c r="F148" s="2" t="s">
        <v>15</v>
      </c>
      <c r="G148" s="2" t="s">
        <v>524</v>
      </c>
      <c r="H148" s="2" t="s">
        <v>28</v>
      </c>
      <c r="I148" s="2" t="str">
        <f>IFERROR(__xludf.DUMMYFUNCTION("GOOGLETRANSLATE(C148,""fr"",""en"")"),"more expensive than an initially announced on the quote; The franchise remains high. Still competitive. I don't understand why the bonus is limited to 0.75")</f>
        <v>more expensive than an initially announced on the quote; The franchise remains high. Still competitive. I don't understand why the bonus is limited to 0.75</v>
      </c>
    </row>
    <row r="149" ht="15.75" customHeight="1">
      <c r="A149" s="2">
        <v>3.0</v>
      </c>
      <c r="B149" s="2" t="s">
        <v>525</v>
      </c>
      <c r="C149" s="2" t="s">
        <v>526</v>
      </c>
      <c r="D149" s="2" t="s">
        <v>184</v>
      </c>
      <c r="E149" s="2" t="s">
        <v>96</v>
      </c>
      <c r="F149" s="2" t="s">
        <v>15</v>
      </c>
      <c r="G149" s="2" t="s">
        <v>527</v>
      </c>
      <c r="H149" s="2" t="s">
        <v>528</v>
      </c>
      <c r="I149" s="2" t="str">
        <f>IFERROR(__xludf.DUMMYFUNCTION("GOOGLETRANSLATE(C149,""fr"",""en"")"),"What a pity that this insurer is so poorly organized (especially computer level). Normally (excluding COVID) the advisers are pleasant, attentive. The guarantees are good and the competitive price. But then what hell when you are pro to pay your subscript"&amp;"ion! No online account (we are in 2020 !!), impossible to pay by CB online. And with the covid, no more open agency, even more dedicated telephonic line ... an email or you are answered (within 36 hours in general). But the worst, I made an online quote f"&amp;"or a new motorcycle on a personal basis, and tried for days to subscribe, but impossible: nobody answers the phone, I ask to be recalled several times ... I am waiting always. In the end, I bought my new motorcycle but made it ensure elsewhere ... Simply "&amp;"because they are unable to have subscribed online (in 2020 !!). It is sad to note that a ""good"" insurer is on the verge of collapse with the COVVID. Your IT manager and/or management is/are zero. The COVID revealed the sclerosis of your organization. It"&amp;"'s a shame, but that's how it is. In any case, you have lost a stupid customer (and I don't think I am the only one).")</f>
        <v>What a pity that this insurer is so poorly organized (especially computer level). Normally (excluding COVID) the advisers are pleasant, attentive. The guarantees are good and the competitive price. But then what hell when you are pro to pay your subscription! No online account (we are in 2020 !!), impossible to pay by CB online. And with the covid, no more open agency, even more dedicated telephonic line ... an email or you are answered (within 36 hours in general). But the worst, I made an online quote for a new motorcycle on a personal basis, and tried for days to subscribe, but impossible: nobody answers the phone, I ask to be recalled several times ... I am waiting always. In the end, I bought my new motorcycle but made it ensure elsewhere ... Simply because they are unable to have subscribed online (in 2020 !!). It is sad to note that a "good" insurer is on the verge of collapse with the COVVID. Your IT manager and/or management is/are zero. The COVID revealed the sclerosis of your organization. It's a shame, but that's how it is. In any case, you have lost a stupid customer (and I don't think I am the only one).</v>
      </c>
    </row>
    <row r="150" ht="15.75" customHeight="1">
      <c r="A150" s="2">
        <v>3.0</v>
      </c>
      <c r="B150" s="2" t="s">
        <v>529</v>
      </c>
      <c r="C150" s="2" t="s">
        <v>530</v>
      </c>
      <c r="D150" s="2" t="s">
        <v>229</v>
      </c>
      <c r="E150" s="2" t="s">
        <v>96</v>
      </c>
      <c r="F150" s="2" t="s">
        <v>15</v>
      </c>
      <c r="G150" s="2" t="s">
        <v>531</v>
      </c>
      <c r="H150" s="2" t="s">
        <v>39</v>
      </c>
      <c r="I150" s="2" t="str">
        <f>IFERROR(__xludf.DUMMYFUNCTION("GOOGLETRANSLATE(C150,""fr"",""en"")"),"A quick quote to do. By cons I am disappointed not to be able to pay online by bank card, because your services do not recognize my card !!")</f>
        <v>A quick quote to do. By cons I am disappointed not to be able to pay online by bank card, because your services do not recognize my card !!</v>
      </c>
    </row>
    <row r="151" ht="15.75" customHeight="1">
      <c r="A151" s="2">
        <v>5.0</v>
      </c>
      <c r="B151" s="2" t="s">
        <v>532</v>
      </c>
      <c r="C151" s="2" t="s">
        <v>533</v>
      </c>
      <c r="D151" s="2" t="s">
        <v>37</v>
      </c>
      <c r="E151" s="2" t="s">
        <v>14</v>
      </c>
      <c r="F151" s="2" t="s">
        <v>15</v>
      </c>
      <c r="G151" s="2" t="s">
        <v>149</v>
      </c>
      <c r="H151" s="2" t="s">
        <v>77</v>
      </c>
      <c r="I151" s="2" t="str">
        <f>IFERROR(__xludf.DUMMYFUNCTION("GOOGLETRANSLATE(C151,""fr"",""en"")"),"Simple and easy.
A remark: the zoom on mobile for the reading of impractical documents (no readability when you zoom in with the native functions of the phone)")</f>
        <v>Simple and easy.
A remark: the zoom on mobile for the reading of impractical documents (no readability when you zoom in with the native functions of the phone)</v>
      </c>
    </row>
    <row r="152" ht="15.75" customHeight="1">
      <c r="A152" s="2">
        <v>4.0</v>
      </c>
      <c r="B152" s="2" t="s">
        <v>534</v>
      </c>
      <c r="C152" s="2" t="s">
        <v>535</v>
      </c>
      <c r="D152" s="2" t="s">
        <v>75</v>
      </c>
      <c r="E152" s="2" t="s">
        <v>14</v>
      </c>
      <c r="F152" s="2" t="s">
        <v>15</v>
      </c>
      <c r="G152" s="2" t="s">
        <v>192</v>
      </c>
      <c r="H152" s="2" t="s">
        <v>193</v>
      </c>
      <c r="I152" s="2" t="str">
        <f>IFERROR(__xludf.DUMMYFUNCTION("GOOGLETRANSLATE(C152,""fr"",""en"")"),"I am satisfied with the service, very well, I begin and it seems well and recommend on B = many site and service provider so I subscribe .....")</f>
        <v>I am satisfied with the service, very well, I begin and it seems well and recommend on B = many site and service provider so I subscribe .....</v>
      </c>
    </row>
    <row r="153" ht="15.75" customHeight="1">
      <c r="A153" s="2">
        <v>5.0</v>
      </c>
      <c r="B153" s="2" t="s">
        <v>536</v>
      </c>
      <c r="C153" s="2" t="s">
        <v>537</v>
      </c>
      <c r="D153" s="2" t="s">
        <v>75</v>
      </c>
      <c r="E153" s="2" t="s">
        <v>14</v>
      </c>
      <c r="F153" s="2" t="s">
        <v>15</v>
      </c>
      <c r="G153" s="2" t="s">
        <v>434</v>
      </c>
      <c r="H153" s="2" t="s">
        <v>39</v>
      </c>
      <c r="I153" s="2" t="str">
        <f>IFERROR(__xludf.DUMMYFUNCTION("GOOGLETRANSLATE(C153,""fr"",""en"")"),"Super, fast, very good price, very easy to use, I highly recommend direct insurance to make an effective quote and finalize it directly online, it's perfect")</f>
        <v>Super, fast, very good price, very easy to use, I highly recommend direct insurance to make an effective quote and finalize it directly online, it's perfect</v>
      </c>
    </row>
    <row r="154" ht="15.75" customHeight="1">
      <c r="A154" s="2">
        <v>1.0</v>
      </c>
      <c r="B154" s="2" t="s">
        <v>538</v>
      </c>
      <c r="C154" s="2" t="s">
        <v>539</v>
      </c>
      <c r="D154" s="2" t="s">
        <v>313</v>
      </c>
      <c r="E154" s="2" t="s">
        <v>90</v>
      </c>
      <c r="F154" s="2" t="s">
        <v>15</v>
      </c>
      <c r="G154" s="2" t="s">
        <v>540</v>
      </c>
      <c r="H154" s="2" t="s">
        <v>193</v>
      </c>
      <c r="I154" s="2" t="str">
        <f>IFERROR(__xludf.DUMMYFUNCTION("GOOGLETRANSLATE(C154,""fr"",""en"")"),"Same opinion as most of you. On the phone I am told that if I take a second dog insurance this one will not increase it is a gift that is made to me. I receive the deadline for maturity and surprise I pay 2 euros more each month !!! In addition I have my "&amp;"dog ​​vaccinated 10 days before the date on which I am supposed to do it because I am pregnant and could not move and surprise as it does not make a year we refuse to reimburse me !!!! I've been there for 4 years !!! I write my termination letter !!!")</f>
        <v>Same opinion as most of you. On the phone I am told that if I take a second dog insurance this one will not increase it is a gift that is made to me. I receive the deadline for maturity and surprise I pay 2 euros more each month !!! In addition I have my dog ​​vaccinated 10 days before the date on which I am supposed to do it because I am pregnant and could not move and surprise as it does not make a year we refuse to reimburse me !!!! I've been there for 4 years !!! I write my termination letter !!!</v>
      </c>
    </row>
    <row r="155" ht="15.75" customHeight="1">
      <c r="A155" s="2">
        <v>5.0</v>
      </c>
      <c r="B155" s="2" t="s">
        <v>541</v>
      </c>
      <c r="C155" s="2" t="s">
        <v>542</v>
      </c>
      <c r="D155" s="2" t="s">
        <v>95</v>
      </c>
      <c r="E155" s="2" t="s">
        <v>96</v>
      </c>
      <c r="F155" s="2" t="s">
        <v>15</v>
      </c>
      <c r="G155" s="2" t="s">
        <v>543</v>
      </c>
      <c r="H155" s="2" t="s">
        <v>77</v>
      </c>
      <c r="I155" s="2" t="str">
        <f>IFERROR(__xludf.DUMMYFUNCTION("GOOGLETRANSLATE(C155,""fr"",""en"")"),"I do not know yet ... We will see over time .. I just discovered this insurance ... I hope I have made a good choice. I want to be called for more information if it is possible.")</f>
        <v>I do not know yet ... We will see over time .. I just discovered this insurance ... I hope I have made a good choice. I want to be called for more information if it is possible.</v>
      </c>
    </row>
    <row r="156" ht="15.75" customHeight="1">
      <c r="A156" s="2">
        <v>4.0</v>
      </c>
      <c r="B156" s="2" t="s">
        <v>544</v>
      </c>
      <c r="C156" s="2" t="s">
        <v>545</v>
      </c>
      <c r="D156" s="2" t="s">
        <v>37</v>
      </c>
      <c r="E156" s="2" t="s">
        <v>14</v>
      </c>
      <c r="F156" s="2" t="s">
        <v>15</v>
      </c>
      <c r="G156" s="2" t="s">
        <v>546</v>
      </c>
      <c r="H156" s="2" t="s">
        <v>77</v>
      </c>
      <c r="I156" s="2" t="str">
        <f>IFERROR(__xludf.DUMMYFUNCTION("GOOGLETRANSLATE(C156,""fr"",""en"")"),"I am very satisfied, an intuitive and pleasant website to use, good prices and steep contract to sign in less than 15 minutes everything was done I am delighted")</f>
        <v>I am very satisfied, an intuitive and pleasant website to use, good prices and steep contract to sign in less than 15 minutes everything was done I am delighted</v>
      </c>
    </row>
    <row r="157" ht="15.75" customHeight="1">
      <c r="A157" s="2">
        <v>4.0</v>
      </c>
      <c r="B157" s="2" t="s">
        <v>547</v>
      </c>
      <c r="C157" s="2" t="s">
        <v>548</v>
      </c>
      <c r="D157" s="2" t="s">
        <v>75</v>
      </c>
      <c r="E157" s="2" t="s">
        <v>14</v>
      </c>
      <c r="F157" s="2" t="s">
        <v>15</v>
      </c>
      <c r="G157" s="2" t="s">
        <v>549</v>
      </c>
      <c r="H157" s="2" t="s">
        <v>77</v>
      </c>
      <c r="I157" s="2" t="str">
        <f>IFERROR(__xludf.DUMMYFUNCTION("GOOGLETRANSLATE(C157,""fr"",""en"")"),"Simple and practical especially for a young driver whose first experience is. I strongly advise this insurance to all young drivers")</f>
        <v>Simple and practical especially for a young driver whose first experience is. I strongly advise this insurance to all young drivers</v>
      </c>
    </row>
    <row r="158" ht="15.75" customHeight="1">
      <c r="A158" s="2">
        <v>4.0</v>
      </c>
      <c r="B158" s="2" t="s">
        <v>550</v>
      </c>
      <c r="C158" s="2" t="s">
        <v>551</v>
      </c>
      <c r="D158" s="2" t="s">
        <v>158</v>
      </c>
      <c r="E158" s="2" t="s">
        <v>14</v>
      </c>
      <c r="F158" s="2" t="s">
        <v>15</v>
      </c>
      <c r="G158" s="2" t="s">
        <v>552</v>
      </c>
      <c r="H158" s="2" t="s">
        <v>244</v>
      </c>
      <c r="I158" s="2" t="str">
        <f>IFERROR(__xludf.DUMMYFUNCTION("GOOGLETRANSLATE(C158,""fr"",""en"")"),"I have been in Maif or Filia Maif for more than twenty years for housing, school insurance, auto scooter and I must say that I am very satisfied that it is for relations with advisers by phone, or else Management during sins.")</f>
        <v>I have been in Maif or Filia Maif for more than twenty years for housing, school insurance, auto scooter and I must say that I am very satisfied that it is for relations with advisers by phone, or else Management during sins.</v>
      </c>
    </row>
    <row r="159" ht="15.75" customHeight="1">
      <c r="A159" s="2">
        <v>5.0</v>
      </c>
      <c r="B159" s="2" t="s">
        <v>553</v>
      </c>
      <c r="C159" s="2" t="s">
        <v>554</v>
      </c>
      <c r="D159" s="2" t="s">
        <v>75</v>
      </c>
      <c r="E159" s="2" t="s">
        <v>14</v>
      </c>
      <c r="F159" s="2" t="s">
        <v>15</v>
      </c>
      <c r="G159" s="2" t="s">
        <v>452</v>
      </c>
      <c r="H159" s="2" t="s">
        <v>86</v>
      </c>
      <c r="I159" s="2" t="str">
        <f>IFERROR(__xludf.DUMMYFUNCTION("GOOGLETRANSLATE(C159,""fr"",""en"")"),"I am satisfied with the service, having a low income it comes into my budget which will allow me to life, in month future is possible that the Persian rate")</f>
        <v>I am satisfied with the service, having a low income it comes into my budget which will allow me to life, in month future is possible that the Persian rate</v>
      </c>
    </row>
    <row r="160" ht="15.75" customHeight="1">
      <c r="A160" s="2">
        <v>3.0</v>
      </c>
      <c r="B160" s="2" t="s">
        <v>555</v>
      </c>
      <c r="C160" s="2" t="s">
        <v>556</v>
      </c>
      <c r="D160" s="2" t="s">
        <v>95</v>
      </c>
      <c r="E160" s="2" t="s">
        <v>96</v>
      </c>
      <c r="F160" s="2" t="s">
        <v>15</v>
      </c>
      <c r="G160" s="2" t="s">
        <v>557</v>
      </c>
      <c r="H160" s="2" t="s">
        <v>39</v>
      </c>
      <c r="I160" s="2" t="str">
        <f>IFERROR(__xludf.DUMMYFUNCTION("GOOGLETRANSLATE(C160,""fr"",""en"")"),"Simple and practical
Too bad to have to advance 2 months of contributions on the day of subscription, 1 month before termination of the current contract within the framework of the Hamon law.")</f>
        <v>Simple and practical
Too bad to have to advance 2 months of contributions on the day of subscription, 1 month before termination of the current contract within the framework of the Hamon law.</v>
      </c>
    </row>
    <row r="161" ht="15.75" customHeight="1">
      <c r="A161" s="2">
        <v>1.0</v>
      </c>
      <c r="B161" s="2" t="s">
        <v>558</v>
      </c>
      <c r="C161" s="2" t="s">
        <v>559</v>
      </c>
      <c r="D161" s="2" t="s">
        <v>560</v>
      </c>
      <c r="E161" s="2" t="s">
        <v>32</v>
      </c>
      <c r="F161" s="2" t="s">
        <v>15</v>
      </c>
      <c r="G161" s="2" t="s">
        <v>561</v>
      </c>
      <c r="H161" s="2" t="s">
        <v>286</v>
      </c>
      <c r="I161" s="2" t="str">
        <f>IFERROR(__xludf.DUMMYFUNCTION("GOOGLETRANSLATE(C161,""fr"",""en"")"),"The insurer changes are site without warning any more site that does not work and during your telephone calls people are pleasant but we feel the technique of ""cause always we do what we want"" and when we want.
does not reimburse even after several rem"&amp;"inders
mutual to flee urgently.")</f>
        <v>The insurer changes are site without warning any more site that does not work and during your telephone calls people are pleasant but we feel the technique of "cause always we do what we want" and when we want.
does not reimburse even after several reminders
mutual to flee urgently.</v>
      </c>
    </row>
    <row r="162" ht="15.75" customHeight="1">
      <c r="A162" s="2">
        <v>1.0</v>
      </c>
      <c r="B162" s="2" t="s">
        <v>562</v>
      </c>
      <c r="C162" s="2" t="s">
        <v>563</v>
      </c>
      <c r="D162" s="2" t="s">
        <v>158</v>
      </c>
      <c r="E162" s="2" t="s">
        <v>21</v>
      </c>
      <c r="F162" s="2" t="s">
        <v>15</v>
      </c>
      <c r="G162" s="2" t="s">
        <v>564</v>
      </c>
      <c r="H162" s="2" t="s">
        <v>565</v>
      </c>
      <c r="I162" s="2" t="str">
        <f>IFERROR(__xludf.DUMMYFUNCTION("GOOGLETRANSLATE(C162,""fr"",""en"")"),"Separation wall that collapses in your garden
After 3 months of waiting
We tell you that there is no care of the claim because the cause is not accidental !!
I am dismayed because we reject all the fault on the construction of the wall (Malfacon) 90 ye"&amp;"ars old !!
And on his interview
All sound bricks in my garden for 3 months
30 m2 of wall which we damage all my vegetation!
Disgusted to pay in a vacuum
I took the serenity formula for all my contracts 2000 euros per year for nothing!
I told me that"&amp;" I paid dearly but that I had a good warranty !!!
Extremely disappointed")</f>
        <v>Separation wall that collapses in your garden
After 3 months of waiting
We tell you that there is no care of the claim because the cause is not accidental !!
I am dismayed because we reject all the fault on the construction of the wall (Malfacon) 90 years old !!
And on his interview
All sound bricks in my garden for 3 months
30 m2 of wall which we damage all my vegetation!
Disgusted to pay in a vacuum
I took the serenity formula for all my contracts 2000 euros per year for nothing!
I told me that I paid dearly but that I had a good warranty !!!
Extremely disappointed</v>
      </c>
    </row>
    <row r="163" ht="15.75" customHeight="1">
      <c r="A163" s="2">
        <v>5.0</v>
      </c>
      <c r="B163" s="2" t="s">
        <v>566</v>
      </c>
      <c r="C163" s="2" t="s">
        <v>567</v>
      </c>
      <c r="D163" s="2" t="s">
        <v>37</v>
      </c>
      <c r="E163" s="2" t="s">
        <v>14</v>
      </c>
      <c r="F163" s="2" t="s">
        <v>15</v>
      </c>
      <c r="G163" s="2" t="s">
        <v>455</v>
      </c>
      <c r="H163" s="2" t="s">
        <v>86</v>
      </c>
      <c r="I163" s="2" t="str">
        <f>IFERROR(__xludf.DUMMYFUNCTION("GOOGLETRANSLATE(C163,""fr"",""en"")"),"Very good value for money and always available quickly on the phone or by email.
I recommend to those around me because I already have 2 vehicles at home and it's great!")</f>
        <v>Very good value for money and always available quickly on the phone or by email.
I recommend to those around me because I already have 2 vehicles at home and it's great!</v>
      </c>
    </row>
    <row r="164" ht="15.75" customHeight="1">
      <c r="A164" s="2">
        <v>5.0</v>
      </c>
      <c r="B164" s="2" t="s">
        <v>568</v>
      </c>
      <c r="C164" s="2" t="s">
        <v>569</v>
      </c>
      <c r="D164" s="2" t="s">
        <v>37</v>
      </c>
      <c r="E164" s="2" t="s">
        <v>14</v>
      </c>
      <c r="F164" s="2" t="s">
        <v>15</v>
      </c>
      <c r="G164" s="2" t="s">
        <v>570</v>
      </c>
      <c r="H164" s="2" t="s">
        <v>107</v>
      </c>
      <c r="I164" s="2" t="str">
        <f>IFERROR(__xludf.DUMMYFUNCTION("GOOGLETRANSLATE(C164,""fr"",""en"")"),"At the first step, I am satisfied with the services at the time of subscription. The prices are among the lowest, hoping that the service follows!")</f>
        <v>At the first step, I am satisfied with the services at the time of subscription. The prices are among the lowest, hoping that the service follows!</v>
      </c>
    </row>
    <row r="165" ht="15.75" customHeight="1">
      <c r="A165" s="2">
        <v>3.0</v>
      </c>
      <c r="B165" s="2" t="s">
        <v>571</v>
      </c>
      <c r="C165" s="2" t="s">
        <v>572</v>
      </c>
      <c r="D165" s="2" t="s">
        <v>26</v>
      </c>
      <c r="E165" s="2" t="s">
        <v>81</v>
      </c>
      <c r="F165" s="2" t="s">
        <v>15</v>
      </c>
      <c r="G165" s="2" t="s">
        <v>573</v>
      </c>
      <c r="H165" s="2" t="s">
        <v>34</v>
      </c>
      <c r="I165" s="2" t="str">
        <f>IFERROR(__xludf.DUMMYFUNCTION("GOOGLETRANSLATE(C165,""fr"",""en"")"),"I am not retired and ADIS subsidiary of Agipi AXA asks me for a certificate signed by my pension fund saying that I am not retired !!!
Their goal is to stop paying my pension.
The Carsat Caisse de Retirement does not want to fill such a paper because I "&amp;"have made no request to them and they find it ridiculous.
I made them pass my salary slip proving that I am always paid by my employer but that is not enough for them.
I do not know what to do.
I've been explaining to them for 3 months and by recommend"&amp;"ed the ridicule of their request but nothing does it")</f>
        <v>I am not retired and ADIS subsidiary of Agipi AXA asks me for a certificate signed by my pension fund saying that I am not retired !!!
Their goal is to stop paying my pension.
The Carsat Caisse de Retirement does not want to fill such a paper because I have made no request to them and they find it ridiculous.
I made them pass my salary slip proving that I am always paid by my employer but that is not enough for them.
I do not know what to do.
I've been explaining to them for 3 months and by recommended the ridicule of their request but nothing does it</v>
      </c>
    </row>
    <row r="166" ht="15.75" customHeight="1">
      <c r="A166" s="2">
        <v>4.0</v>
      </c>
      <c r="B166" s="2" t="s">
        <v>574</v>
      </c>
      <c r="C166" s="2" t="s">
        <v>575</v>
      </c>
      <c r="D166" s="2" t="s">
        <v>70</v>
      </c>
      <c r="E166" s="2" t="s">
        <v>14</v>
      </c>
      <c r="F166" s="2" t="s">
        <v>15</v>
      </c>
      <c r="G166" s="2" t="s">
        <v>576</v>
      </c>
      <c r="H166" s="2" t="s">
        <v>402</v>
      </c>
      <c r="I166" s="2" t="str">
        <f>IFERROR(__xludf.DUMMYFUNCTION("GOOGLETRANSLATE(C166,""fr"",""en"")"),"Very happy with this insurance !!! Especially in terms of customer service !!! They are very responsive and they quickly find a solution if you have a problem. I had found cheaper than at home but the service was not as fast.")</f>
        <v>Very happy with this insurance !!! Especially in terms of customer service !!! They are very responsive and they quickly find a solution if you have a problem. I had found cheaper than at home but the service was not as fast.</v>
      </c>
    </row>
    <row r="167" ht="15.75" customHeight="1">
      <c r="A167" s="2">
        <v>3.0</v>
      </c>
      <c r="B167" s="2" t="s">
        <v>577</v>
      </c>
      <c r="C167" s="2" t="s">
        <v>578</v>
      </c>
      <c r="D167" s="2" t="s">
        <v>579</v>
      </c>
      <c r="E167" s="2" t="s">
        <v>14</v>
      </c>
      <c r="F167" s="2" t="s">
        <v>15</v>
      </c>
      <c r="G167" s="2" t="s">
        <v>580</v>
      </c>
      <c r="H167" s="2" t="s">
        <v>57</v>
      </c>
      <c r="I167" s="2" t="str">
        <f>IFERROR(__xludf.DUMMYFUNCTION("GOOGLETRANSLATE(C167,""fr"",""en"")"),"Hello, I have been a Eurofil customer since 01/01/2002, a clien reference 125716 today I, requested a quote for a new vehicle and to have equivalent guarantees the rate increased by 45 percent. When I wanted to establish a quote in my personal space the s"&amp;"ystem did not allow me and when I try to go through a Eurofil l insurance comparator does not offer a price. This suggests that they no longer want to make sure given my age 76 years when I have 50 percent bonuses and only one responsible accident in 15 y"&amp;"ears of insurance at Eurofil. In addition, guarantees have been removed such as legal protection everyday life. So be careful when you receive a Eurofil quote, in the event of a vehicle change compared well all the news guaranteed compared to your existin"&amp;"g contract.")</f>
        <v>Hello, I have been a Eurofil customer since 01/01/2002, a clien reference 125716 today I, requested a quote for a new vehicle and to have equivalent guarantees the rate increased by 45 percent. When I wanted to establish a quote in my personal space the system did not allow me and when I try to go through a Eurofil l insurance comparator does not offer a price. This suggests that they no longer want to make sure given my age 76 years when I have 50 percent bonuses and only one responsible accident in 15 years of insurance at Eurofil. In addition, guarantees have been removed such as legal protection everyday life. So be careful when you receive a Eurofil quote, in the event of a vehicle change compared well all the news guaranteed compared to your existing contract.</v>
      </c>
    </row>
    <row r="168" ht="15.75" customHeight="1">
      <c r="A168" s="2">
        <v>5.0</v>
      </c>
      <c r="B168" s="2" t="s">
        <v>581</v>
      </c>
      <c r="C168" s="2" t="s">
        <v>582</v>
      </c>
      <c r="D168" s="2" t="s">
        <v>75</v>
      </c>
      <c r="E168" s="2" t="s">
        <v>14</v>
      </c>
      <c r="F168" s="2" t="s">
        <v>15</v>
      </c>
      <c r="G168" s="2" t="s">
        <v>193</v>
      </c>
      <c r="H168" s="2" t="s">
        <v>193</v>
      </c>
      <c r="I168" s="2" t="str">
        <f>IFERROR(__xludf.DUMMYFUNCTION("GOOGLETRANSLATE(C168,""fr"",""en"")"),"Simple, fast, efficient at unbeatable price
When I have a disaster, hoping that it does not happen, I hope to find the same responsiveness.
He")</f>
        <v>Simple, fast, efficient at unbeatable price
When I have a disaster, hoping that it does not happen, I hope to find the same responsiveness.
He</v>
      </c>
    </row>
    <row r="169" ht="15.75" customHeight="1">
      <c r="A169" s="2">
        <v>2.0</v>
      </c>
      <c r="B169" s="2" t="s">
        <v>583</v>
      </c>
      <c r="C169" s="2" t="s">
        <v>584</v>
      </c>
      <c r="D169" s="2" t="s">
        <v>70</v>
      </c>
      <c r="E169" s="2" t="s">
        <v>21</v>
      </c>
      <c r="F169" s="2" t="s">
        <v>15</v>
      </c>
      <c r="G169" s="2" t="s">
        <v>585</v>
      </c>
      <c r="H169" s="2" t="s">
        <v>17</v>
      </c>
      <c r="I169" s="2" t="str">
        <f>IFERROR(__xludf.DUMMYFUNCTION("GOOGLETRANSLATE(C169,""fr"",""en"")"),"Very angry 1 single sinister after 19 years burglary and the GMF is looking for the pretexts so as not to pay ... Ecoeuree !!")</f>
        <v>Very angry 1 single sinister after 19 years burglary and the GMF is looking for the pretexts so as not to pay ... Ecoeuree !!</v>
      </c>
    </row>
    <row r="170" ht="15.75" customHeight="1">
      <c r="A170" s="2">
        <v>1.0</v>
      </c>
      <c r="B170" s="2" t="s">
        <v>586</v>
      </c>
      <c r="C170" s="2" t="s">
        <v>587</v>
      </c>
      <c r="D170" s="2" t="s">
        <v>55</v>
      </c>
      <c r="E170" s="2" t="s">
        <v>21</v>
      </c>
      <c r="F170" s="2" t="s">
        <v>15</v>
      </c>
      <c r="G170" s="2" t="s">
        <v>588</v>
      </c>
      <c r="H170" s="2" t="s">
        <v>103</v>
      </c>
      <c r="I170" s="2" t="str">
        <f>IFERROR(__xludf.DUMMYFUNCTION("GOOGLETRANSLATE(C170,""fr"",""en"")"),"Insured for 30 years and fired for a disaster due to a recently burglary attempt and a simple phone call passed a few years ago for information on a broken coffee maker and which has been recorded as a new claim. The maaf never again!")</f>
        <v>Insured for 30 years and fired for a disaster due to a recently burglary attempt and a simple phone call passed a few years ago for information on a broken coffee maker and which has been recorded as a new claim. The maaf never again!</v>
      </c>
    </row>
    <row r="171" ht="15.75" customHeight="1">
      <c r="A171" s="2">
        <v>5.0</v>
      </c>
      <c r="B171" s="2" t="s">
        <v>589</v>
      </c>
      <c r="C171" s="2" t="s">
        <v>590</v>
      </c>
      <c r="D171" s="2" t="s">
        <v>37</v>
      </c>
      <c r="E171" s="2" t="s">
        <v>14</v>
      </c>
      <c r="F171" s="2" t="s">
        <v>15</v>
      </c>
      <c r="G171" s="2" t="s">
        <v>591</v>
      </c>
      <c r="H171" s="2" t="s">
        <v>28</v>
      </c>
      <c r="I171" s="2" t="str">
        <f>IFERROR(__xludf.DUMMYFUNCTION("GOOGLETRANSLATE(C171,""fr"",""en"")"),"The prices suit me and would be ready to recommend you with friends and colleagues.
Do not hesitate to contact me if you have new offers regarding both the car and the housing")</f>
        <v>The prices suit me and would be ready to recommend you with friends and colleagues.
Do not hesitate to contact me if you have new offers regarding both the car and the housing</v>
      </c>
    </row>
    <row r="172" ht="15.75" customHeight="1">
      <c r="A172" s="2">
        <v>3.0</v>
      </c>
      <c r="B172" s="2" t="s">
        <v>592</v>
      </c>
      <c r="C172" s="2" t="s">
        <v>593</v>
      </c>
      <c r="D172" s="2" t="s">
        <v>75</v>
      </c>
      <c r="E172" s="2" t="s">
        <v>14</v>
      </c>
      <c r="F172" s="2" t="s">
        <v>15</v>
      </c>
      <c r="G172" s="2" t="s">
        <v>193</v>
      </c>
      <c r="H172" s="2" t="s">
        <v>193</v>
      </c>
      <c r="I172" s="2" t="str">
        <f>IFERROR(__xludf.DUMMYFUNCTION("GOOGLETRANSLATE(C172,""fr"",""en"")"),"A phenomenal increase in 4 years of home insurance, from 11, XX euros to +18, XX euros.
A small apartment in I never declared a claim ........ !!!")</f>
        <v>A phenomenal increase in 4 years of home insurance, from 11, XX euros to +18, XX euros.
A small apartment in I never declared a claim ........ !!!</v>
      </c>
    </row>
    <row r="173" ht="15.75" customHeight="1">
      <c r="A173" s="2">
        <v>1.0</v>
      </c>
      <c r="B173" s="2" t="s">
        <v>594</v>
      </c>
      <c r="C173" s="2" t="s">
        <v>595</v>
      </c>
      <c r="D173" s="2" t="s">
        <v>55</v>
      </c>
      <c r="E173" s="2" t="s">
        <v>14</v>
      </c>
      <c r="F173" s="2" t="s">
        <v>15</v>
      </c>
      <c r="G173" s="2" t="s">
        <v>596</v>
      </c>
      <c r="H173" s="2" t="s">
        <v>155</v>
      </c>
      <c r="I173" s="2" t="str">
        <f>IFERROR(__xludf.DUMMYFUNCTION("GOOGLETRANSLATE(C173,""fr"",""en"")"),"I am currently at Maaf I had an accident in early July they keep me responsible for 100 for 100 gold that it is not my fault. A lady returned to me in the testimony and the photos are absurd.")</f>
        <v>I am currently at Maaf I had an accident in early July they keep me responsible for 100 for 100 gold that it is not my fault. A lady returned to me in the testimony and the photos are absurd.</v>
      </c>
    </row>
    <row r="174" ht="15.75" customHeight="1">
      <c r="A174" s="2">
        <v>4.0</v>
      </c>
      <c r="B174" s="2" t="s">
        <v>597</v>
      </c>
      <c r="C174" s="2" t="s">
        <v>598</v>
      </c>
      <c r="D174" s="2" t="s">
        <v>184</v>
      </c>
      <c r="E174" s="2" t="s">
        <v>96</v>
      </c>
      <c r="F174" s="2" t="s">
        <v>15</v>
      </c>
      <c r="G174" s="2" t="s">
        <v>599</v>
      </c>
      <c r="H174" s="2" t="s">
        <v>115</v>
      </c>
      <c r="I174" s="2" t="str">
        <f>IFERROR(__xludf.DUMMYFUNCTION("GOOGLETRANSLATE(C174,""fr"",""en"")"),"Given the opinions of the insured, it is not reassuring !!! , am new, insured since 2018 therefore, not encountered any difficulties to date, 0.50 % of bonuses taken up by the mutual,")</f>
        <v>Given the opinions of the insured, it is not reassuring !!! , am new, insured since 2018 therefore, not encountered any difficulties to date, 0.50 % of bonuses taken up by the mutual,</v>
      </c>
    </row>
    <row r="175" ht="15.75" customHeight="1">
      <c r="A175" s="2">
        <v>4.0</v>
      </c>
      <c r="B175" s="2" t="s">
        <v>600</v>
      </c>
      <c r="C175" s="2" t="s">
        <v>601</v>
      </c>
      <c r="D175" s="2" t="s">
        <v>75</v>
      </c>
      <c r="E175" s="2" t="s">
        <v>14</v>
      </c>
      <c r="F175" s="2" t="s">
        <v>15</v>
      </c>
      <c r="G175" s="2" t="s">
        <v>531</v>
      </c>
      <c r="H175" s="2" t="s">
        <v>39</v>
      </c>
      <c r="I175" s="2" t="str">
        <f>IFERROR(__xludf.DUMMYFUNCTION("GOOGLETRANSLATE(C175,""fr"",""en"")"),"I am satisfied the price suits me. It is a shame that you have to enter the personal information by already being a customer at home. Regards Mr. Jan Antony")</f>
        <v>I am satisfied the price suits me. It is a shame that you have to enter the personal information by already being a customer at home. Regards Mr. Jan Antony</v>
      </c>
    </row>
    <row r="176" ht="15.75" customHeight="1">
      <c r="A176" s="2">
        <v>1.0</v>
      </c>
      <c r="B176" s="2" t="s">
        <v>602</v>
      </c>
      <c r="C176" s="2" t="s">
        <v>603</v>
      </c>
      <c r="D176" s="2" t="s">
        <v>80</v>
      </c>
      <c r="E176" s="2" t="s">
        <v>32</v>
      </c>
      <c r="F176" s="2" t="s">
        <v>15</v>
      </c>
      <c r="G176" s="2" t="s">
        <v>604</v>
      </c>
      <c r="H176" s="2" t="s">
        <v>72</v>
      </c>
      <c r="I176" s="2" t="str">
        <f>IFERROR(__xludf.DUMMYFUNCTION("GOOGLETRANSLATE(C176,""fr"",""en"")"),"This mutual is the cat. Despite several reminders I still do not have the remote transmission to the Société. The problem has been going on since September 2018. My emails remain unanswered.
Due to non -transmission, no mutual reimbursements of course. I"&amp;" sent the accounts by mail, by emails on the VIASANT site, with the AG2R customer service, nothing helps. I think I will terminate and go to another solution for health coverage")</f>
        <v>This mutual is the cat. Despite several reminders I still do not have the remote transmission to the Société. The problem has been going on since September 2018. My emails remain unanswered.
Due to non -transmission, no mutual reimbursements of course. I sent the accounts by mail, by emails on the VIASANT site, with the AG2R customer service, nothing helps. I think I will terminate and go to another solution for health coverage</v>
      </c>
    </row>
    <row r="177" ht="15.75" customHeight="1">
      <c r="A177" s="2">
        <v>4.0</v>
      </c>
      <c r="B177" s="2" t="s">
        <v>605</v>
      </c>
      <c r="C177" s="2" t="s">
        <v>606</v>
      </c>
      <c r="D177" s="2" t="s">
        <v>37</v>
      </c>
      <c r="E177" s="2" t="s">
        <v>14</v>
      </c>
      <c r="F177" s="2" t="s">
        <v>15</v>
      </c>
      <c r="G177" s="2" t="s">
        <v>488</v>
      </c>
      <c r="H177" s="2" t="s">
        <v>98</v>
      </c>
      <c r="I177" s="2" t="str">
        <f>IFERROR(__xludf.DUMMYFUNCTION("GOOGLETRANSLATE(C177,""fr"",""en"")"),"I am satisfied with this new contract, however I do not see when the reduction applies thanks to the sponsorship. I hope it will be restored quickly.")</f>
        <v>I am satisfied with this new contract, however I do not see when the reduction applies thanks to the sponsorship. I hope it will be restored quickly.</v>
      </c>
    </row>
    <row r="178" ht="15.75" customHeight="1">
      <c r="A178" s="2">
        <v>1.0</v>
      </c>
      <c r="B178" s="2" t="s">
        <v>607</v>
      </c>
      <c r="C178" s="2" t="s">
        <v>608</v>
      </c>
      <c r="D178" s="2" t="s">
        <v>233</v>
      </c>
      <c r="E178" s="2" t="s">
        <v>32</v>
      </c>
      <c r="F178" s="2" t="s">
        <v>15</v>
      </c>
      <c r="G178" s="2" t="s">
        <v>609</v>
      </c>
      <c r="H178" s="2" t="s">
        <v>321</v>
      </c>
      <c r="I178" s="2" t="str">
        <f>IFERROR(__xludf.DUMMYFUNCTION("GOOGLETRANSLATE(C178,""fr"",""en"")"),"In addition to loved customer service and reimbursement times are crappy !!! The advisers do not listen to the requests so not effective and moreover unpleasant !!!! It's been 3 months since I went to be reimbursed for a dental bill: ""teletransmission pr"&amp;"oblem"" when I provided and repeatedly my legal certificate !! No return to inform me elsewhere and when I call I am told about everything except this invoice I took care to send it by email but apparently no trace (I have the email that I I sent who prov"&amp;"es that I sent her well but the advisor was sure of her (however I doubt that she is taken the time to understand and listen to what I said to her aggressive in bad faith at the top !! !) The same is true for my really exhausting social security count I d"&amp;"o not recommend at all and seriously plans to terminate to subscribe elsewhere
Parcontre tjr punctual to take it for that no problem they know how to do it !!!!")</f>
        <v>In addition to loved customer service and reimbursement times are crappy !!! The advisers do not listen to the requests so not effective and moreover unpleasant !!!! It's been 3 months since I went to be reimbursed for a dental bill: "teletransmission problem" when I provided and repeatedly my legal certificate !! No return to inform me elsewhere and when I call I am told about everything except this invoice I took care to send it by email but apparently no trace (I have the email that I I sent who proves that I sent her well but the advisor was sure of her (however I doubt that she is taken the time to understand and listen to what I said to her aggressive in bad faith at the top !! !) The same is true for my really exhausting social security count I do not recommend at all and seriously plans to terminate to subscribe elsewhere
Parcontre tjr punctual to take it for that no problem they know how to do it !!!!</v>
      </c>
    </row>
    <row r="179" ht="15.75" customHeight="1">
      <c r="A179" s="2">
        <v>4.0</v>
      </c>
      <c r="B179" s="2" t="s">
        <v>610</v>
      </c>
      <c r="C179" s="2" t="s">
        <v>611</v>
      </c>
      <c r="D179" s="2" t="s">
        <v>75</v>
      </c>
      <c r="E179" s="2" t="s">
        <v>14</v>
      </c>
      <c r="F179" s="2" t="s">
        <v>15</v>
      </c>
      <c r="G179" s="2" t="s">
        <v>386</v>
      </c>
      <c r="H179" s="2" t="s">
        <v>193</v>
      </c>
      <c r="I179" s="2" t="str">
        <f>IFERROR(__xludf.DUMMYFUNCTION("GOOGLETRANSLATE(C179,""fr"",""en"")"),"simple and practical but a bit expensive
I don't have a more specific opinion here I said everything
thank you for your understanding
Cordially")</f>
        <v>simple and practical but a bit expensive
I don't have a more specific opinion here I said everything
thank you for your understanding
Cordially</v>
      </c>
    </row>
    <row r="180" ht="15.75" customHeight="1">
      <c r="A180" s="2">
        <v>2.0</v>
      </c>
      <c r="B180" s="2" t="s">
        <v>612</v>
      </c>
      <c r="C180" s="2" t="s">
        <v>613</v>
      </c>
      <c r="D180" s="2" t="s">
        <v>75</v>
      </c>
      <c r="E180" s="2" t="s">
        <v>14</v>
      </c>
      <c r="F180" s="2" t="s">
        <v>15</v>
      </c>
      <c r="G180" s="2" t="s">
        <v>52</v>
      </c>
      <c r="H180" s="2" t="s">
        <v>52</v>
      </c>
      <c r="I180" s="2" t="str">
        <f>IFERROR(__xludf.DUMMYFUNCTION("GOOGLETRANSLATE(C180,""fr"",""en"")"),"hello
Accident not responsible a week ago, the car is still with the tug that calls me to tell me that he does not know or send him, Direct insurance has sent a garage list approved by them which the carrier must call! But nothing moves I am on foot and "&amp;"I am told that it will take that two days for the passage of the expert if one day he finds a garage!
")</f>
        <v>hello
Accident not responsible a week ago, the car is still with the tug that calls me to tell me that he does not know or send him, Direct insurance has sent a garage list approved by them which the carrier must call! But nothing moves I am on foot and I am told that it will take that two days for the passage of the expert if one day he finds a garage!
</v>
      </c>
    </row>
    <row r="181" ht="15.75" customHeight="1">
      <c r="A181" s="2">
        <v>1.0</v>
      </c>
      <c r="B181" s="2" t="s">
        <v>614</v>
      </c>
      <c r="C181" s="2" t="s">
        <v>615</v>
      </c>
      <c r="D181" s="2" t="s">
        <v>247</v>
      </c>
      <c r="E181" s="2" t="s">
        <v>32</v>
      </c>
      <c r="F181" s="2" t="s">
        <v>15</v>
      </c>
      <c r="G181" s="2" t="s">
        <v>616</v>
      </c>
      <c r="H181" s="2" t="s">
        <v>467</v>
      </c>
      <c r="I181" s="2" t="str">
        <f>IFERROR(__xludf.DUMMYFUNCTION("GOOGLETRANSLATE(C181,""fr"",""en"")"),"Never respond to our emails
Leave the files dragged (voluntarily? Certainly)
Do not indicate the prices
In other words, do not subscribe to them
I hope the law on the termination of mutuals will quickly change")</f>
        <v>Never respond to our emails
Leave the files dragged (voluntarily? Certainly)
Do not indicate the prices
In other words, do not subscribe to them
I hope the law on the termination of mutuals will quickly change</v>
      </c>
    </row>
    <row r="182" ht="15.75" customHeight="1">
      <c r="A182" s="2">
        <v>1.0</v>
      </c>
      <c r="B182" s="2" t="s">
        <v>617</v>
      </c>
      <c r="C182" s="2" t="s">
        <v>618</v>
      </c>
      <c r="D182" s="2" t="s">
        <v>199</v>
      </c>
      <c r="E182" s="2" t="s">
        <v>32</v>
      </c>
      <c r="F182" s="2" t="s">
        <v>15</v>
      </c>
      <c r="G182" s="2" t="s">
        <v>619</v>
      </c>
      <c r="H182" s="2" t="s">
        <v>28</v>
      </c>
      <c r="I182" s="2" t="str">
        <f>IFERROR(__xludf.DUMMYFUNCTION("GOOGLETRANSLATE(C182,""fr"",""en"")"),"A person scandal at the phone no reimbursements for many months / to avoid danger a bad mutual after only 6 months of membership.")</f>
        <v>A person scandal at the phone no reimbursements for many months / to avoid danger a bad mutual after only 6 months of membership.</v>
      </c>
    </row>
    <row r="183" ht="15.75" customHeight="1">
      <c r="A183" s="2">
        <v>2.0</v>
      </c>
      <c r="B183" s="2" t="s">
        <v>620</v>
      </c>
      <c r="C183" s="2" t="s">
        <v>621</v>
      </c>
      <c r="D183" s="2" t="s">
        <v>173</v>
      </c>
      <c r="E183" s="2" t="s">
        <v>32</v>
      </c>
      <c r="F183" s="2" t="s">
        <v>15</v>
      </c>
      <c r="G183" s="2" t="s">
        <v>622</v>
      </c>
      <c r="H183" s="2" t="s">
        <v>201</v>
      </c>
      <c r="I183" s="2" t="str">
        <f>IFERROR(__xludf.DUMMYFUNCTION("GOOGLETRANSLATE(C183,""fr"",""en"")"),"Reimbursement problems attending or specialist, for example, a doctor's visit to the month of August reimbursed in October, after multiple calls. As for the levy of the subscription, there is no delay. Not serious and I have several social accounts on the"&amp;" internet and I will make bad ad!")</f>
        <v>Reimbursement problems attending or specialist, for example, a doctor's visit to the month of August reimbursed in October, after multiple calls. As for the levy of the subscription, there is no delay. Not serious and I have several social accounts on the internet and I will make bad ad!</v>
      </c>
    </row>
    <row r="184" ht="15.75" customHeight="1">
      <c r="A184" s="2">
        <v>1.0</v>
      </c>
      <c r="B184" s="2" t="s">
        <v>623</v>
      </c>
      <c r="C184" s="2" t="s">
        <v>624</v>
      </c>
      <c r="D184" s="2" t="s">
        <v>184</v>
      </c>
      <c r="E184" s="2" t="s">
        <v>96</v>
      </c>
      <c r="F184" s="2" t="s">
        <v>15</v>
      </c>
      <c r="G184" s="2" t="s">
        <v>625</v>
      </c>
      <c r="H184" s="2" t="s">
        <v>92</v>
      </c>
      <c r="I184" s="2" t="str">
        <f>IFERROR(__xludf.DUMMYFUNCTION("GOOGLETRANSLATE(C184,""fr"",""en"")"),"Insured for almost 15 years, prices have continued to go up without being warned! On their site it is written ""the + mutual, prime and decreasing annual rate !!!!"", there we are on a progressive price! It is impossible to have the same interlocutor to b"&amp;"e able to have correct information and discuss. I think I leave this group!
")</f>
        <v>Insured for almost 15 years, prices have continued to go up without being warned! On their site it is written "the + mutual, prime and decreasing annual rate !!!!", there we are on a progressive price! It is impossible to have the same interlocutor to be able to have correct information and discuss. I think I leave this group!
</v>
      </c>
    </row>
    <row r="185" ht="15.75" customHeight="1">
      <c r="A185" s="2">
        <v>2.0</v>
      </c>
      <c r="B185" s="2" t="s">
        <v>626</v>
      </c>
      <c r="C185" s="2" t="s">
        <v>627</v>
      </c>
      <c r="D185" s="2" t="s">
        <v>13</v>
      </c>
      <c r="E185" s="2" t="s">
        <v>14</v>
      </c>
      <c r="F185" s="2" t="s">
        <v>15</v>
      </c>
      <c r="G185" s="2" t="s">
        <v>628</v>
      </c>
      <c r="H185" s="2" t="s">
        <v>565</v>
      </c>
      <c r="I185" s="2" t="str">
        <f>IFERROR(__xludf.DUMMYFUNCTION("GOOGLETRANSLATE(C185,""fr"",""en"")"),"A year and a half ago, I discovered a leak at the upper joint of my windshield. Renault advises me to call my insurer, which I do. Macif response, it's wear, no mirrors have not covered! I therefore regulate the invoice 405 euros. (need to break the winds"&amp;"hield). After exchange, that was still running away, I brought back the master's degree, Renault to ""stuff the joint to the dough ..."" They too ...
")</f>
        <v>A year and a half ago, I discovered a leak at the upper joint of my windshield. Renault advises me to call my insurer, which I do. Macif response, it's wear, no mirrors have not covered! I therefore regulate the invoice 405 euros. (need to break the windshield). After exchange, that was still running away, I brought back the master's degree, Renault to "stuff the joint to the dough ..." They too ...
</v>
      </c>
    </row>
    <row r="186" ht="15.75" customHeight="1">
      <c r="A186" s="2">
        <v>1.0</v>
      </c>
      <c r="B186" s="2" t="s">
        <v>629</v>
      </c>
      <c r="C186" s="2" t="s">
        <v>630</v>
      </c>
      <c r="D186" s="2" t="s">
        <v>37</v>
      </c>
      <c r="E186" s="2" t="s">
        <v>14</v>
      </c>
      <c r="F186" s="2" t="s">
        <v>15</v>
      </c>
      <c r="G186" s="2" t="s">
        <v>631</v>
      </c>
      <c r="H186" s="2" t="s">
        <v>275</v>
      </c>
      <c r="I186" s="2" t="str">
        <f>IFERROR(__xludf.DUMMYFUNCTION("GOOGLETRANSLATE(C186,""fr"",""en"")"),"Strong increase in the price in one year, I only had problems with this insurance, even if I had a non -responsible accident, I do not understand this increase?
I regret my former insurer, I will not continue with the olive tree I return to the Macif whi"&amp;"ch is bcp cheaper and much more pro")</f>
        <v>Strong increase in the price in one year, I only had problems with this insurance, even if I had a non -responsible accident, I do not understand this increase?
I regret my former insurer, I will not continue with the olive tree I return to the Macif which is bcp cheaper and much more pro</v>
      </c>
    </row>
    <row r="187" ht="15.75" customHeight="1">
      <c r="A187" s="2">
        <v>3.0</v>
      </c>
      <c r="B187" s="2" t="s">
        <v>632</v>
      </c>
      <c r="C187" s="2" t="s">
        <v>633</v>
      </c>
      <c r="D187" s="2" t="s">
        <v>394</v>
      </c>
      <c r="E187" s="2" t="s">
        <v>32</v>
      </c>
      <c r="F187" s="2" t="s">
        <v>15</v>
      </c>
      <c r="G187" s="2" t="s">
        <v>494</v>
      </c>
      <c r="H187" s="2" t="s">
        <v>83</v>
      </c>
      <c r="I187" s="2" t="str">
        <f>IFERROR(__xludf.DUMMYFUNCTION("GOOGLETRANSLATE(C187,""fr"",""en"")"),"No particular problems, I made several pharmacies which took the mutual, all the drugs that put prescribed were reimbursed")</f>
        <v>No particular problems, I made several pharmacies which took the mutual, all the drugs that put prescribed were reimbursed</v>
      </c>
    </row>
    <row r="188" ht="15.75" customHeight="1">
      <c r="A188" s="2">
        <v>4.0</v>
      </c>
      <c r="B188" s="2" t="s">
        <v>634</v>
      </c>
      <c r="C188" s="2" t="s">
        <v>635</v>
      </c>
      <c r="D188" s="2" t="s">
        <v>101</v>
      </c>
      <c r="E188" s="2" t="s">
        <v>21</v>
      </c>
      <c r="F188" s="2" t="s">
        <v>15</v>
      </c>
      <c r="G188" s="2" t="s">
        <v>636</v>
      </c>
      <c r="H188" s="2" t="s">
        <v>77</v>
      </c>
      <c r="I188" s="2" t="str">
        <f>IFERROR(__xludf.DUMMYFUNCTION("GOOGLETRANSLATE(C188,""fr"",""en"")"),"An advisor was really reassuring when I needed it. I signed immediately, because what the customer is looking for is to be informed to feel safe.")</f>
        <v>An advisor was really reassuring when I needed it. I signed immediately, because what the customer is looking for is to be informed to feel safe.</v>
      </c>
    </row>
    <row r="189" ht="15.75" customHeight="1">
      <c r="A189" s="2">
        <v>3.0</v>
      </c>
      <c r="B189" s="2" t="s">
        <v>637</v>
      </c>
      <c r="C189" s="2" t="s">
        <v>638</v>
      </c>
      <c r="D189" s="2" t="s">
        <v>639</v>
      </c>
      <c r="E189" s="2" t="s">
        <v>90</v>
      </c>
      <c r="F189" s="2" t="s">
        <v>15</v>
      </c>
      <c r="G189" s="2" t="s">
        <v>640</v>
      </c>
      <c r="H189" s="2" t="s">
        <v>501</v>
      </c>
      <c r="I189" s="2" t="str">
        <f>IFERROR(__xludf.DUMMYFUNCTION("GOOGLETRANSLATE(C189,""fr"",""en"")"),"Very long reimbursements or 15 days after sending the care sheet and invoice still not reimbursed service. It is difficult to obtain little competent and Evasive when it comes to monitoring files I have 7 cats assured at insurance and I think I can termin"&amp;"ate if this continuous management of this way")</f>
        <v>Very long reimbursements or 15 days after sending the care sheet and invoice still not reimbursed service. It is difficult to obtain little competent and Evasive when it comes to monitoring files I have 7 cats assured at insurance and I think I can terminate if this continuous management of this way</v>
      </c>
    </row>
    <row r="190" ht="15.75" customHeight="1">
      <c r="A190" s="2">
        <v>3.0</v>
      </c>
      <c r="B190" s="2" t="s">
        <v>641</v>
      </c>
      <c r="C190" s="2" t="s">
        <v>642</v>
      </c>
      <c r="D190" s="2" t="s">
        <v>75</v>
      </c>
      <c r="E190" s="2" t="s">
        <v>14</v>
      </c>
      <c r="F190" s="2" t="s">
        <v>15</v>
      </c>
      <c r="G190" s="2" t="s">
        <v>409</v>
      </c>
      <c r="H190" s="2" t="s">
        <v>39</v>
      </c>
      <c r="I190" s="2" t="str">
        <f>IFERROR(__xludf.DUMMYFUNCTION("GOOGLETRANSLATE(C190,""fr"",""en"")"),"I am satisfied with the service
To see concerning the possible reductions linked to YouDrive
A little high price but brought to - I hope - decrease according to my driving")</f>
        <v>I am satisfied with the service
To see concerning the possible reductions linked to YouDrive
A little high price but brought to - I hope - decrease according to my driving</v>
      </c>
    </row>
    <row r="191" ht="15.75" customHeight="1">
      <c r="A191" s="2">
        <v>4.0</v>
      </c>
      <c r="B191" s="2" t="s">
        <v>643</v>
      </c>
      <c r="C191" s="2" t="s">
        <v>644</v>
      </c>
      <c r="D191" s="2" t="s">
        <v>75</v>
      </c>
      <c r="E191" s="2" t="s">
        <v>14</v>
      </c>
      <c r="F191" s="2" t="s">
        <v>15</v>
      </c>
      <c r="G191" s="2" t="s">
        <v>645</v>
      </c>
      <c r="H191" s="2" t="s">
        <v>193</v>
      </c>
      <c r="I191" s="2" t="str">
        <f>IFERROR(__xludf.DUMMYFUNCTION("GOOGLETRANSLATE(C191,""fr"",""en"")"),"Fast, simple and practical. I liked the price offered for all -risk insurance as well as the advice and proposals you make to your customers.")</f>
        <v>Fast, simple and practical. I liked the price offered for all -risk insurance as well as the advice and proposals you make to your customers.</v>
      </c>
    </row>
    <row r="192" ht="15.75" customHeight="1">
      <c r="A192" s="2">
        <v>4.0</v>
      </c>
      <c r="B192" s="2" t="s">
        <v>646</v>
      </c>
      <c r="C192" s="2" t="s">
        <v>647</v>
      </c>
      <c r="D192" s="2" t="s">
        <v>75</v>
      </c>
      <c r="E192" s="2" t="s">
        <v>14</v>
      </c>
      <c r="F192" s="2" t="s">
        <v>15</v>
      </c>
      <c r="G192" s="2" t="s">
        <v>440</v>
      </c>
      <c r="H192" s="2" t="s">
        <v>107</v>
      </c>
      <c r="I192" s="2" t="str">
        <f>IFERROR(__xludf.DUMMYFUNCTION("GOOGLETRANSLATE(C192,""fr"",""en"")"),"Attractive price with options which allows you to obtain identical guarantees. My husband is already assured at home, I hope that the finalization of my file (sending PJs in particular) will take place better than for my husband who fought against a custo"&amp;"mer service not at the level of these rates. To see over time. With the Hamon law, we will be able to go see the competition at the end")</f>
        <v>Attractive price with options which allows you to obtain identical guarantees. My husband is already assured at home, I hope that the finalization of my file (sending PJs in particular) will take place better than for my husband who fought against a customer service not at the level of these rates. To see over time. With the Hamon law, we will be able to go see the competition at the end</v>
      </c>
    </row>
    <row r="193" ht="15.75" customHeight="1">
      <c r="A193" s="2">
        <v>2.0</v>
      </c>
      <c r="B193" s="2" t="s">
        <v>648</v>
      </c>
      <c r="C193" s="2" t="s">
        <v>649</v>
      </c>
      <c r="D193" s="2" t="s">
        <v>70</v>
      </c>
      <c r="E193" s="2" t="s">
        <v>14</v>
      </c>
      <c r="F193" s="2" t="s">
        <v>15</v>
      </c>
      <c r="G193" s="2" t="s">
        <v>650</v>
      </c>
      <c r="H193" s="2" t="s">
        <v>125</v>
      </c>
      <c r="I193" s="2" t="str">
        <f>IFERROR(__xludf.DUMMYFUNCTION("GOOGLETRANSLATE(C193,""fr"",""en"")"),"2 non -responsible claims declared in 2017 for ice breaks (fractured car - cost for 2 = € 554)
1 claims declared in 2016 (cost € 1,973)
No claim in 2014 and 2015
After being summoned on 02/10/18 to my agency to tell me a 20%increase, I received by my C"&amp;"ouurier dated 07/02 received on 12/02 a notice of termination? I suddenly became a multi-recidivist offender for having been the victim of vandalism !!! Welcome to GMF")</f>
        <v>2 non -responsible claims declared in 2017 for ice breaks (fractured car - cost for 2 = € 554)
1 claims declared in 2016 (cost € 1,973)
No claim in 2014 and 2015
After being summoned on 02/10/18 to my agency to tell me a 20%increase, I received by my Couurier dated 07/02 received on 12/02 a notice of termination? I suddenly became a multi-recidivist offender for having been the victim of vandalism !!! Welcome to GMF</v>
      </c>
    </row>
    <row r="194" ht="15.75" customHeight="1">
      <c r="A194" s="2">
        <v>4.0</v>
      </c>
      <c r="B194" s="2" t="s">
        <v>651</v>
      </c>
      <c r="C194" s="2" t="s">
        <v>652</v>
      </c>
      <c r="D194" s="2" t="s">
        <v>75</v>
      </c>
      <c r="E194" s="2" t="s">
        <v>14</v>
      </c>
      <c r="F194" s="2" t="s">
        <v>15</v>
      </c>
      <c r="G194" s="2" t="s">
        <v>653</v>
      </c>
      <c r="H194" s="2" t="s">
        <v>107</v>
      </c>
      <c r="I194" s="2" t="str">
        <f>IFERROR(__xludf.DUMMYFUNCTION("GOOGLETRANSLATE(C194,""fr"",""en"")"),"I am satisfied with the service and the quality of the price and the product I highly recommend direct insurance to the young driver. satisfied cordially thank you")</f>
        <v>I am satisfied with the service and the quality of the price and the product I highly recommend direct insurance to the young driver. satisfied cordially thank you</v>
      </c>
    </row>
    <row r="195" ht="15.75" customHeight="1">
      <c r="A195" s="2">
        <v>3.0</v>
      </c>
      <c r="B195" s="2" t="s">
        <v>654</v>
      </c>
      <c r="C195" s="2" t="s">
        <v>655</v>
      </c>
      <c r="D195" s="2" t="s">
        <v>70</v>
      </c>
      <c r="E195" s="2" t="s">
        <v>14</v>
      </c>
      <c r="F195" s="2" t="s">
        <v>15</v>
      </c>
      <c r="G195" s="2" t="s">
        <v>226</v>
      </c>
      <c r="H195" s="2" t="s">
        <v>28</v>
      </c>
      <c r="I195" s="2" t="str">
        <f>IFERROR(__xludf.DUMMYFUNCTION("GOOGLETRANSLATE(C195,""fr"",""en"")"),"I have been satisfied with the service for these few years that I have been a member.
I have several vehicles insured at home, the service during the accident is going well.")</f>
        <v>I have been satisfied with the service for these few years that I have been a member.
I have several vehicles insured at home, the service during the accident is going well.</v>
      </c>
    </row>
    <row r="196" ht="15.75" customHeight="1">
      <c r="A196" s="2">
        <v>1.0</v>
      </c>
      <c r="B196" s="2" t="s">
        <v>656</v>
      </c>
      <c r="C196" s="2" t="s">
        <v>657</v>
      </c>
      <c r="D196" s="2" t="s">
        <v>75</v>
      </c>
      <c r="E196" s="2" t="s">
        <v>14</v>
      </c>
      <c r="F196" s="2" t="s">
        <v>15</v>
      </c>
      <c r="G196" s="2" t="s">
        <v>380</v>
      </c>
      <c r="H196" s="2" t="s">
        <v>77</v>
      </c>
      <c r="I196" s="2" t="str">
        <f>IFERROR(__xludf.DUMMYFUNCTION("GOOGLETRANSLATE(C196,""fr"",""en"")"),"Not satisfied following an increase of € 8 of the insurance, while the vehicle spent the mostclair in its year on site !! what is unacceptable")</f>
        <v>Not satisfied following an increase of € 8 of the insurance, while the vehicle spent the mostclair in its year on site !! what is unacceptable</v>
      </c>
    </row>
    <row r="197" ht="15.75" customHeight="1">
      <c r="A197" s="2">
        <v>4.0</v>
      </c>
      <c r="B197" s="2" t="s">
        <v>658</v>
      </c>
      <c r="C197" s="2" t="s">
        <v>659</v>
      </c>
      <c r="D197" s="2" t="s">
        <v>101</v>
      </c>
      <c r="E197" s="2" t="s">
        <v>14</v>
      </c>
      <c r="F197" s="2" t="s">
        <v>15</v>
      </c>
      <c r="G197" s="2" t="s">
        <v>660</v>
      </c>
      <c r="H197" s="2" t="s">
        <v>17</v>
      </c>
      <c r="I197" s="2" t="str">
        <f>IFERROR(__xludf.DUMMYFUNCTION("GOOGLETRANSLATE(C197,""fr"",""en"")"),"Good insurance, I am lucky to have an Allianz agency in my city and suddenly as soon as I have a question I just have to go directly to the agency or the reception, service and the management of files is excellent . The 0km assistance is a real advantage "&amp;"some invoice this very expensive option when it is very reasonable and unlimited and fortunately because on the same year I shout 3 times and the battery of my car no longer worked.")</f>
        <v>Good insurance, I am lucky to have an Allianz agency in my city and suddenly as soon as I have a question I just have to go directly to the agency or the reception, service and the management of files is excellent . The 0km assistance is a real advantage some invoice this very expensive option when it is very reasonable and unlimited and fortunately because on the same year I shout 3 times and the battery of my car no longer worked.</v>
      </c>
    </row>
    <row r="198" ht="15.75" customHeight="1">
      <c r="A198" s="2">
        <v>4.0</v>
      </c>
      <c r="B198" s="2" t="s">
        <v>661</v>
      </c>
      <c r="C198" s="2" t="s">
        <v>662</v>
      </c>
      <c r="D198" s="2" t="s">
        <v>37</v>
      </c>
      <c r="E198" s="2" t="s">
        <v>14</v>
      </c>
      <c r="F198" s="2" t="s">
        <v>15</v>
      </c>
      <c r="G198" s="2" t="s">
        <v>663</v>
      </c>
      <c r="H198" s="2" t="s">
        <v>28</v>
      </c>
      <c r="I198" s="2" t="str">
        <f>IFERROR(__xludf.DUMMYFUNCTION("GOOGLETRANSLATE(C198,""fr"",""en"")"),"Very good contact contact always perfect friendly and efficient. I will recommend you to my friends and entourage. Keep going. Maybe a little more advertising would not harm")</f>
        <v>Very good contact contact always perfect friendly and efficient. I will recommend you to my friends and entourage. Keep going. Maybe a little more advertising would not harm</v>
      </c>
    </row>
    <row r="199" ht="15.75" customHeight="1">
      <c r="A199" s="2">
        <v>4.0</v>
      </c>
      <c r="B199" s="2" t="s">
        <v>664</v>
      </c>
      <c r="C199" s="2" t="s">
        <v>665</v>
      </c>
      <c r="D199" s="2" t="s">
        <v>394</v>
      </c>
      <c r="E199" s="2" t="s">
        <v>32</v>
      </c>
      <c r="F199" s="2" t="s">
        <v>15</v>
      </c>
      <c r="G199" s="2" t="s">
        <v>666</v>
      </c>
      <c r="H199" s="2" t="s">
        <v>61</v>
      </c>
      <c r="I199" s="2" t="str">
        <f>IFERROR(__xludf.DUMMYFUNCTION("GOOGLETRANSLATE(C199,""fr"",""en"")"),"Hello I am rather satisfied with the mutual I have them all try and always the same to take any problems to reimburse or have someone on the end of the wireless standard sature finally with santiane it's better quality price and service much better thank "&amp;"you very much cordially")</f>
        <v>Hello I am rather satisfied with the mutual I have them all try and always the same to take any problems to reimburse or have someone on the end of the wireless standard sature finally with santiane it's better quality price and service much better thank you very much cordially</v>
      </c>
    </row>
    <row r="200" ht="15.75" customHeight="1">
      <c r="A200" s="2">
        <v>1.0</v>
      </c>
      <c r="B200" s="2" t="s">
        <v>667</v>
      </c>
      <c r="C200" s="2" t="s">
        <v>668</v>
      </c>
      <c r="D200" s="2" t="s">
        <v>37</v>
      </c>
      <c r="E200" s="2" t="s">
        <v>14</v>
      </c>
      <c r="F200" s="2" t="s">
        <v>15</v>
      </c>
      <c r="G200" s="2" t="s">
        <v>317</v>
      </c>
      <c r="H200" s="2" t="s">
        <v>39</v>
      </c>
      <c r="I200" s="2" t="str">
        <f>IFERROR(__xludf.DUMMYFUNCTION("GOOGLETRANSLATE(C200,""fr"",""en"")"),"Pitinable insurance, I had a disaster dated May, I still haven't recovered my vehicle, the advisers are not even able to answer my questions, several minutes of waiting on the phone to ultimately hung up on Nose of customers, watch out for the general cla"&amp;"uses of this insurance because at the time of the contract suspection has a total lack of information, because in the event of theft of parts on the vehicle it does not reimburse optics and more parts detach, they take People for ***, I do not recommend i"&amp;"t at all this insurance, I have two contracts with them I will terminate them, leave paid more expensive and be quiet, more than 2 months of waiting for a pitiful disaster.")</f>
        <v>Pitinable insurance, I had a disaster dated May, I still haven't recovered my vehicle, the advisers are not even able to answer my questions, several minutes of waiting on the phone to ultimately hung up on Nose of customers, watch out for the general clauses of this insurance because at the time of the contract suspection has a total lack of information, because in the event of theft of parts on the vehicle it does not reimburse optics and more parts detach, they take People for ***, I do not recommend it at all this insurance, I have two contracts with them I will terminate them, leave paid more expensive and be quiet, more than 2 months of waiting for a pitiful disaster.</v>
      </c>
    </row>
    <row r="201" ht="15.75" customHeight="1">
      <c r="A201" s="2">
        <v>5.0</v>
      </c>
      <c r="B201" s="2" t="s">
        <v>669</v>
      </c>
      <c r="C201" s="2" t="s">
        <v>670</v>
      </c>
      <c r="D201" s="2" t="s">
        <v>37</v>
      </c>
      <c r="E201" s="2" t="s">
        <v>14</v>
      </c>
      <c r="F201" s="2" t="s">
        <v>15</v>
      </c>
      <c r="G201" s="2" t="s">
        <v>671</v>
      </c>
      <c r="H201" s="2" t="s">
        <v>28</v>
      </c>
      <c r="I201" s="2" t="str">
        <f>IFERROR(__xludf.DUMMYFUNCTION("GOOGLETRANSLATE(C201,""fr"",""en"")"),"I am satisfied with the service
The captures are correct nothing to say I will certainly go
Ensure a second vehicle in the next month
thank you")</f>
        <v>I am satisfied with the service
The captures are correct nothing to say I will certainly go
Ensure a second vehicle in the next month
thank you</v>
      </c>
    </row>
    <row r="202" ht="15.75" customHeight="1">
      <c r="A202" s="2">
        <v>5.0</v>
      </c>
      <c r="B202" s="2" t="s">
        <v>672</v>
      </c>
      <c r="C202" s="2" t="s">
        <v>673</v>
      </c>
      <c r="D202" s="2" t="s">
        <v>31</v>
      </c>
      <c r="E202" s="2" t="s">
        <v>32</v>
      </c>
      <c r="F202" s="2" t="s">
        <v>15</v>
      </c>
      <c r="G202" s="2" t="s">
        <v>33</v>
      </c>
      <c r="H202" s="2" t="s">
        <v>34</v>
      </c>
      <c r="I202" s="2" t="str">
        <f>IFERROR(__xludf.DUMMYFUNCTION("GOOGLETRANSLATE(C202,""fr"",""en"")"),"A mutual insurance company, with evolutionary contracts according to needs, a network of well -supplied professionals and fast reimbursements ...
I am more than satisfied and I recommend!")</f>
        <v>A mutual insurance company, with evolutionary contracts according to needs, a network of well -supplied professionals and fast reimbursements ...
I am more than satisfied and I recommend!</v>
      </c>
    </row>
    <row r="203" ht="15.75" customHeight="1">
      <c r="A203" s="2">
        <v>2.0</v>
      </c>
      <c r="B203" s="2" t="s">
        <v>674</v>
      </c>
      <c r="C203" s="2" t="s">
        <v>675</v>
      </c>
      <c r="D203" s="2" t="s">
        <v>95</v>
      </c>
      <c r="E203" s="2" t="s">
        <v>96</v>
      </c>
      <c r="F203" s="2" t="s">
        <v>15</v>
      </c>
      <c r="G203" s="2" t="s">
        <v>676</v>
      </c>
      <c r="H203" s="2" t="s">
        <v>677</v>
      </c>
      <c r="I203" s="2" t="str">
        <f>IFERROR(__xludf.DUMMYFUNCTION("GOOGLETRANSLATE(C203,""fr"",""en"")"),"Hello, I wanted to take out insurance at April Moto. The coverage appeared good and the interesting prices. At almost 2 months of exchanges (additional documents, they ask you to recall them but never answer, their computer file does not take into account"&amp;" the calls, do not recall when you request an automatic recall), I abandoned ... I prefer a little more expensive insurance but whose service is correct. Which is far from being the case for April Moto ...")</f>
        <v>Hello, I wanted to take out insurance at April Moto. The coverage appeared good and the interesting prices. At almost 2 months of exchanges (additional documents, they ask you to recall them but never answer, their computer file does not take into account the calls, do not recall when you request an automatic recall), I abandoned ... I prefer a little more expensive insurance but whose service is correct. Which is far from being the case for April Moto ...</v>
      </c>
    </row>
    <row r="204" ht="15.75" customHeight="1">
      <c r="A204" s="2">
        <v>1.0</v>
      </c>
      <c r="B204" s="2" t="s">
        <v>678</v>
      </c>
      <c r="C204" s="2" t="s">
        <v>679</v>
      </c>
      <c r="D204" s="2" t="s">
        <v>680</v>
      </c>
      <c r="E204" s="2" t="s">
        <v>153</v>
      </c>
      <c r="F204" s="2" t="s">
        <v>15</v>
      </c>
      <c r="G204" s="2" t="s">
        <v>681</v>
      </c>
      <c r="H204" s="2" t="s">
        <v>72</v>
      </c>
      <c r="I204" s="2" t="str">
        <f>IFERROR(__xludf.DUMMYFUNCTION("GOOGLETRANSLATE(C204,""fr"",""en"")"),"Attention for retirement insurance investment
oblige to stay 20 years otherwise if you stop your contract before the term a rendering of only 65% ​​and difficulties in breaking it")</f>
        <v>Attention for retirement insurance investment
oblige to stay 20 years otherwise if you stop your contract before the term a rendering of only 65% ​​and difficulties in breaking it</v>
      </c>
    </row>
    <row r="205" ht="15.75" customHeight="1">
      <c r="A205" s="2">
        <v>1.0</v>
      </c>
      <c r="B205" s="2" t="s">
        <v>682</v>
      </c>
      <c r="C205" s="2" t="s">
        <v>683</v>
      </c>
      <c r="D205" s="2" t="s">
        <v>394</v>
      </c>
      <c r="E205" s="2" t="s">
        <v>32</v>
      </c>
      <c r="F205" s="2" t="s">
        <v>15</v>
      </c>
      <c r="G205" s="2" t="s">
        <v>340</v>
      </c>
      <c r="H205" s="2" t="s">
        <v>341</v>
      </c>
      <c r="I205" s="2" t="str">
        <f>IFERROR(__xludf.DUMMYFUNCTION("GOOGLETRANSLATE(C205,""fr"",""en"")"),"This mutual uses inadmissible canvassing methods:
We call you on your laptop (how do you have your number?), We have your postal address, we tell you that your current ""insurance"" that comes from your bank (we know your bank and we quote it) is "" Obso"&amp;"lete "", and that we offer you much better and cheaper. The speech suggests that this is done in conjunction with your bank.
At the end, as you say not want to decide anything without having read the contract proposals (which we intend to refuse anyway),"&amp;" we send you a text with a 5 -digit code that You must return. Ok, you do it. We warn you that the ""chef"" must recall one or two days later to make sure that we were very nice and clear. We specify that Neoliane is not linked, neither with your insuranc"&amp;"e nor with your bank.
By means of what one or two days later you receive a call from the ""chef"" in question, which explains to you that the code you have returned is worth signing contracts, which of course we had never told you.
On the other hand, th"&amp;"e initial assertion that tells you that currently you pay 48 € obsolete insurance is a total lie. But as you listen to the babble of the person, hoping only one thing, it is that he stops, you did not immediately be careful.
In short, I was able to refus"&amp;"e, furious, that we continue this story (fortunately I had not given my bank account number!) What, fortunately we took into account
In summary: canvassing based on lies and deception, acquisition of an ""electronic signature"" without warning that it "&amp;"is indeed a signature of the contract.
These are methods of which I only understand spas that they do not fall under the law!
Mutual to avoid at all costs!
")</f>
        <v>This mutual uses inadmissible canvassing methods:
We call you on your laptop (how do you have your number?), We have your postal address, we tell you that your current "insurance" that comes from your bank (we know your bank and we quote it) is " Obsolete ", and that we offer you much better and cheaper. The speech suggests that this is done in conjunction with your bank.
At the end, as you say not want to decide anything without having read the contract proposals (which we intend to refuse anyway), we send you a text with a 5 -digit code that You must return. Ok, you do it. We warn you that the "chef" must recall one or two days later to make sure that we were very nice and clear. We specify that Neoliane is not linked, neither with your insurance nor with your bank.
By means of what one or two days later you receive a call from the "chef" in question, which explains to you that the code you have returned is worth signing contracts, which of course we had never told you.
On the other hand, the initial assertion that tells you that currently you pay 48 € obsolete insurance is a total lie. But as you listen to the babble of the person, hoping only one thing, it is that he stops, you did not immediately be careful.
In short, I was able to refuse, furious, that we continue this story (fortunately I had not given my bank account number!) What, fortunately we took into account
In summary: canvassing based on lies and deception, acquisition of an "electronic signature" without warning that it is indeed a signature of the contract.
These are methods of which I only understand spas that they do not fall under the law!
Mutual to avoid at all costs!
</v>
      </c>
    </row>
    <row r="206" ht="15.75" customHeight="1">
      <c r="A206" s="2">
        <v>3.0</v>
      </c>
      <c r="B206" s="2" t="s">
        <v>684</v>
      </c>
      <c r="C206" s="2" t="s">
        <v>685</v>
      </c>
      <c r="D206" s="2" t="s">
        <v>75</v>
      </c>
      <c r="E206" s="2" t="s">
        <v>14</v>
      </c>
      <c r="F206" s="2" t="s">
        <v>15</v>
      </c>
      <c r="G206" s="2" t="s">
        <v>686</v>
      </c>
      <c r="H206" s="2" t="s">
        <v>521</v>
      </c>
      <c r="I206" s="2" t="str">
        <f>IFERROR(__xludf.DUMMYFUNCTION("GOOGLETRANSLATE(C206,""fr"",""en"")"),"The price suits me, a simple quote and immediate response. I recommend and in particular for a new driver, insurance meets all the criteria")</f>
        <v>The price suits me, a simple quote and immediate response. I recommend and in particular for a new driver, insurance meets all the criteria</v>
      </c>
    </row>
    <row r="207" ht="15.75" customHeight="1">
      <c r="A207" s="2">
        <v>3.0</v>
      </c>
      <c r="B207" s="2" t="s">
        <v>687</v>
      </c>
      <c r="C207" s="2" t="s">
        <v>688</v>
      </c>
      <c r="D207" s="2" t="s">
        <v>26</v>
      </c>
      <c r="E207" s="2" t="s">
        <v>14</v>
      </c>
      <c r="F207" s="2" t="s">
        <v>15</v>
      </c>
      <c r="G207" s="2" t="s">
        <v>689</v>
      </c>
      <c r="H207" s="2" t="s">
        <v>201</v>
      </c>
      <c r="I207" s="2" t="str">
        <f>IFERROR(__xludf.DUMMYFUNCTION("GOOGLETRANSLATE(C207,""fr"",""en"")"),"My vehicle has a problem and must go to the garage and stay there all day and I asked for a replacement vehicle, I specify that I am in any risk with option replacement vehicle and Mr. on the phone Ah no, I can do nothing For you and in addition are bad t"&amp;"imes telling me that I do not have the replacement option of the vehicle when I have checked it myself. So tell me what I pay ?? The wind??? No but seriously ..")</f>
        <v>My vehicle has a problem and must go to the garage and stay there all day and I asked for a replacement vehicle, I specify that I am in any risk with option replacement vehicle and Mr. on the phone Ah no, I can do nothing For you and in addition are bad times telling me that I do not have the replacement option of the vehicle when I have checked it myself. So tell me what I pay ?? The wind??? No but seriously ..</v>
      </c>
    </row>
    <row r="208" ht="15.75" customHeight="1">
      <c r="A208" s="2">
        <v>2.0</v>
      </c>
      <c r="B208" s="2" t="s">
        <v>690</v>
      </c>
      <c r="C208" s="2" t="s">
        <v>691</v>
      </c>
      <c r="D208" s="2" t="s">
        <v>692</v>
      </c>
      <c r="E208" s="2" t="s">
        <v>14</v>
      </c>
      <c r="F208" s="2" t="s">
        <v>15</v>
      </c>
      <c r="G208" s="2" t="s">
        <v>693</v>
      </c>
      <c r="H208" s="2" t="s">
        <v>694</v>
      </c>
      <c r="I208" s="2" t="str">
        <f>IFERROR(__xludf.DUMMYFUNCTION("GOOGLETRANSLATE(C208,""fr"",""en"")"),"A lamentable customer service !!! I made contact by such to ensure a new vehicle I am announced to me then a price at 29 euros/month, I validate the offer but once the contract is validated, surprised the price is in fact increased to 45 euros because wha"&amp;"t The contract was done on behalf of my daughter without my agreement, she is only 17 years old and not yet the permit (on the pretext that I mentioned that this vehicle will be intended for her in a few months). I therefore refuse to validate and request"&amp;" a contract to my name until my daughter's license is obtained. Well no, impossible !! I am forced to pay the young driver's surprise for a vehicle that will not be used by a young driver. I assert my right of withdrawal, not only do we call into question"&amp;" my version, telling me that the telecontrol respected my request and the Matmut takes 1 month to terminate the contract. So disappointed I have resilled the 4 other vehicles insured with them, beautiful loyalty of its customers !!! to flee")</f>
        <v>A lamentable customer service !!! I made contact by such to ensure a new vehicle I am announced to me then a price at 29 euros/month, I validate the offer but once the contract is validated, surprised the price is in fact increased to 45 euros because what The contract was done on behalf of my daughter without my agreement, she is only 17 years old and not yet the permit (on the pretext that I mentioned that this vehicle will be intended for her in a few months). I therefore refuse to validate and request a contract to my name until my daughter's license is obtained. Well no, impossible !! I am forced to pay the young driver's surprise for a vehicle that will not be used by a young driver. I assert my right of withdrawal, not only do we call into question my version, telling me that the telecontrol respected my request and the Matmut takes 1 month to terminate the contract. So disappointed I have resilled the 4 other vehicles insured with them, beautiful loyalty of its customers !!! to flee</v>
      </c>
    </row>
    <row r="209" ht="15.75" customHeight="1">
      <c r="A209" s="2">
        <v>1.0</v>
      </c>
      <c r="B209" s="2" t="s">
        <v>695</v>
      </c>
      <c r="C209" s="2" t="s">
        <v>696</v>
      </c>
      <c r="D209" s="2" t="s">
        <v>233</v>
      </c>
      <c r="E209" s="2" t="s">
        <v>32</v>
      </c>
      <c r="F209" s="2" t="s">
        <v>15</v>
      </c>
      <c r="G209" s="2" t="s">
        <v>697</v>
      </c>
      <c r="H209" s="2" t="s">
        <v>67</v>
      </c>
      <c r="I209" s="2" t="str">
        <f>IFERROR(__xludf.DUMMYFUNCTION("GOOGLETRANSLATE(C209,""fr"",""en"")"),"It's been several years, no customer relations, low repayment despite the kid monthly deadlines on my part and my employer with 1,200 employees
Forcing for the digital mutual card !!!
In comparison with the Intermarché mutual, the ITM is 2 times cheaper"&amp;", ceiling lenses tear teeth much better covered
Very disappointed with the lack of communication, mutual unknown to the pooling center ... poor image with health professionals
")</f>
        <v>It's been several years, no customer relations, low repayment despite the kid monthly deadlines on my part and my employer with 1,200 employees
Forcing for the digital mutual card !!!
In comparison with the Intermarché mutual, the ITM is 2 times cheaper, ceiling lenses tear teeth much better covered
Very disappointed with the lack of communication, mutual unknown to the pooling center ... poor image with health professionals
</v>
      </c>
    </row>
    <row r="210" ht="15.75" customHeight="1">
      <c r="A210" s="2">
        <v>1.0</v>
      </c>
      <c r="B210" s="2" t="s">
        <v>698</v>
      </c>
      <c r="C210" s="2" t="s">
        <v>699</v>
      </c>
      <c r="D210" s="2" t="s">
        <v>13</v>
      </c>
      <c r="E210" s="2" t="s">
        <v>96</v>
      </c>
      <c r="F210" s="2" t="s">
        <v>15</v>
      </c>
      <c r="G210" s="2" t="s">
        <v>700</v>
      </c>
      <c r="H210" s="2" t="s">
        <v>223</v>
      </c>
      <c r="I210" s="2" t="str">
        <f>IFERROR(__xludf.DUMMYFUNCTION("GOOGLETRANSLATE(C210,""fr"",""en"")"),"For 7 years at the Macif I had not had any problems until I decided to terminate one of my contracts and that I realize that there was more interesting elsewhere. And there the serious troubles begin.")</f>
        <v>For 7 years at the Macif I had not had any problems until I decided to terminate one of my contracts and that I realize that there was more interesting elsewhere. And there the serious troubles begin.</v>
      </c>
    </row>
    <row r="211" ht="15.75" customHeight="1">
      <c r="A211" s="2">
        <v>5.0</v>
      </c>
      <c r="B211" s="2" t="s">
        <v>701</v>
      </c>
      <c r="C211" s="2" t="s">
        <v>702</v>
      </c>
      <c r="D211" s="2" t="s">
        <v>75</v>
      </c>
      <c r="E211" s="2" t="s">
        <v>14</v>
      </c>
      <c r="F211" s="2" t="s">
        <v>15</v>
      </c>
      <c r="G211" s="2" t="s">
        <v>703</v>
      </c>
      <c r="H211" s="2" t="s">
        <v>86</v>
      </c>
      <c r="I211" s="2" t="str">
        <f>IFERROR(__xludf.DUMMYFUNCTION("GOOGLETRANSLATE(C211,""fr"",""en"")"),"I am satisfied with the services offered, the prices are reasonable and adaptable! I recommend my eyes closed! Thank you for your comseils! Perfect")</f>
        <v>I am satisfied with the services offered, the prices are reasonable and adaptable! I recommend my eyes closed! Thank you for your comseils! Perfect</v>
      </c>
    </row>
    <row r="212" ht="15.75" customHeight="1">
      <c r="A212" s="2">
        <v>3.0</v>
      </c>
      <c r="B212" s="2" t="s">
        <v>704</v>
      </c>
      <c r="C212" s="2" t="s">
        <v>705</v>
      </c>
      <c r="D212" s="2" t="s">
        <v>75</v>
      </c>
      <c r="E212" s="2" t="s">
        <v>14</v>
      </c>
      <c r="F212" s="2" t="s">
        <v>15</v>
      </c>
      <c r="G212" s="2" t="s">
        <v>196</v>
      </c>
      <c r="H212" s="2" t="s">
        <v>193</v>
      </c>
      <c r="I212" s="2" t="str">
        <f>IFERROR(__xludf.DUMMYFUNCTION("GOOGLETRANSLATE(C212,""fr"",""en"")"),"Simple and quick very professional advisor, gives the right information, reactive, she is attentive, attentive to my request and very pleasant")</f>
        <v>Simple and quick very professional advisor, gives the right information, reactive, she is attentive, attentive to my request and very pleasant</v>
      </c>
    </row>
    <row r="213" ht="15.75" customHeight="1">
      <c r="A213" s="2">
        <v>1.0</v>
      </c>
      <c r="B213" s="2" t="s">
        <v>706</v>
      </c>
      <c r="C213" s="2" t="s">
        <v>707</v>
      </c>
      <c r="D213" s="2" t="s">
        <v>37</v>
      </c>
      <c r="E213" s="2" t="s">
        <v>14</v>
      </c>
      <c r="F213" s="2" t="s">
        <v>15</v>
      </c>
      <c r="G213" s="2" t="s">
        <v>708</v>
      </c>
      <c r="H213" s="2" t="s">
        <v>501</v>
      </c>
      <c r="I213" s="2" t="str">
        <f>IFERROR(__xludf.DUMMYFUNCTION("GOOGLETRANSLATE(C213,""fr"",""en"")"),"To flee
 First insurance and I see that they are trying to benefit from it
1 month and a half for a windshield and no news
Obliges to affect them every day to follow and every day the same speech we do not manage to contact opposing insurance we will m"&amp;"ake a recall tomorrow
In addition they make me pay 90 x2 and to take the money they are on time ahead but to manage the claims you have to have time
A LOT OF TIME
I will contact a lawyer see what I can do")</f>
        <v>To flee
 First insurance and I see that they are trying to benefit from it
1 month and a half for a windshield and no news
Obliges to affect them every day to follow and every day the same speech we do not manage to contact opposing insurance we will make a recall tomorrow
In addition they make me pay 90 x2 and to take the money they are on time ahead but to manage the claims you have to have time
A LOT OF TIME
I will contact a lawyer see what I can do</v>
      </c>
    </row>
    <row r="214" ht="15.75" customHeight="1">
      <c r="A214" s="2">
        <v>4.0</v>
      </c>
      <c r="B214" s="2" t="s">
        <v>709</v>
      </c>
      <c r="C214" s="2" t="s">
        <v>710</v>
      </c>
      <c r="D214" s="2" t="s">
        <v>75</v>
      </c>
      <c r="E214" s="2" t="s">
        <v>14</v>
      </c>
      <c r="F214" s="2" t="s">
        <v>15</v>
      </c>
      <c r="G214" s="2" t="s">
        <v>295</v>
      </c>
      <c r="H214" s="2" t="s">
        <v>28</v>
      </c>
      <c r="I214" s="2" t="str">
        <f>IFERROR(__xludf.DUMMYFUNCTION("GOOGLETRANSLATE(C214,""fr"",""en"")"),"I am satisfied with the price of direct insurance insurance as well as the service rendered.
The management facilitated by the Internet makes it possible to simplify the procedures.
I recommend.")</f>
        <v>I am satisfied with the price of direct insurance insurance as well as the service rendered.
The management facilitated by the Internet makes it possible to simplify the procedures.
I recommend.</v>
      </c>
    </row>
    <row r="215" ht="15.75" customHeight="1">
      <c r="A215" s="2">
        <v>3.0</v>
      </c>
      <c r="B215" s="2" t="s">
        <v>711</v>
      </c>
      <c r="C215" s="2" t="s">
        <v>712</v>
      </c>
      <c r="D215" s="2" t="s">
        <v>394</v>
      </c>
      <c r="E215" s="2" t="s">
        <v>32</v>
      </c>
      <c r="F215" s="2" t="s">
        <v>15</v>
      </c>
      <c r="G215" s="2" t="s">
        <v>713</v>
      </c>
      <c r="H215" s="2" t="s">
        <v>103</v>
      </c>
      <c r="I215" s="2" t="str">
        <f>IFERROR(__xludf.DUMMYFUNCTION("GOOGLETRANSLATE(C215,""fr"",""en"")"),"Hello to you, I have just had a positive response from Néoliane insurance which cancels my contract, the contract being done by a broker not very serious, if you have concerns like me an email address: reclamation@neoliane .Fr
You make your complaint wit"&amp;"h your contact details a very kind and serious person immediately reminds you of
I am happy with my business is resolved")</f>
        <v>Hello to you, I have just had a positive response from Néoliane insurance which cancels my contract, the contract being done by a broker not very serious, if you have concerns like me an email address: reclamation@neoliane .Fr
You make your complaint with your contact details a very kind and serious person immediately reminds you of
I am happy with my business is resolved</v>
      </c>
    </row>
    <row r="216" ht="15.75" customHeight="1">
      <c r="A216" s="2">
        <v>1.0</v>
      </c>
      <c r="B216" s="2" t="s">
        <v>714</v>
      </c>
      <c r="C216" s="2" t="s">
        <v>715</v>
      </c>
      <c r="D216" s="2" t="s">
        <v>95</v>
      </c>
      <c r="E216" s="2" t="s">
        <v>96</v>
      </c>
      <c r="F216" s="2" t="s">
        <v>15</v>
      </c>
      <c r="G216" s="2" t="s">
        <v>716</v>
      </c>
      <c r="H216" s="2" t="s">
        <v>77</v>
      </c>
      <c r="I216" s="2" t="str">
        <f>IFERROR(__xludf.DUMMYFUNCTION("GOOGLETRANSLATE(C216,""fr"",""en"")"),"If you don't need anything, this insurance is for you. I was overthrown by a car that recognized its 100%fault. I am delivered to myself. No contact on the part of the insurance since I disputed the expert's opinion. What to do???
In fact, it's not expen"&amp;"sive but we have for our money.")</f>
        <v>If you don't need anything, this insurance is for you. I was overthrown by a car that recognized its 100%fault. I am delivered to myself. No contact on the part of the insurance since I disputed the expert's opinion. What to do???
In fact, it's not expensive but we have for our money.</v>
      </c>
    </row>
    <row r="217" ht="15.75" customHeight="1">
      <c r="A217" s="2">
        <v>4.0</v>
      </c>
      <c r="B217" s="2" t="s">
        <v>717</v>
      </c>
      <c r="C217" s="2" t="s">
        <v>718</v>
      </c>
      <c r="D217" s="2" t="s">
        <v>37</v>
      </c>
      <c r="E217" s="2" t="s">
        <v>14</v>
      </c>
      <c r="F217" s="2" t="s">
        <v>15</v>
      </c>
      <c r="G217" s="2" t="s">
        <v>591</v>
      </c>
      <c r="H217" s="2" t="s">
        <v>28</v>
      </c>
      <c r="I217" s="2" t="str">
        <f>IFERROR(__xludf.DUMMYFUNCTION("GOOGLETRANSLATE(C217,""fr"",""en"")"),"I am satisfied with the prices, the quote is made quickly attentive. Happy with the insurance I recommend it. Simple and effective access to access to access")</f>
        <v>I am satisfied with the prices, the quote is made quickly attentive. Happy with the insurance I recommend it. Simple and effective access to access to access</v>
      </c>
    </row>
    <row r="218" ht="15.75" customHeight="1">
      <c r="A218" s="2">
        <v>3.0</v>
      </c>
      <c r="B218" s="2" t="s">
        <v>719</v>
      </c>
      <c r="C218" s="2" t="s">
        <v>720</v>
      </c>
      <c r="D218" s="2" t="s">
        <v>37</v>
      </c>
      <c r="E218" s="2" t="s">
        <v>14</v>
      </c>
      <c r="F218" s="2" t="s">
        <v>15</v>
      </c>
      <c r="G218" s="2" t="s">
        <v>196</v>
      </c>
      <c r="H218" s="2" t="s">
        <v>193</v>
      </c>
      <c r="I218" s="2" t="str">
        <f>IFERROR(__xludf.DUMMYFUNCTION("GOOGLETRANSLATE(C218,""fr"",""en"")"),"The prices suit me: my previous insurance was twice as expensive.
I just subscribed, so I don't have enough perspective to assess the service.")</f>
        <v>The prices suit me: my previous insurance was twice as expensive.
I just subscribed, so I don't have enough perspective to assess the service.</v>
      </c>
    </row>
    <row r="219" ht="15.75" customHeight="1">
      <c r="A219" s="2">
        <v>3.0</v>
      </c>
      <c r="B219" s="2" t="s">
        <v>721</v>
      </c>
      <c r="C219" s="2" t="s">
        <v>722</v>
      </c>
      <c r="D219" s="2" t="s">
        <v>37</v>
      </c>
      <c r="E219" s="2" t="s">
        <v>14</v>
      </c>
      <c r="F219" s="2" t="s">
        <v>15</v>
      </c>
      <c r="G219" s="2" t="s">
        <v>470</v>
      </c>
      <c r="H219" s="2" t="s">
        <v>39</v>
      </c>
      <c r="I219" s="2" t="str">
        <f>IFERROR(__xludf.DUMMYFUNCTION("GOOGLETRANSLATE(C219,""fr"",""en"")"),"I do not know yet if I am satisfied or not. I cannot comment on this because we expect insurance and benevolence from insurance, especially in the event of a disaster, excluding, this is not yet the case :)")</f>
        <v>I do not know yet if I am satisfied or not. I cannot comment on this because we expect insurance and benevolence from insurance, especially in the event of a disaster, excluding, this is not yet the case :)</v>
      </c>
    </row>
    <row r="220" ht="15.75" customHeight="1">
      <c r="A220" s="2">
        <v>5.0</v>
      </c>
      <c r="B220" s="2" t="s">
        <v>723</v>
      </c>
      <c r="C220" s="2" t="s">
        <v>724</v>
      </c>
      <c r="D220" s="2" t="s">
        <v>75</v>
      </c>
      <c r="E220" s="2" t="s">
        <v>14</v>
      </c>
      <c r="F220" s="2" t="s">
        <v>15</v>
      </c>
      <c r="G220" s="2" t="s">
        <v>725</v>
      </c>
      <c r="H220" s="2" t="s">
        <v>86</v>
      </c>
      <c r="I220" s="2" t="str">
        <f>IFERROR(__xludf.DUMMYFUNCTION("GOOGLETRANSLATE(C220,""fr"",""en"")"),"Sava it was Lapel it is going well and the prices its good too I am satisfied with lapelle and the prices of insurance thank you for everything and for your template granted")</f>
        <v>Sava it was Lapel it is going well and the prices its good too I am satisfied with lapelle and the prices of insurance thank you for everything and for your template granted</v>
      </c>
    </row>
    <row r="221" ht="15.75" customHeight="1">
      <c r="A221" s="2">
        <v>2.0</v>
      </c>
      <c r="B221" s="2" t="s">
        <v>726</v>
      </c>
      <c r="C221" s="2" t="s">
        <v>727</v>
      </c>
      <c r="D221" s="2" t="s">
        <v>221</v>
      </c>
      <c r="E221" s="2" t="s">
        <v>14</v>
      </c>
      <c r="F221" s="2" t="s">
        <v>15</v>
      </c>
      <c r="G221" s="2" t="s">
        <v>728</v>
      </c>
      <c r="H221" s="2" t="s">
        <v>28</v>
      </c>
      <c r="I221" s="2" t="str">
        <f>IFERROR(__xludf.DUMMYFUNCTION("GOOGLETRANSLATE(C221,""fr"",""en"")"),"On the 8/5 a motorcycle landed in my car parked in front of my house because a car cut it priority. Turbo HS radiator so non -rolling car.
On 10/5 after several unsuccessful calls from my Pacifica insurance, I decided to download their application in ord"&amp;"er to declare my claim.
On the 11/11, my claim is taken into account and apparently, it needed ""medical proof"" ??.
So I call again and again! Finally I manage to have an interlocutor. I explain my story and the latter ultimately reassures me no docume"&amp;"nt asked me. Then, he heads me for the audience so that a tow truck to get my car.
Thus, this service organizes the intervention and 1 hour after my car was going towards the garage. The garage warns me of its reception and confirms to me that it will no"&amp;"tify me of the follow -up.
On 12/5, I recall the garage which informs me that the mission order is still not received. She adds ""the courtesy car will not be available until the work begins"". So, I recall my Pacifica interlocutor who informs me that th"&amp;"e necessary will be done until Friday. So, I recall the assistance to get a rental car and the latter says to me haunty requests ""how long can you go to the rental company?"" I ask her where she is (# I'm pedestrian) and she retorts me ""I have to search"&amp;" for society?"". ?? I wait ! The hours go by then I recall the assistance and a man answers me = we did the necessary. Be saying an SMS sent ??. He postpones the appointment the next day.
13/5, holiday, the ""Enterprise"" rental company is closed. Again,"&amp;" I remind you of the assistance that has the car for Saturday 16/5.
Friday 14/5, I remind the garage to find out if they have received Pacifica email well: message left on the answering machine and apparently they do the bridge # they should not be so ov"&amp;"erwhelmed.
Saturday, I recover the rental car from Enterprise and delighted with good humor this receptionist.
Monday 17/5, Secretary AD is reminding me of putting my car! I remind her that she is already with them and ""not rolling"" ??. Thursday 20/5 "&amp;"Enterprise reminds me if we continue the rental? So, I renew my call to the garage which informs me that the expert must move because the photos are not enough but he will not pass until Wednesday 26/5 ??. Desperate, I recall the assistance to expose my c"&amp;"oncern to him. So it extends the rental to me until Tuesday 25/5! And do not have the power to do more. So I remind Pacifica to expose my problem and it extends the rental contract (12 days normally) exceptionally until Tuesday 2/6 or 16 days any more aft"&amp;"er you manage.
Wednesday 26/5 afternoon, I recall the mechanic who tells me that the expert went in the morning and they wait 48 hours on the report. I expose my situation = 15 days that my car is a flower pot, fed up with this situation! I call the expe"&amp;"rt (waiting for 20 min.) And miracle a double call from the mechanic who warns me that they will change the parts observed (intercooler, shield, grille) #This is the pieces I have declared in my claim. It takes 48 hours for the reception of the latter and"&amp;" will call me for a courtesy car that I have never had for information or to call either. Thursday 3/6, I call back at 10:30 am, to know the monitoring of repairs. Finally, they must change other parts not found during the expertise! In short, they have t"&amp;"he pieces and it will be ready for the end of the day or the next day. 4:30 p.m., finally, my car is repaired.
I go back to get it on Friday at 8 am at the end, it's a relief! The secretary asks me even if he has to recover a courtesy car. I answer him n"&amp;"o (if they took the trouble to read my band of ??).
When subscribing to Crédit Agricole, you are praising a great insurance and fairly expensive assistance service every month (knowing that I also have insurance for a second car as well as home insurance"&amp;", life insurance) . Frankly, do I ask myself? I stay or not?
 I see that I am collateral damage and no one takes care of your file!
 On the other hand, we do not forget to take every month!
 Bravo for the incompetence of Pacifica and their expert.
The"&amp;" mechanic has done a good job but the follow -up of customers is to be reviewed.
??????????
I hope to receive a satisfaction questionnaire from Pacifica and believe me, I will rot them ??")</f>
        <v>On the 8/5 a motorcycle landed in my car parked in front of my house because a car cut it priority. Turbo HS radiator so non -rolling car.
On 10/5 after several unsuccessful calls from my Pacifica insurance, I decided to download their application in order to declare my claim.
On the 11/11, my claim is taken into account and apparently, it needed "medical proof" ??.
So I call again and again! Finally I manage to have an interlocutor. I explain my story and the latter ultimately reassures me no document asked me. Then, he heads me for the audience so that a tow truck to get my car.
Thus, this service organizes the intervention and 1 hour after my car was going towards the garage. The garage warns me of its reception and confirms to me that it will notify me of the follow -up.
On 12/5, I recall the garage which informs me that the mission order is still not received. She adds "the courtesy car will not be available until the work begins". So, I recall my Pacifica interlocutor who informs me that the necessary will be done until Friday. So, I recall the assistance to get a rental car and the latter says to me haunty requests "how long can you go to the rental company?" I ask her where she is (# I'm pedestrian) and she retorts me "I have to search for society?". ?? I wait ! The hours go by then I recall the assistance and a man answers me = we did the necessary. Be saying an SMS sent ??. He postpones the appointment the next day.
13/5, holiday, the "Enterprise" rental company is closed. Again, I remind you of the assistance that has the car for Saturday 16/5.
Friday 14/5, I remind the garage to find out if they have received Pacifica email well: message left on the answering machine and apparently they do the bridge # they should not be so overwhelmed.
Saturday, I recover the rental car from Enterprise and delighted with good humor this receptionist.
Monday 17/5, Secretary AD is reminding me of putting my car! I remind her that she is already with them and "not rolling" ??. Thursday 20/5 Enterprise reminds me if we continue the rental? So, I renew my call to the garage which informs me that the expert must move because the photos are not enough but he will not pass until Wednesday 26/5 ??. Desperate, I recall the assistance to expose my concern to him. So it extends the rental to me until Tuesday 25/5! And do not have the power to do more. So I remind Pacifica to expose my problem and it extends the rental contract (12 days normally) exceptionally until Tuesday 2/6 or 16 days any more after you manage.
Wednesday 26/5 afternoon, I recall the mechanic who tells me that the expert went in the morning and they wait 48 hours on the report. I expose my situation = 15 days that my car is a flower pot, fed up with this situation! I call the expert (waiting for 20 min.) And miracle a double call from the mechanic who warns me that they will change the parts observed (intercooler, shield, grille) #This is the pieces I have declared in my claim. It takes 48 hours for the reception of the latter and will call me for a courtesy car that I have never had for information or to call either. Thursday 3/6, I call back at 10:30 am, to know the monitoring of repairs. Finally, they must change other parts not found during the expertise! In short, they have the pieces and it will be ready for the end of the day or the next day. 4:30 p.m., finally, my car is repaired.
I go back to get it on Friday at 8 am at the end, it's a relief! The secretary asks me even if he has to recover a courtesy car. I answer him no (if they took the trouble to read my band of ??).
When subscribing to Crédit Agricole, you are praising a great insurance and fairly expensive assistance service every month (knowing that I also have insurance for a second car as well as home insurance, life insurance) . Frankly, do I ask myself? I stay or not?
 I see that I am collateral damage and no one takes care of your file!
 On the other hand, we do not forget to take every month!
 Bravo for the incompetence of Pacifica and their expert.
The mechanic has done a good job but the follow -up of customers is to be reviewed.
??????????
I hope to receive a satisfaction questionnaire from Pacifica and believe me, I will rot them ??</v>
      </c>
    </row>
    <row r="222" ht="15.75" customHeight="1">
      <c r="A222" s="2">
        <v>4.0</v>
      </c>
      <c r="B222" s="2" t="s">
        <v>729</v>
      </c>
      <c r="C222" s="2" t="s">
        <v>730</v>
      </c>
      <c r="D222" s="2" t="s">
        <v>37</v>
      </c>
      <c r="E222" s="2" t="s">
        <v>14</v>
      </c>
      <c r="F222" s="2" t="s">
        <v>15</v>
      </c>
      <c r="G222" s="2" t="s">
        <v>731</v>
      </c>
      <c r="H222" s="2" t="s">
        <v>86</v>
      </c>
      <c r="I222" s="2" t="str">
        <f>IFERROR(__xludf.DUMMYFUNCTION("GOOGLETRANSLATE(C222,""fr"",""en"")"),"The prices are extremely reasonable, remains to be seen over time with the increases.
available and professional customer service. For the moment I am satisfied.")</f>
        <v>The prices are extremely reasonable, remains to be seen over time with the increases.
available and professional customer service. For the moment I am satisfied.</v>
      </c>
    </row>
    <row r="223" ht="15.75" customHeight="1">
      <c r="A223" s="2">
        <v>5.0</v>
      </c>
      <c r="B223" s="2" t="s">
        <v>732</v>
      </c>
      <c r="C223" s="2" t="s">
        <v>733</v>
      </c>
      <c r="D223" s="2" t="s">
        <v>221</v>
      </c>
      <c r="E223" s="2" t="s">
        <v>14</v>
      </c>
      <c r="F223" s="2" t="s">
        <v>15</v>
      </c>
      <c r="G223" s="2" t="s">
        <v>734</v>
      </c>
      <c r="H223" s="2" t="s">
        <v>735</v>
      </c>
      <c r="I223" s="2" t="str">
        <f>IFERROR(__xludf.DUMMYFUNCTION("GOOGLETRANSLATE(C223,""fr"",""en"")"),"Hello,
Following an engine failure on the highway, I called Pacifica assistance so that it helps me in the steps to follow.
I am very satisfied with this insurer. Everything was taken care of without my spending a single euro. (Towing ...)
After being "&amp;"deposited at the garage by the tug, Pacifica sent me a taxi so that I could recover a rental car that they had reserved for me the necessary repairs during the time.
They kept me informed of all steps by SMS.
No complaints!")</f>
        <v>Hello,
Following an engine failure on the highway, I called Pacifica assistance so that it helps me in the steps to follow.
I am very satisfied with this insurer. Everything was taken care of without my spending a single euro. (Towing ...)
After being deposited at the garage by the tug, Pacifica sent me a taxi so that I could recover a rental car that they had reserved for me the necessary repairs during the time.
They kept me informed of all steps by SMS.
No complaints!</v>
      </c>
    </row>
    <row r="224" ht="15.75" customHeight="1">
      <c r="A224" s="2">
        <v>2.0</v>
      </c>
      <c r="B224" s="2" t="s">
        <v>736</v>
      </c>
      <c r="C224" s="2" t="s">
        <v>737</v>
      </c>
      <c r="D224" s="2" t="s">
        <v>173</v>
      </c>
      <c r="E224" s="2" t="s">
        <v>32</v>
      </c>
      <c r="F224" s="2" t="s">
        <v>15</v>
      </c>
      <c r="G224" s="2" t="s">
        <v>738</v>
      </c>
      <c r="H224" s="2" t="s">
        <v>72</v>
      </c>
      <c r="I224" s="2" t="str">
        <f>IFERROR(__xludf.DUMMYFUNCTION("GOOGLETRANSLATE(C224,""fr"",""en"")"),"Very good opinion on my exchange with Nadège this morning which not only answered my questions with accuracy but it also repaired some errors on my file.")</f>
        <v>Very good opinion on my exchange with Nadège this morning which not only answered my questions with accuracy but it also repaired some errors on my file.</v>
      </c>
    </row>
    <row r="225" ht="15.75" customHeight="1">
      <c r="A225" s="2">
        <v>3.0</v>
      </c>
      <c r="B225" s="2" t="s">
        <v>739</v>
      </c>
      <c r="C225" s="2" t="s">
        <v>740</v>
      </c>
      <c r="D225" s="2" t="s">
        <v>37</v>
      </c>
      <c r="E225" s="2" t="s">
        <v>14</v>
      </c>
      <c r="F225" s="2" t="s">
        <v>15</v>
      </c>
      <c r="G225" s="2" t="s">
        <v>591</v>
      </c>
      <c r="H225" s="2" t="s">
        <v>28</v>
      </c>
      <c r="I225" s="2" t="str">
        <f>IFERROR(__xludf.DUMMYFUNCTION("GOOGLETRANSLATE(C225,""fr"",""en"")"),"I am satisfied with the service or welcome
Prices suit me for the moment
Simple, practical and fast
Ease of connection on your website")</f>
        <v>I am satisfied with the service or welcome
Prices suit me for the moment
Simple, practical and fast
Ease of connection on your website</v>
      </c>
    </row>
    <row r="226" ht="15.75" customHeight="1">
      <c r="A226" s="2">
        <v>5.0</v>
      </c>
      <c r="B226" s="2" t="s">
        <v>741</v>
      </c>
      <c r="C226" s="2" t="s">
        <v>742</v>
      </c>
      <c r="D226" s="2" t="s">
        <v>233</v>
      </c>
      <c r="E226" s="2" t="s">
        <v>32</v>
      </c>
      <c r="F226" s="2" t="s">
        <v>15</v>
      </c>
      <c r="G226" s="2" t="s">
        <v>743</v>
      </c>
      <c r="H226" s="2" t="s">
        <v>402</v>
      </c>
      <c r="I226" s="2" t="str">
        <f>IFERROR(__xludf.DUMMYFUNCTION("GOOGLETRANSLATE(C226,""fr"",""en"")"),"I do not understand the negative opinions. This mutual is excellent, I have no reimbursement concerns, when everything is in good standing with your work, vital card, Ameli everything works. If this is not the case do not be surprised not to receive your "&amp;"reimbursements ... Do your administrative procedures before you complain about damn it.")</f>
        <v>I do not understand the negative opinions. This mutual is excellent, I have no reimbursement concerns, when everything is in good standing with your work, vital card, Ameli everything works. If this is not the case do not be surprised not to receive your reimbursements ... Do your administrative procedures before you complain about damn it.</v>
      </c>
    </row>
    <row r="227" ht="15.75" customHeight="1">
      <c r="A227" s="2">
        <v>1.0</v>
      </c>
      <c r="B227" s="2" t="s">
        <v>744</v>
      </c>
      <c r="C227" s="2" t="s">
        <v>745</v>
      </c>
      <c r="D227" s="2" t="s">
        <v>487</v>
      </c>
      <c r="E227" s="2" t="s">
        <v>81</v>
      </c>
      <c r="F227" s="2" t="s">
        <v>15</v>
      </c>
      <c r="G227" s="2" t="s">
        <v>746</v>
      </c>
      <c r="H227" s="2" t="s">
        <v>146</v>
      </c>
      <c r="I227" s="2" t="str">
        <f>IFERROR(__xludf.DUMMYFUNCTION("GOOGLETRANSLATE(C227,""fr"",""en"")"),"I was in the unemployment and I wanted to terminate my contract on the date of failure but as I did not receive the letter of date of failure, my tour of the termination was arriving late compared to the date of failure therefore M a termination to be ref"&amp;"used But now I have arrived at the end of the unemployment law and I must wait for my file to be dealt with to be entitled to Lass is like RSA Alor I have sent a Courier de termination from my mutual which is almost 80 euros per month knowing that I have "&amp;"a rent to pay and other charge I explained to them my case in the letter of termination with the documents of pole employment at Apui but they refused me the termination and that it is necessary to wait for the date of layout I am really decu I am without"&amp;" money and they do not want to understand it is inhuman")</f>
        <v>I was in the unemployment and I wanted to terminate my contract on the date of failure but as I did not receive the letter of date of failure, my tour of the termination was arriving late compared to the date of failure therefore M a termination to be refused But now I have arrived at the end of the unemployment law and I must wait for my file to be dealt with to be entitled to Lass is like RSA Alor I have sent a Courier de termination from my mutual which is almost 80 euros per month knowing that I have a rent to pay and other charge I explained to them my case in the letter of termination with the documents of pole employment at Apui but they refused me the termination and that it is necessary to wait for the date of layout I am really decu I am without money and they do not want to understand it is inhuman</v>
      </c>
    </row>
    <row r="228" ht="15.75" customHeight="1">
      <c r="A228" s="2">
        <v>5.0</v>
      </c>
      <c r="B228" s="2" t="s">
        <v>747</v>
      </c>
      <c r="C228" s="2" t="s">
        <v>748</v>
      </c>
      <c r="D228" s="2" t="s">
        <v>75</v>
      </c>
      <c r="E228" s="2" t="s">
        <v>14</v>
      </c>
      <c r="F228" s="2" t="s">
        <v>15</v>
      </c>
      <c r="G228" s="2" t="s">
        <v>749</v>
      </c>
      <c r="H228" s="2" t="s">
        <v>28</v>
      </c>
      <c r="I228" s="2" t="str">
        <f>IFERROR(__xludf.DUMMYFUNCTION("GOOGLETRANSLATE(C228,""fr"",""en"")"),"Prices suit me. This is my first car insurance in my name and I can't wait to see the system with the case. It's an advantage for me")</f>
        <v>Prices suit me. This is my first car insurance in my name and I can't wait to see the system with the case. It's an advantage for me</v>
      </c>
    </row>
    <row r="229" ht="15.75" customHeight="1">
      <c r="A229" s="2">
        <v>1.0</v>
      </c>
      <c r="B229" s="2" t="s">
        <v>750</v>
      </c>
      <c r="C229" s="2" t="s">
        <v>751</v>
      </c>
      <c r="D229" s="2" t="s">
        <v>70</v>
      </c>
      <c r="E229" s="2" t="s">
        <v>21</v>
      </c>
      <c r="F229" s="2" t="s">
        <v>15</v>
      </c>
      <c r="G229" s="2" t="s">
        <v>752</v>
      </c>
      <c r="H229" s="2" t="s">
        <v>86</v>
      </c>
      <c r="I229" s="2" t="str">
        <f>IFERROR(__xludf.DUMMYFUNCTION("GOOGLETRANSLATE(C229,""fr"",""en"")"),"Following a burglary at my home. After more than two months of waiting for the expert's passage and the final response of the insurance. Compensation 0. I find it unacceptable we pay insurance every month and as soon as there is a real problem there is no"&amp;" one left.")</f>
        <v>Following a burglary at my home. After more than two months of waiting for the expert's passage and the final response of the insurance. Compensation 0. I find it unacceptable we pay insurance every month and as soon as there is a real problem there is no one left.</v>
      </c>
    </row>
    <row r="230" ht="15.75" customHeight="1">
      <c r="A230" s="2">
        <v>1.0</v>
      </c>
      <c r="B230" s="2" t="s">
        <v>753</v>
      </c>
      <c r="C230" s="2" t="s">
        <v>754</v>
      </c>
      <c r="D230" s="2" t="s">
        <v>313</v>
      </c>
      <c r="E230" s="2" t="s">
        <v>90</v>
      </c>
      <c r="F230" s="2" t="s">
        <v>15</v>
      </c>
      <c r="G230" s="2" t="s">
        <v>755</v>
      </c>
      <c r="H230" s="2" t="s">
        <v>77</v>
      </c>
      <c r="I230" s="2" t="str">
        <f>IFERROR(__xludf.DUMMYFUNCTION("GOOGLETRANSLATE(C230,""fr"",""en"")"),"I started with them since April 8 and it starts badly they have taken me twice the same amount, the joke they do not find the trace of the second levy I send them my banker statement since it is radio silence. To take you out, they are good but to reimbur"&amp;"se the better !!! I regret if this week and again I'm waiting until Wednesday I am not back I would leave !!
")</f>
        <v>I started with them since April 8 and it starts badly they have taken me twice the same amount, the joke they do not find the trace of the second levy I send them my banker statement since it is radio silence. To take you out, they are good but to reimburse the better !!! I regret if this week and again I'm waiting until Wednesday I am not back I would leave !!
</v>
      </c>
    </row>
    <row r="231" ht="15.75" customHeight="1">
      <c r="A231" s="2">
        <v>1.0</v>
      </c>
      <c r="B231" s="2" t="s">
        <v>756</v>
      </c>
      <c r="C231" s="2" t="s">
        <v>757</v>
      </c>
      <c r="D231" s="2" t="s">
        <v>75</v>
      </c>
      <c r="E231" s="2" t="s">
        <v>14</v>
      </c>
      <c r="F231" s="2" t="s">
        <v>15</v>
      </c>
      <c r="G231" s="2" t="s">
        <v>758</v>
      </c>
      <c r="H231" s="2" t="s">
        <v>125</v>
      </c>
      <c r="I231" s="2" t="str">
        <f>IFERROR(__xludf.DUMMYFUNCTION("GOOGLETRANSLATE(C231,""fr"",""en"")"),"Non -responsible accident being parked normally. DA refuses to repay the body costs on the pretext that there was a small trace on the wing prior to the accident, to flee !!!")</f>
        <v>Non -responsible accident being parked normally. DA refuses to repay the body costs on the pretext that there was a small trace on the wing prior to the accident, to flee !!!</v>
      </c>
    </row>
    <row r="232" ht="15.75" customHeight="1">
      <c r="A232" s="2">
        <v>3.0</v>
      </c>
      <c r="B232" s="2" t="s">
        <v>759</v>
      </c>
      <c r="C232" s="2" t="s">
        <v>760</v>
      </c>
      <c r="D232" s="2" t="s">
        <v>55</v>
      </c>
      <c r="E232" s="2" t="s">
        <v>21</v>
      </c>
      <c r="F232" s="2" t="s">
        <v>15</v>
      </c>
      <c r="G232" s="2" t="s">
        <v>761</v>
      </c>
      <c r="H232" s="2" t="s">
        <v>321</v>
      </c>
      <c r="I232" s="2" t="str">
        <f>IFERROR(__xludf.DUMMYFUNCTION("GOOGLETRANSLATE(C232,""fr"",""en"")"),"New slogan ""paid when you need we will not be there!
 I never called on my insurance and the day I needed ....
 I subscribed to insurance 4 years ago the day I need I am told no because your new house !!! The contract excludes from Maisonneuve in small"&amp;" lines !!! Bravo the advisor ...")</f>
        <v>New slogan "paid when you need we will not be there!
 I never called on my insurance and the day I needed ....
 I subscribed to insurance 4 years ago the day I need I am told no because your new house !!! The contract excludes from Maisonneuve in small lines !!! Bravo the advisor ...</v>
      </c>
    </row>
    <row r="233" ht="15.75" customHeight="1">
      <c r="A233" s="2">
        <v>1.0</v>
      </c>
      <c r="B233" s="2" t="s">
        <v>762</v>
      </c>
      <c r="C233" s="2" t="s">
        <v>763</v>
      </c>
      <c r="D233" s="2" t="s">
        <v>152</v>
      </c>
      <c r="E233" s="2" t="s">
        <v>65</v>
      </c>
      <c r="F233" s="2" t="s">
        <v>15</v>
      </c>
      <c r="G233" s="2" t="s">
        <v>764</v>
      </c>
      <c r="H233" s="2" t="s">
        <v>694</v>
      </c>
      <c r="I233" s="2" t="str">
        <f>IFERROR(__xludf.DUMMYFUNCTION("GOOGLETRANSLATE(C233,""fr"",""en"")"),"Cardif or life insurance that makes the dead !!!
Know that you are far from being the only one. Following the death of my mother I am suffering from response too.
I brought them to write by registered letter because they initially refuse communication"&amp;" by email.
But after more than three weeks, and unlike the insurance code, they have not still prayed with me.
I had to harass them on the phone so that it deigns to send me an email address that was not the right one.
Then by dint of relaunch after mo"&amp;"re than three weeks of silence, they finally praised the writing ""We accuse good reception of your phone call and thank you"" is not to fuck people who Incidentally must mourn their loved one ?? !!!
In addition, although notifying in my writings that my"&amp;" sister (with contact details to contact her) is also entitled to this life insurance contract, they have not only prayed with her, but seems to send me documents incorrect since the amounts of reduction correspond to a beneficiary.
So after the life i"&amp;"nsurance that makes the dead, I have the right to life insurance that pays my mouth.
Bravo cardif !!
And during this time, not only do I have to face my financial difficulties, but they also work my deceased mother's money for their benefit.
It's a s"&amp;"hame !!
However, for the neutrality of the debates, I would not fail to do you by consequences of my file.")</f>
        <v>Cardif or life insurance that makes the dead !!!
Know that you are far from being the only one. Following the death of my mother I am suffering from response too.
I brought them to write by registered letter because they initially refuse communication by email.
But after more than three weeks, and unlike the insurance code, they have not still prayed with me.
I had to harass them on the phone so that it deigns to send me an email address that was not the right one.
Then by dint of relaunch after more than three weeks of silence, they finally praised the writing "We accuse good reception of your phone call and thank you" is not to fuck people who Incidentally must mourn their loved one ?? !!!
In addition, although notifying in my writings that my sister (with contact details to contact her) is also entitled to this life insurance contract, they have not only prayed with her, but seems to send me documents incorrect since the amounts of reduction correspond to a beneficiary.
So after the life insurance that makes the dead, I have the right to life insurance that pays my mouth.
Bravo cardif !!
And during this time, not only do I have to face my financial difficulties, but they also work my deceased mother's money for their benefit.
It's a shame !!
However, for the neutrality of the debates, I would not fail to do you by consequences of my file.</v>
      </c>
    </row>
    <row r="234" ht="15.75" customHeight="1">
      <c r="A234" s="2">
        <v>1.0</v>
      </c>
      <c r="B234" s="2" t="s">
        <v>765</v>
      </c>
      <c r="C234" s="2" t="s">
        <v>766</v>
      </c>
      <c r="D234" s="2" t="s">
        <v>64</v>
      </c>
      <c r="E234" s="2" t="s">
        <v>65</v>
      </c>
      <c r="F234" s="2" t="s">
        <v>15</v>
      </c>
      <c r="G234" s="2" t="s">
        <v>663</v>
      </c>
      <c r="H234" s="2" t="s">
        <v>28</v>
      </c>
      <c r="I234" s="2" t="str">
        <f>IFERROR(__xludf.DUMMYFUNCTION("GOOGLETRANSLATE(C234,""fr"",""en"")"),"To flee! ... Very responsive to make your funds at home, but when it comes to withdrawing them, it is better to have subscribed to good legal protection.
- Impossible to reach the succession service by phone
- the contact number 01 40 82 24 24 does neve"&amp;"r answer either
- no response to emails, or even letters sent to LRAR,
- abnormal time to release death capital (7 months in my case)
- abnormal time of payment of contractual premiums (re -use bonus, paid after 13 months)
- Accounting writing errors:"&amp;"
=&gt; one of 102,746.19 € (anyway!): Placement support error
=&gt; one of € 1,857.90 (not regularized to date)
- Refusal to pay interest on death capital
I started to have answers when I triggered my legal protection.
After 15 months of fighting two unres"&amp;"olved litigation points lead me to call on the insurance mediator and more, if affinities.
In case of difficulty with AFER, you can contact insurance mediation:
- either by internet at www.mediation-Assurance.org. This channel is to be favored for faste"&amp;"r management.
- either by mail to the address:
Insurance mediation, TSA 50110, 75441 Paris Cedex 09.
This information appears in the notice currently in force which was given to you when subscribing to your membership in AFER and also on their website "&amp;"at the ""Contact"" section then ""Do you wish to make a complaint?"".")</f>
        <v>To flee! ... Very responsive to make your funds at home, but when it comes to withdrawing them, it is better to have subscribed to good legal protection.
- Impossible to reach the succession service by phone
- the contact number 01 40 82 24 24 does never answer either
- no response to emails, or even letters sent to LRAR,
- abnormal time to release death capital (7 months in my case)
- abnormal time of payment of contractual premiums (re -use bonus, paid after 13 months)
- Accounting writing errors:
=&gt; one of 102,746.19 € (anyway!): Placement support error
=&gt; one of € 1,857.90 (not regularized to date)
- Refusal to pay interest on death capital
I started to have answers when I triggered my legal protection.
After 15 months of fighting two unresolved litigation points lead me to call on the insurance mediator and more, if affinities.
In case of difficulty with AFER, you can contact insurance mediation:
- either by internet at www.mediation-Assurance.org. This channel is to be favored for faster management.
- either by mail to the address:
Insurance mediation, TSA 50110, 75441 Paris Cedex 09.
This information appears in the notice currently in force which was given to you when subscribing to your membership in AFER and also on their website at the "Contact" section then "Do you wish to make a complaint?".</v>
      </c>
    </row>
    <row r="235" ht="15.75" customHeight="1">
      <c r="A235" s="2">
        <v>3.0</v>
      </c>
      <c r="B235" s="2" t="s">
        <v>767</v>
      </c>
      <c r="C235" s="2" t="s">
        <v>768</v>
      </c>
      <c r="D235" s="2" t="s">
        <v>75</v>
      </c>
      <c r="E235" s="2" t="s">
        <v>14</v>
      </c>
      <c r="F235" s="2" t="s">
        <v>15</v>
      </c>
      <c r="G235" s="2" t="s">
        <v>769</v>
      </c>
      <c r="H235" s="2" t="s">
        <v>107</v>
      </c>
      <c r="I235" s="2" t="str">
        <f>IFERROR(__xludf.DUMMYFUNCTION("GOOGLETRANSLATE(C235,""fr"",""en"")"),"I find that the price is quite high but having had a claim the latter is quite correct. I nevertheless recommend insurance because simple and effective quote")</f>
        <v>I find that the price is quite high but having had a claim the latter is quite correct. I nevertheless recommend insurance because simple and effective quote</v>
      </c>
    </row>
    <row r="236" ht="15.75" customHeight="1">
      <c r="A236" s="2">
        <v>1.0</v>
      </c>
      <c r="B236" s="2" t="s">
        <v>770</v>
      </c>
      <c r="C236" s="2" t="s">
        <v>771</v>
      </c>
      <c r="D236" s="2" t="s">
        <v>199</v>
      </c>
      <c r="E236" s="2" t="s">
        <v>32</v>
      </c>
      <c r="F236" s="2" t="s">
        <v>15</v>
      </c>
      <c r="G236" s="2" t="s">
        <v>772</v>
      </c>
      <c r="H236" s="2" t="s">
        <v>28</v>
      </c>
      <c r="I236" s="2" t="str">
        <f>IFERROR(__xludf.DUMMYFUNCTION("GOOGLETRANSLATE(C236,""fr"",""en"")"),"On several occasions average expectations of 3 weeks for a refund. Many accounting errors. Practically impossible to have them on the phone and no recall after leaving many messages.
No respect for the customer, outrageous limit.
They lost two customers"&amp;". Flee and quickly.")</f>
        <v>On several occasions average expectations of 3 weeks for a refund. Many accounting errors. Practically impossible to have them on the phone and no recall after leaving many messages.
No respect for the customer, outrageous limit.
They lost two customers. Flee and quickly.</v>
      </c>
    </row>
    <row r="237" ht="15.75" customHeight="1">
      <c r="A237" s="2">
        <v>3.0</v>
      </c>
      <c r="B237" s="2" t="s">
        <v>773</v>
      </c>
      <c r="C237" s="2" t="s">
        <v>774</v>
      </c>
      <c r="D237" s="2" t="s">
        <v>75</v>
      </c>
      <c r="E237" s="2" t="s">
        <v>14</v>
      </c>
      <c r="F237" s="2" t="s">
        <v>15</v>
      </c>
      <c r="G237" s="2" t="s">
        <v>775</v>
      </c>
      <c r="H237" s="2" t="s">
        <v>115</v>
      </c>
      <c r="I237" s="2" t="str">
        <f>IFERROR(__xludf.DUMMYFUNCTION("GOOGLETRANSLATE(C237,""fr"",""en"")"),"Very very bad sinister insurance on 4/2/2018 not responsible a vehicle MA strikes by the rear and great silence of direct insurance I will change insurer as soon")</f>
        <v>Very very bad sinister insurance on 4/2/2018 not responsible a vehicle MA strikes by the rear and great silence of direct insurance I will change insurer as soon</v>
      </c>
    </row>
    <row r="238" ht="15.75" customHeight="1">
      <c r="A238" s="2">
        <v>5.0</v>
      </c>
      <c r="B238" s="2" t="s">
        <v>776</v>
      </c>
      <c r="C238" s="2" t="s">
        <v>777</v>
      </c>
      <c r="D238" s="2" t="s">
        <v>37</v>
      </c>
      <c r="E238" s="2" t="s">
        <v>14</v>
      </c>
      <c r="F238" s="2" t="s">
        <v>15</v>
      </c>
      <c r="G238" s="2" t="s">
        <v>778</v>
      </c>
      <c r="H238" s="2" t="s">
        <v>107</v>
      </c>
      <c r="I238" s="2" t="str">
        <f>IFERROR(__xludf.DUMMYFUNCTION("GOOGLETRANSLATE(C238,""fr"",""en"")"),"I am satisfied with the service offered by the Olivier Assurance. The service is fast with very good quality and the price of insurance is reasonable, continue like its, it is very good work.")</f>
        <v>I am satisfied with the service offered by the Olivier Assurance. The service is fast with very good quality and the price of insurance is reasonable, continue like its, it is very good work.</v>
      </c>
    </row>
    <row r="239" ht="15.75" customHeight="1">
      <c r="A239" s="2">
        <v>2.0</v>
      </c>
      <c r="B239" s="2" t="s">
        <v>779</v>
      </c>
      <c r="C239" s="2" t="s">
        <v>780</v>
      </c>
      <c r="D239" s="2" t="s">
        <v>692</v>
      </c>
      <c r="E239" s="2" t="s">
        <v>21</v>
      </c>
      <c r="F239" s="2" t="s">
        <v>15</v>
      </c>
      <c r="G239" s="2" t="s">
        <v>781</v>
      </c>
      <c r="H239" s="2" t="s">
        <v>677</v>
      </c>
      <c r="I239" s="2" t="str">
        <f>IFERROR(__xludf.DUMMYFUNCTION("GOOGLETRANSLATE(C239,""fr"",""en"")"),"Regarding the last disaster difficulty as to a quick and clear response by a single contact, incomplete reimbursement.")</f>
        <v>Regarding the last disaster difficulty as to a quick and clear response by a single contact, incomplete reimbursement.</v>
      </c>
    </row>
    <row r="240" ht="15.75" customHeight="1">
      <c r="A240" s="2">
        <v>1.0</v>
      </c>
      <c r="B240" s="2" t="s">
        <v>782</v>
      </c>
      <c r="C240" s="2" t="s">
        <v>783</v>
      </c>
      <c r="D240" s="2" t="s">
        <v>247</v>
      </c>
      <c r="E240" s="2" t="s">
        <v>32</v>
      </c>
      <c r="F240" s="2" t="s">
        <v>15</v>
      </c>
      <c r="G240" s="2" t="s">
        <v>784</v>
      </c>
      <c r="H240" s="2" t="s">
        <v>784</v>
      </c>
      <c r="I240" s="2" t="str">
        <f>IFERROR(__xludf.DUMMYFUNCTION("GOOGLETRANSLATE(C240,""fr"",""en"")"),"No. Not to be subscribed. Very disappointed with this mutual.")</f>
        <v>No. Not to be subscribed. Very disappointed with this mutual.</v>
      </c>
    </row>
    <row r="241" ht="15.75" customHeight="1">
      <c r="A241" s="2">
        <v>1.0</v>
      </c>
      <c r="B241" s="2" t="s">
        <v>785</v>
      </c>
      <c r="C241" s="2" t="s">
        <v>786</v>
      </c>
      <c r="D241" s="2" t="s">
        <v>26</v>
      </c>
      <c r="E241" s="2" t="s">
        <v>14</v>
      </c>
      <c r="F241" s="2" t="s">
        <v>15</v>
      </c>
      <c r="G241" s="2" t="s">
        <v>787</v>
      </c>
      <c r="H241" s="2" t="s">
        <v>142</v>
      </c>
      <c r="I241" s="2" t="str">
        <f>IFERROR(__xludf.DUMMYFUNCTION("GOOGLETRANSLATE(C241,""fr"",""en"")"),"I was at AXA for about 6 years. My monthly payment only increased every year despite having no claim or problem. +20 euros per month in 4 years!
I paid 65 euros per month for a 2004 206! In initial third party! For my new ioniq in all integral risk I pay"&amp;" 77 euros per month, look for the error !!! I went to see elsewhere for my 2 other cars! Inadmissible.")</f>
        <v>I was at AXA for about 6 years. My monthly payment only increased every year despite having no claim or problem. +20 euros per month in 4 years!
I paid 65 euros per month for a 2004 206! In initial third party! For my new ioniq in all integral risk I pay 77 euros per month, look for the error !!! I went to see elsewhere for my 2 other cars! Inadmissible.</v>
      </c>
    </row>
    <row r="242" ht="15.75" customHeight="1">
      <c r="A242" s="2">
        <v>4.0</v>
      </c>
      <c r="B242" s="2" t="s">
        <v>788</v>
      </c>
      <c r="C242" s="2" t="s">
        <v>789</v>
      </c>
      <c r="D242" s="2" t="s">
        <v>95</v>
      </c>
      <c r="E242" s="2" t="s">
        <v>96</v>
      </c>
      <c r="F242" s="2" t="s">
        <v>15</v>
      </c>
      <c r="G242" s="2" t="s">
        <v>473</v>
      </c>
      <c r="H242" s="2" t="s">
        <v>39</v>
      </c>
      <c r="I242" s="2" t="str">
        <f>IFERROR(__xludf.DUMMYFUNCTION("GOOGLETRANSLATE(C242,""fr"",""en"")"),"I am satisfied with the service good service thank you again I highly recommend this insurance
Suitable and affordable price
A good team
Thank you")</f>
        <v>I am satisfied with the service good service thank you again I highly recommend this insurance
Suitable and affordable price
A good team
Thank you</v>
      </c>
    </row>
    <row r="243" ht="15.75" customHeight="1">
      <c r="A243" s="2">
        <v>5.0</v>
      </c>
      <c r="B243" s="2" t="s">
        <v>790</v>
      </c>
      <c r="C243" s="2" t="s">
        <v>791</v>
      </c>
      <c r="D243" s="2" t="s">
        <v>37</v>
      </c>
      <c r="E243" s="2" t="s">
        <v>14</v>
      </c>
      <c r="F243" s="2" t="s">
        <v>15</v>
      </c>
      <c r="G243" s="2" t="s">
        <v>344</v>
      </c>
      <c r="H243" s="2" t="s">
        <v>39</v>
      </c>
      <c r="I243" s="2" t="str">
        <f>IFERROR(__xludf.DUMMYFUNCTION("GOOGLETRANSLATE(C243,""fr"",""en"")"),"Great service! For great prices! I thank all the customer service who is by phone and by email was great. Very good rates and by phone and on interior.")</f>
        <v>Great service! For great prices! I thank all the customer service who is by phone and by email was great. Very good rates and by phone and on interior.</v>
      </c>
    </row>
    <row r="244" ht="15.75" customHeight="1">
      <c r="A244" s="2">
        <v>4.0</v>
      </c>
      <c r="B244" s="2" t="s">
        <v>792</v>
      </c>
      <c r="C244" s="2" t="s">
        <v>793</v>
      </c>
      <c r="D244" s="2" t="s">
        <v>37</v>
      </c>
      <c r="E244" s="2" t="s">
        <v>14</v>
      </c>
      <c r="F244" s="2" t="s">
        <v>15</v>
      </c>
      <c r="G244" s="2" t="s">
        <v>794</v>
      </c>
      <c r="H244" s="2" t="s">
        <v>111</v>
      </c>
      <c r="I244" s="2" t="str">
        <f>IFERROR(__xludf.DUMMYFUNCTION("GOOGLETRANSLATE(C244,""fr"",""en"")"),"Good insurance. My partner was insured with the Olivier Assurance Auto and had no problems, good care during an accident, good service.")</f>
        <v>Good insurance. My partner was insured with the Olivier Assurance Auto and had no problems, good care during an accident, good service.</v>
      </c>
    </row>
    <row r="245" ht="15.75" customHeight="1">
      <c r="A245" s="2">
        <v>3.0</v>
      </c>
      <c r="B245" s="2" t="s">
        <v>795</v>
      </c>
      <c r="C245" s="2" t="s">
        <v>796</v>
      </c>
      <c r="D245" s="2" t="s">
        <v>692</v>
      </c>
      <c r="E245" s="2" t="s">
        <v>14</v>
      </c>
      <c r="F245" s="2" t="s">
        <v>15</v>
      </c>
      <c r="G245" s="2" t="s">
        <v>797</v>
      </c>
      <c r="H245" s="2" t="s">
        <v>335</v>
      </c>
      <c r="I245" s="2" t="str">
        <f>IFERROR(__xludf.DUMMYFUNCTION("GOOGLETRANSLATE(C245,""fr"",""en"")"),"Customer for more than 30 years following accident on 11 of the 11 of 2019 for which I am not responsible after advice of the expert proposal for reimbursement fixed at 7200th while on the second -hand market the vehicle is listed between 9500 and 10,000t"&amp;"h it will still be necessary fighting is distressing")</f>
        <v>Customer for more than 30 years following accident on 11 of the 11 of 2019 for which I am not responsible after advice of the expert proposal for reimbursement fixed at 7200th while on the second -hand market the vehicle is listed between 9500 and 10,000th it will still be necessary fighting is distressing</v>
      </c>
    </row>
    <row r="246" ht="15.75" customHeight="1">
      <c r="A246" s="2">
        <v>1.0</v>
      </c>
      <c r="B246" s="2" t="s">
        <v>798</v>
      </c>
      <c r="C246" s="2" t="s">
        <v>799</v>
      </c>
      <c r="D246" s="2" t="s">
        <v>101</v>
      </c>
      <c r="E246" s="2" t="s">
        <v>14</v>
      </c>
      <c r="F246" s="2" t="s">
        <v>15</v>
      </c>
      <c r="G246" s="2" t="s">
        <v>800</v>
      </c>
      <c r="H246" s="2" t="s">
        <v>206</v>
      </c>
      <c r="I246" s="2" t="str">
        <f>IFERROR(__xludf.DUMMYFUNCTION("GOOGLETRANSLATE(C246,""fr"",""en"")"),"In the middle of it with a non -responsible self -listed, it's just incredible, it is an insurer to flee, I who had found bad the behavior of Groupama a few years ago, the with Allianz I was regretted to have left Groupama
Accident on 16/11 to 4:50 am,"&amp;" observation of accident at the agency at 10:00 am, we are on 28/11 and the expert does not have the observation, insurance either does not have the observation then that my insurer faxed it in front of me.
Expert who passes the next day (17/11) Expert t"&amp;"he car, which gives repair instructions, but who does not send the report of the expertise or the insurance or the insured
Loan car refused because car not towed (it will teach me)
Expert who wishes to repair a lighthouse that has scratches due to the a"&amp;"ccident as well as 2 broken fixing legs
Expert who wishes to make a paint rustine on a rim that rubbed against the vehicle which came to hit me instead of redoing it.
It's barely believable")</f>
        <v>In the middle of it with a non -responsible self -listed, it's just incredible, it is an insurer to flee, I who had found bad the behavior of Groupama a few years ago, the with Allianz I was regretted to have left Groupama
Accident on 16/11 to 4:50 am, observation of accident at the agency at 10:00 am, we are on 28/11 and the expert does not have the observation, insurance either does not have the observation then that my insurer faxed it in front of me.
Expert who passes the next day (17/11) Expert the car, which gives repair instructions, but who does not send the report of the expertise or the insurance or the insured
Loan car refused because car not towed (it will teach me)
Expert who wishes to repair a lighthouse that has scratches due to the accident as well as 2 broken fixing legs
Expert who wishes to make a paint rustine on a rim that rubbed against the vehicle which came to hit me instead of redoing it.
It's barely believable</v>
      </c>
    </row>
    <row r="247" ht="15.75" customHeight="1">
      <c r="A247" s="2">
        <v>3.0</v>
      </c>
      <c r="B247" s="2" t="s">
        <v>801</v>
      </c>
      <c r="C247" s="2" t="s">
        <v>802</v>
      </c>
      <c r="D247" s="2" t="s">
        <v>26</v>
      </c>
      <c r="E247" s="2" t="s">
        <v>21</v>
      </c>
      <c r="F247" s="2" t="s">
        <v>15</v>
      </c>
      <c r="G247" s="2" t="s">
        <v>803</v>
      </c>
      <c r="H247" s="2" t="s">
        <v>804</v>
      </c>
      <c r="I247" s="2" t="str">
        <f>IFERROR(__xludf.DUMMYFUNCTION("GOOGLETRANSLATE(C247,""fr"",""en"")"),"When I took the 2 auto and habit insurance .. I asked for a monthly levy ok but I was paid 2 and 3 months in advance I do not understand what right or is indicated this mention,? The person who cannot go out 2 or 3 months axa does not cover ??? I reported"&amp;" this lamentable practice to my agent AXA")</f>
        <v>When I took the 2 auto and habit insurance .. I asked for a monthly levy ok but I was paid 2 and 3 months in advance I do not understand what right or is indicated this mention,? The person who cannot go out 2 or 3 months axa does not cover ??? I reported this lamentable practice to my agent AXA</v>
      </c>
    </row>
    <row r="248" ht="15.75" customHeight="1">
      <c r="A248" s="2">
        <v>4.0</v>
      </c>
      <c r="B248" s="2" t="s">
        <v>805</v>
      </c>
      <c r="C248" s="2" t="s">
        <v>806</v>
      </c>
      <c r="D248" s="2" t="s">
        <v>37</v>
      </c>
      <c r="E248" s="2" t="s">
        <v>14</v>
      </c>
      <c r="F248" s="2" t="s">
        <v>15</v>
      </c>
      <c r="G248" s="2" t="s">
        <v>807</v>
      </c>
      <c r="H248" s="2" t="s">
        <v>77</v>
      </c>
      <c r="I248" s="2" t="str">
        <f>IFERROR(__xludf.DUMMYFUNCTION("GOOGLETRANSLATE(C248,""fr"",""en"")"),"A priori price very well studied, to see later. I just signed. I will therefore judge better in case I need to use my insurer.")</f>
        <v>A priori price very well studied, to see later. I just signed. I will therefore judge better in case I need to use my insurer.</v>
      </c>
    </row>
    <row r="249" ht="15.75" customHeight="1">
      <c r="A249" s="2">
        <v>5.0</v>
      </c>
      <c r="B249" s="2" t="s">
        <v>808</v>
      </c>
      <c r="C249" s="2" t="s">
        <v>809</v>
      </c>
      <c r="D249" s="2" t="s">
        <v>75</v>
      </c>
      <c r="E249" s="2" t="s">
        <v>14</v>
      </c>
      <c r="F249" s="2" t="s">
        <v>15</v>
      </c>
      <c r="G249" s="2" t="s">
        <v>810</v>
      </c>
      <c r="H249" s="2" t="s">
        <v>107</v>
      </c>
      <c r="I249" s="2" t="str">
        <f>IFERROR(__xludf.DUMMYFUNCTION("GOOGLETRANSLATE(C249,""fr"",""en"")"),"I am satisfied with the service it is very fast and really easy and it is much cheaper than my current assurrance I regret not being informed Plys Tit")</f>
        <v>I am satisfied with the service it is very fast and really easy and it is much cheaper than my current assurrance I regret not being informed Plys Tit</v>
      </c>
    </row>
    <row r="250" ht="15.75" customHeight="1">
      <c r="A250" s="2">
        <v>2.0</v>
      </c>
      <c r="B250" s="2" t="s">
        <v>811</v>
      </c>
      <c r="C250" s="2" t="s">
        <v>812</v>
      </c>
      <c r="D250" s="2" t="s">
        <v>70</v>
      </c>
      <c r="E250" s="2" t="s">
        <v>14</v>
      </c>
      <c r="F250" s="2" t="s">
        <v>15</v>
      </c>
      <c r="G250" s="2" t="s">
        <v>813</v>
      </c>
      <c r="H250" s="2" t="s">
        <v>201</v>
      </c>
      <c r="I250" s="2" t="str">
        <f>IFERROR(__xludf.DUMMYFUNCTION("GOOGLETRANSLATE(C250,""fr"",""en"")"),"My wife just contacted by phone on January 29, 2021 at 4:42 p.m., the collaborator asked several resumptions ""to be silent"" she was so surprised that she did not hang up. This situation is unacceptable, if the conversations are registered your services "&amp;"may check.")</f>
        <v>My wife just contacted by phone on January 29, 2021 at 4:42 p.m., the collaborator asked several resumptions "to be silent" she was so surprised that she did not hang up. This situation is unacceptable, if the conversations are registered your services may check.</v>
      </c>
    </row>
    <row r="251" ht="15.75" customHeight="1">
      <c r="A251" s="2">
        <v>5.0</v>
      </c>
      <c r="B251" s="2" t="s">
        <v>814</v>
      </c>
      <c r="C251" s="2" t="s">
        <v>815</v>
      </c>
      <c r="D251" s="2" t="s">
        <v>692</v>
      </c>
      <c r="E251" s="2" t="s">
        <v>14</v>
      </c>
      <c r="F251" s="2" t="s">
        <v>15</v>
      </c>
      <c r="G251" s="2" t="s">
        <v>816</v>
      </c>
      <c r="H251" s="2" t="s">
        <v>201</v>
      </c>
      <c r="I251" s="2" t="str">
        <f>IFERROR(__xludf.DUMMYFUNCTION("GOOGLETRANSLATE(C251,""fr"",""en"")"),"My current advisor, and the whole team of Joué-les-Tours is very welcoming and courteous. The advisor offered me contracts according to my needs, whether for my car or my mutual health. Sofaly thank his skills and his pleasant kindness.")</f>
        <v>My current advisor, and the whole team of Joué-les-Tours is very welcoming and courteous. The advisor offered me contracts according to my needs, whether for my car or my mutual health. Sofaly thank his skills and his pleasant kindness.</v>
      </c>
    </row>
    <row r="252" ht="15.75" customHeight="1">
      <c r="A252" s="2">
        <v>4.0</v>
      </c>
      <c r="B252" s="2" t="s">
        <v>817</v>
      </c>
      <c r="C252" s="2" t="s">
        <v>818</v>
      </c>
      <c r="D252" s="2" t="s">
        <v>37</v>
      </c>
      <c r="E252" s="2" t="s">
        <v>14</v>
      </c>
      <c r="F252" s="2" t="s">
        <v>15</v>
      </c>
      <c r="G252" s="2" t="s">
        <v>27</v>
      </c>
      <c r="H252" s="2" t="s">
        <v>28</v>
      </c>
      <c r="I252" s="2" t="str">
        <f>IFERROR(__xludf.DUMMYFUNCTION("GOOGLETRANSLATE(C252,""fr"",""en"")"),"I am satisfied with your services, the prices suit me and the service on the phone is of quality, thank you again.")</f>
        <v>I am satisfied with your services, the prices suit me and the service on the phone is of quality, thank you again.</v>
      </c>
    </row>
    <row r="253" ht="15.75" customHeight="1">
      <c r="A253" s="2">
        <v>5.0</v>
      </c>
      <c r="B253" s="2" t="s">
        <v>819</v>
      </c>
      <c r="C253" s="2" t="s">
        <v>820</v>
      </c>
      <c r="D253" s="2" t="s">
        <v>75</v>
      </c>
      <c r="E253" s="2" t="s">
        <v>14</v>
      </c>
      <c r="F253" s="2" t="s">
        <v>15</v>
      </c>
      <c r="G253" s="2" t="s">
        <v>821</v>
      </c>
      <c r="H253" s="2" t="s">
        <v>98</v>
      </c>
      <c r="I253" s="2" t="str">
        <f>IFERROR(__xludf.DUMMYFUNCTION("GOOGLETRANSLATE(C253,""fr"",""en"")"),"Very satisfied with all services. I recommend this insurer without hesitation as long as for prices and good customer service. I will recommend it to all my friends and family thank you")</f>
        <v>Very satisfied with all services. I recommend this insurer without hesitation as long as for prices and good customer service. I will recommend it to all my friends and family thank you</v>
      </c>
    </row>
    <row r="254" ht="15.75" customHeight="1">
      <c r="A254" s="2">
        <v>1.0</v>
      </c>
      <c r="B254" s="2" t="s">
        <v>822</v>
      </c>
      <c r="C254" s="2" t="s">
        <v>823</v>
      </c>
      <c r="D254" s="2" t="s">
        <v>394</v>
      </c>
      <c r="E254" s="2" t="s">
        <v>32</v>
      </c>
      <c r="F254" s="2" t="s">
        <v>15</v>
      </c>
      <c r="G254" s="2" t="s">
        <v>121</v>
      </c>
      <c r="H254" s="2" t="s">
        <v>48</v>
      </c>
      <c r="I254" s="2" t="str">
        <f>IFERROR(__xludf.DUMMYFUNCTION("GOOGLETRANSLATE(C254,""fr"",""en"")"),"After a traffic accident my son has been waiting for more than 1 month to receive his allowances, they are difficult to reach on the phone and tell you all the mm thing ""Your file is being processed"".")</f>
        <v>After a traffic accident my son has been waiting for more than 1 month to receive his allowances, they are difficult to reach on the phone and tell you all the mm thing "Your file is being processed".</v>
      </c>
    </row>
    <row r="255" ht="15.75" customHeight="1">
      <c r="A255" s="2">
        <v>3.0</v>
      </c>
      <c r="B255" s="2" t="s">
        <v>824</v>
      </c>
      <c r="C255" s="2" t="s">
        <v>825</v>
      </c>
      <c r="D255" s="2" t="s">
        <v>75</v>
      </c>
      <c r="E255" s="2" t="s">
        <v>14</v>
      </c>
      <c r="F255" s="2" t="s">
        <v>15</v>
      </c>
      <c r="G255" s="2" t="s">
        <v>192</v>
      </c>
      <c r="H255" s="2" t="s">
        <v>193</v>
      </c>
      <c r="I255" s="2" t="str">
        <f>IFERROR(__xludf.DUMMYFUNCTION("GOOGLETRANSLATE(C255,""fr"",""en"")"),"Simple, practical and fast
Nice and pleasant person on the phone
Easy to use application
                                                          ")</f>
        <v>Simple, practical and fast
Nice and pleasant person on the phone
Easy to use application
                                                          </v>
      </c>
    </row>
    <row r="256" ht="15.75" customHeight="1">
      <c r="A256" s="2">
        <v>3.0</v>
      </c>
      <c r="B256" s="2" t="s">
        <v>826</v>
      </c>
      <c r="C256" s="2" t="s">
        <v>827</v>
      </c>
      <c r="D256" s="2" t="s">
        <v>75</v>
      </c>
      <c r="E256" s="2" t="s">
        <v>14</v>
      </c>
      <c r="F256" s="2" t="s">
        <v>15</v>
      </c>
      <c r="G256" s="2" t="s">
        <v>686</v>
      </c>
      <c r="H256" s="2" t="s">
        <v>521</v>
      </c>
      <c r="I256" s="2" t="str">
        <f>IFERROR(__xludf.DUMMYFUNCTION("GOOGLETRANSLATE(C256,""fr"",""en"")"),"A can disturbing when you have an active contract
Incoming between the current premium and the new contract to come.
The distinction between customers and comparative quotes are incomprehensible
")</f>
        <v>A can disturbing when you have an active contract
Incoming between the current premium and the new contract to come.
The distinction between customers and comparative quotes are incomprehensible
</v>
      </c>
    </row>
    <row r="257" ht="15.75" customHeight="1">
      <c r="A257" s="2">
        <v>4.0</v>
      </c>
      <c r="B257" s="2" t="s">
        <v>828</v>
      </c>
      <c r="C257" s="2" t="s">
        <v>829</v>
      </c>
      <c r="D257" s="2" t="s">
        <v>830</v>
      </c>
      <c r="E257" s="2" t="s">
        <v>32</v>
      </c>
      <c r="F257" s="2" t="s">
        <v>15</v>
      </c>
      <c r="G257" s="2" t="s">
        <v>831</v>
      </c>
      <c r="H257" s="2" t="s">
        <v>103</v>
      </c>
      <c r="I257" s="2" t="str">
        <f>IFERROR(__xludf.DUMMYFUNCTION("GOOGLETRANSLATE(C257,""fr"",""en"")"),"Insured for more than 20 years, I have always been satisfied with my reimbursements, the price is indeed a little high but I find myself there and the delia for reimbursements are short.")</f>
        <v>Insured for more than 20 years, I have always been satisfied with my reimbursements, the price is indeed a little high but I find myself there and the delia for reimbursements are short.</v>
      </c>
    </row>
    <row r="258" ht="15.75" customHeight="1">
      <c r="A258" s="2">
        <v>4.0</v>
      </c>
      <c r="B258" s="2" t="s">
        <v>832</v>
      </c>
      <c r="C258" s="2" t="s">
        <v>833</v>
      </c>
      <c r="D258" s="2" t="s">
        <v>173</v>
      </c>
      <c r="E258" s="2" t="s">
        <v>32</v>
      </c>
      <c r="F258" s="2" t="s">
        <v>15</v>
      </c>
      <c r="G258" s="2" t="s">
        <v>834</v>
      </c>
      <c r="H258" s="2" t="s">
        <v>565</v>
      </c>
      <c r="I258" s="2" t="str">
        <f>IFERROR(__xludf.DUMMYFUNCTION("GOOGLETRANSLATE(C258,""fr"",""en"")"),"Good explanation
And pleasant follow -up")</f>
        <v>Good explanation
And pleasant follow -up</v>
      </c>
    </row>
    <row r="259" ht="15.75" customHeight="1">
      <c r="A259" s="2">
        <v>1.0</v>
      </c>
      <c r="B259" s="2" t="s">
        <v>835</v>
      </c>
      <c r="C259" s="2" t="s">
        <v>836</v>
      </c>
      <c r="D259" s="2" t="s">
        <v>75</v>
      </c>
      <c r="E259" s="2" t="s">
        <v>14</v>
      </c>
      <c r="F259" s="2" t="s">
        <v>15</v>
      </c>
      <c r="G259" s="2" t="s">
        <v>837</v>
      </c>
      <c r="H259" s="2" t="s">
        <v>77</v>
      </c>
      <c r="I259" s="2" t="str">
        <f>IFERROR(__xludf.DUMMYFUNCTION("GOOGLETRANSLATE(C259,""fr"",""en"")"),"Price of the growing contribution, unacceptable during COVVI-19 periods, no payment by check!
No flexibility can do better,
is this clear, now")</f>
        <v>Price of the growing contribution, unacceptable during COVVI-19 periods, no payment by check!
No flexibility can do better,
is this clear, now</v>
      </c>
    </row>
    <row r="260" ht="15.75" customHeight="1">
      <c r="A260" s="2">
        <v>1.0</v>
      </c>
      <c r="B260" s="2" t="s">
        <v>838</v>
      </c>
      <c r="C260" s="2" t="s">
        <v>839</v>
      </c>
      <c r="D260" s="2" t="s">
        <v>173</v>
      </c>
      <c r="E260" s="2" t="s">
        <v>32</v>
      </c>
      <c r="F260" s="2" t="s">
        <v>15</v>
      </c>
      <c r="G260" s="2" t="s">
        <v>840</v>
      </c>
      <c r="H260" s="2" t="s">
        <v>34</v>
      </c>
      <c r="I260" s="2" t="str">
        <f>IFERROR(__xludf.DUMMYFUNCTION("GOOGLETRANSLATE(C260,""fr"",""en"")"),"Flee this mutual! It is an organization that will reimburse you as little as possible, see nothing at all. As said below me too they do not want to let me go pretending more supporting documents while the other mutuals do not ask for that. I fought for 2 "&amp;"months to be reimbursed for a pair of glasses, the optician had never seen that! A horror this mutual. On the phone they do not always answer, and by email even less!
Go your way, don't sign with this organization")</f>
        <v>Flee this mutual! It is an organization that will reimburse you as little as possible, see nothing at all. As said below me too they do not want to let me go pretending more supporting documents while the other mutuals do not ask for that. I fought for 2 months to be reimbursed for a pair of glasses, the optician had never seen that! A horror this mutual. On the phone they do not always answer, and by email even less!
Go your way, don't sign with this organization</v>
      </c>
    </row>
    <row r="261" ht="15.75" customHeight="1">
      <c r="A261" s="2">
        <v>2.0</v>
      </c>
      <c r="B261" s="2" t="s">
        <v>841</v>
      </c>
      <c r="C261" s="2" t="s">
        <v>842</v>
      </c>
      <c r="D261" s="2" t="s">
        <v>75</v>
      </c>
      <c r="E261" s="2" t="s">
        <v>21</v>
      </c>
      <c r="F261" s="2" t="s">
        <v>15</v>
      </c>
      <c r="G261" s="2" t="s">
        <v>843</v>
      </c>
      <c r="H261" s="2" t="s">
        <v>57</v>
      </c>
      <c r="I261" s="2" t="str">
        <f>IFERROR(__xludf.DUMMYFUNCTION("GOOGLETRANSLATE(C261,""fr"",""en"")"),"Unreachable once customer ... inadmissible !!
Do not read emails ... do not answer on the phone ... do not do what asked them ... inadmissible ... Such incompetence is wanted and that deserves a complaint for rupture of customer service !!!")</f>
        <v>Unreachable once customer ... inadmissible !!
Do not read emails ... do not answer on the phone ... do not do what asked them ... inadmissible ... Such incompetence is wanted and that deserves a complaint for rupture of customer service !!!</v>
      </c>
    </row>
    <row r="262" ht="15.75" customHeight="1">
      <c r="A262" s="2">
        <v>4.0</v>
      </c>
      <c r="B262" s="2" t="s">
        <v>844</v>
      </c>
      <c r="C262" s="2" t="s">
        <v>845</v>
      </c>
      <c r="D262" s="2" t="s">
        <v>846</v>
      </c>
      <c r="E262" s="2" t="s">
        <v>153</v>
      </c>
      <c r="F262" s="2" t="s">
        <v>15</v>
      </c>
      <c r="G262" s="2" t="s">
        <v>455</v>
      </c>
      <c r="H262" s="2" t="s">
        <v>86</v>
      </c>
      <c r="I262" s="2" t="str">
        <f>IFERROR(__xludf.DUMMYFUNCTION("GOOGLETRANSLATE(C262,""fr"",""en"")"),"The prices are attractive and make it possible to reduce the invoice of around 40 % in my case, for the same covers as my old insurance.")</f>
        <v>The prices are attractive and make it possible to reduce the invoice of around 40 % in my case, for the same covers as my old insurance.</v>
      </c>
    </row>
    <row r="263" ht="15.75" customHeight="1">
      <c r="A263" s="2">
        <v>4.0</v>
      </c>
      <c r="B263" s="2" t="s">
        <v>847</v>
      </c>
      <c r="C263" s="2" t="s">
        <v>848</v>
      </c>
      <c r="D263" s="2" t="s">
        <v>37</v>
      </c>
      <c r="E263" s="2" t="s">
        <v>14</v>
      </c>
      <c r="F263" s="2" t="s">
        <v>15</v>
      </c>
      <c r="G263" s="2" t="s">
        <v>849</v>
      </c>
      <c r="H263" s="2" t="s">
        <v>111</v>
      </c>
      <c r="I263" s="2" t="str">
        <f>IFERROR(__xludf.DUMMYFUNCTION("GOOGLETRANSLATE(C263,""fr"",""en"")"),"I am very satisfied with this service, the prices are very reasonable and the subscription is simple and very fast.
I recommend the olive assurance")</f>
        <v>I am very satisfied with this service, the prices are very reasonable and the subscription is simple and very fast.
I recommend the olive assurance</v>
      </c>
    </row>
    <row r="264" ht="15.75" customHeight="1">
      <c r="A264" s="2">
        <v>5.0</v>
      </c>
      <c r="B264" s="2" t="s">
        <v>850</v>
      </c>
      <c r="C264" s="2" t="s">
        <v>851</v>
      </c>
      <c r="D264" s="2" t="s">
        <v>846</v>
      </c>
      <c r="E264" s="2" t="s">
        <v>153</v>
      </c>
      <c r="F264" s="2" t="s">
        <v>15</v>
      </c>
      <c r="G264" s="2" t="s">
        <v>193</v>
      </c>
      <c r="H264" s="2" t="s">
        <v>193</v>
      </c>
      <c r="I264" s="2" t="str">
        <f>IFERROR(__xludf.DUMMYFUNCTION("GOOGLETRANSLATE(C264,""fr"",""en"")"),"I am satisfied very good relationships I am satisfied with the price and the commercial approach
Very good interlocutor listening and very professional")</f>
        <v>I am satisfied very good relationships I am satisfied with the price and the commercial approach
Very good interlocutor listening and very professional</v>
      </c>
    </row>
    <row r="265" ht="15.75" customHeight="1">
      <c r="A265" s="2">
        <v>1.0</v>
      </c>
      <c r="B265" s="2" t="s">
        <v>852</v>
      </c>
      <c r="C265" s="2" t="s">
        <v>853</v>
      </c>
      <c r="D265" s="2" t="s">
        <v>55</v>
      </c>
      <c r="E265" s="2" t="s">
        <v>21</v>
      </c>
      <c r="F265" s="2" t="s">
        <v>15</v>
      </c>
      <c r="G265" s="2" t="s">
        <v>854</v>
      </c>
      <c r="H265" s="2" t="s">
        <v>855</v>
      </c>
      <c r="I265" s="2" t="str">
        <f>IFERROR(__xludf.DUMMYFUNCTION("GOOGLETRANSLATE(C265,""fr"",""en"")"),"I have been insured for several years at the MAAF. I was the victim of a burglary in 2016 and I contacted a Maaf advisor to have information compared to the amount of a deductible and for another claim for which I did not follow up and for which I I have "&amp;"not been compensated, they counted me 3 claims instead of 1 and resilient my contract on the date of 12/31. I sent a registered letter with AR, I sent an email to the MAAF complaint service to obtain a certificate stipulating that I had 1 sinister and not"&amp;" 3 no response from them ... Today I Am in great difficulty in finding another insurer because either they refuse terminated customers or they refuse customers with more than 2 claims. The MAAF does this to wander its customer portfolio. So distrust with "&amp;"the maaf")</f>
        <v>I have been insured for several years at the MAAF. I was the victim of a burglary in 2016 and I contacted a Maaf advisor to have information compared to the amount of a deductible and for another claim for which I did not follow up and for which I I have not been compensated, they counted me 3 claims instead of 1 and resilient my contract on the date of 12/31. I sent a registered letter with AR, I sent an email to the MAAF complaint service to obtain a certificate stipulating that I had 1 sinister and not 3 no response from them ... Today I Am in great difficulty in finding another insurer because either they refuse terminated customers or they refuse customers with more than 2 claims. The MAAF does this to wander its customer portfolio. So distrust with the maaf</v>
      </c>
    </row>
    <row r="266" ht="15.75" customHeight="1">
      <c r="A266" s="2">
        <v>2.0</v>
      </c>
      <c r="B266" s="2" t="s">
        <v>856</v>
      </c>
      <c r="C266" s="2" t="s">
        <v>857</v>
      </c>
      <c r="D266" s="2" t="s">
        <v>13</v>
      </c>
      <c r="E266" s="2" t="s">
        <v>65</v>
      </c>
      <c r="F266" s="2" t="s">
        <v>15</v>
      </c>
      <c r="G266" s="2" t="s">
        <v>401</v>
      </c>
      <c r="H266" s="2" t="s">
        <v>402</v>
      </c>
      <c r="I266" s="2" t="str">
        <f>IFERROR(__xludf.DUMMYFUNCTION("GOOGLETRANSLATE(C266,""fr"",""en"")"),"In December 2016, on my grandfather's death, I was beneficiary of Actiplus life insurance that he had taken out. Mutavie offered to reinvest the death capital returning to me on a contract with my name, at no cost on payment. What I accepted. At the time,"&amp;" I did not check the sum that Mutavie paid on my contract without any details. Recently, I took the time to calculate the death capital paid, depending on the elements in my possession. In the end, I find a sum clearly higher than the sum which was paid t"&amp;"o me, or 940 euros for my disadvantage. I would like to be explained to me why such a difference.")</f>
        <v>In December 2016, on my grandfather's death, I was beneficiary of Actiplus life insurance that he had taken out. Mutavie offered to reinvest the death capital returning to me on a contract with my name, at no cost on payment. What I accepted. At the time, I did not check the sum that Mutavie paid on my contract without any details. Recently, I took the time to calculate the death capital paid, depending on the elements in my possession. In the end, I find a sum clearly higher than the sum which was paid to me, or 940 euros for my disadvantage. I would like to be explained to me why such a difference.</v>
      </c>
    </row>
    <row r="267" ht="15.75" customHeight="1">
      <c r="A267" s="2">
        <v>4.0</v>
      </c>
      <c r="B267" s="2" t="s">
        <v>858</v>
      </c>
      <c r="C267" s="2" t="s">
        <v>859</v>
      </c>
      <c r="D267" s="2" t="s">
        <v>394</v>
      </c>
      <c r="E267" s="2" t="s">
        <v>32</v>
      </c>
      <c r="F267" s="2" t="s">
        <v>15</v>
      </c>
      <c r="G267" s="2" t="s">
        <v>860</v>
      </c>
      <c r="H267" s="2" t="s">
        <v>86</v>
      </c>
      <c r="I267" s="2" t="str">
        <f>IFERROR(__xludf.DUMMYFUNCTION("GOOGLETRANSLATE(C267,""fr"",""en"")"),"I just had very clear answers with Georges Télé advisor to Néoliane Health again thank you for your explanations that served me well….
I managed to connect without problem on the site by following his advice.
")</f>
        <v>I just had very clear answers with Georges Télé advisor to Néoliane Health again thank you for your explanations that served me well….
I managed to connect without problem on the site by following his advice.
</v>
      </c>
    </row>
    <row r="268" ht="15.75" customHeight="1">
      <c r="A268" s="2">
        <v>1.0</v>
      </c>
      <c r="B268" s="2" t="s">
        <v>861</v>
      </c>
      <c r="C268" s="2" t="s">
        <v>862</v>
      </c>
      <c r="D268" s="2" t="s">
        <v>242</v>
      </c>
      <c r="E268" s="2" t="s">
        <v>14</v>
      </c>
      <c r="F268" s="2" t="s">
        <v>15</v>
      </c>
      <c r="G268" s="2" t="s">
        <v>863</v>
      </c>
      <c r="H268" s="2" t="s">
        <v>804</v>
      </c>
      <c r="I268" s="2" t="str">
        <f>IFERROR(__xludf.DUMMYFUNCTION("GOOGLETRANSLATE(C268,""fr"",""en"")"),"to flee
Your opinion must contain at least 200 characters in total.
Your opinion must contain at least 200 characters in total.
Your opinion must contain at least 200 characters in total.")</f>
        <v>to flee
Your opinion must contain at least 200 characters in total.
Your opinion must contain at least 200 characters in total.
Your opinion must contain at least 200 characters in total.</v>
      </c>
    </row>
    <row r="269" ht="15.75" customHeight="1">
      <c r="A269" s="2">
        <v>4.0</v>
      </c>
      <c r="B269" s="2" t="s">
        <v>864</v>
      </c>
      <c r="C269" s="2" t="s">
        <v>865</v>
      </c>
      <c r="D269" s="2" t="s">
        <v>95</v>
      </c>
      <c r="E269" s="2" t="s">
        <v>96</v>
      </c>
      <c r="F269" s="2" t="s">
        <v>15</v>
      </c>
      <c r="G269" s="2" t="s">
        <v>591</v>
      </c>
      <c r="H269" s="2" t="s">
        <v>28</v>
      </c>
      <c r="I269" s="2" t="str">
        <f>IFERROR(__xludf.DUMMYFUNCTION("GOOGLETRANSLATE(C269,""fr"",""en"")"),"Compared to other online insurance, the procedures and options are very well explained, and the whole is well done.")</f>
        <v>Compared to other online insurance, the procedures and options are very well explained, and the whole is well done.</v>
      </c>
    </row>
    <row r="270" ht="15.75" customHeight="1">
      <c r="A270" s="2">
        <v>3.0</v>
      </c>
      <c r="B270" s="2" t="s">
        <v>866</v>
      </c>
      <c r="C270" s="2" t="s">
        <v>867</v>
      </c>
      <c r="D270" s="2" t="s">
        <v>37</v>
      </c>
      <c r="E270" s="2" t="s">
        <v>14</v>
      </c>
      <c r="F270" s="2" t="s">
        <v>15</v>
      </c>
      <c r="G270" s="2" t="s">
        <v>868</v>
      </c>
      <c r="H270" s="2" t="s">
        <v>107</v>
      </c>
      <c r="I270" s="2" t="str">
        <f>IFERROR(__xludf.DUMMYFUNCTION("GOOGLETRANSLATE(C270,""fr"",""en"")"),"It's good for the moment, but I have only signed a contract. We will see in the coming months if I need the services offered by the coverage of this insurance")</f>
        <v>It's good for the moment, but I have only signed a contract. We will see in the coming months if I need the services offered by the coverage of this insurance</v>
      </c>
    </row>
    <row r="271" ht="15.75" customHeight="1">
      <c r="A271" s="2">
        <v>1.0</v>
      </c>
      <c r="B271" s="2" t="s">
        <v>869</v>
      </c>
      <c r="C271" s="2" t="s">
        <v>870</v>
      </c>
      <c r="D271" s="2" t="s">
        <v>221</v>
      </c>
      <c r="E271" s="2" t="s">
        <v>14</v>
      </c>
      <c r="F271" s="2" t="s">
        <v>15</v>
      </c>
      <c r="G271" s="2" t="s">
        <v>138</v>
      </c>
      <c r="H271" s="2" t="s">
        <v>39</v>
      </c>
      <c r="I271" s="2" t="str">
        <f>IFERROR(__xludf.DUMMYFUNCTION("GOOGLETRANSLATE(C271,""fr"",""en"")"),"They are incomplete.
For more than thirty years I have been assured.
No accidents no hanging.
Just a loss of points because I do more than 150,000 km per year.
I ended up with a balance of points in Zero due to an error in calculating the prefecture.
"&amp;"
At Pacifica suddenly they want to assure me as a young driver. All means are good for earning a little more money on the backs of honest people.
Insurer to avoid absolutely.")</f>
        <v>They are incomplete.
For more than thirty years I have been assured.
No accidents no hanging.
Just a loss of points because I do more than 150,000 km per year.
I ended up with a balance of points in Zero due to an error in calculating the prefecture.
At Pacifica suddenly they want to assure me as a young driver. All means are good for earning a little more money on the backs of honest people.
Insurer to avoid absolutely.</v>
      </c>
    </row>
    <row r="272" ht="15.75" customHeight="1">
      <c r="A272" s="2">
        <v>2.0</v>
      </c>
      <c r="B272" s="2" t="s">
        <v>871</v>
      </c>
      <c r="C272" s="2" t="s">
        <v>872</v>
      </c>
      <c r="D272" s="2" t="s">
        <v>101</v>
      </c>
      <c r="E272" s="2" t="s">
        <v>14</v>
      </c>
      <c r="F272" s="2" t="s">
        <v>15</v>
      </c>
      <c r="G272" s="2" t="s">
        <v>873</v>
      </c>
      <c r="H272" s="2" t="s">
        <v>142</v>
      </c>
      <c r="I272" s="2" t="str">
        <f>IFERROR(__xludf.DUMMYFUNCTION("GOOGLETRANSLATE(C272,""fr"",""en"")"),"Serious but quite expensive insurer.")</f>
        <v>Serious but quite expensive insurer.</v>
      </c>
    </row>
    <row r="273" ht="15.75" customHeight="1">
      <c r="A273" s="2">
        <v>1.0</v>
      </c>
      <c r="B273" s="2" t="s">
        <v>874</v>
      </c>
      <c r="C273" s="2" t="s">
        <v>875</v>
      </c>
      <c r="D273" s="2" t="s">
        <v>101</v>
      </c>
      <c r="E273" s="2" t="s">
        <v>14</v>
      </c>
      <c r="F273" s="2" t="s">
        <v>15</v>
      </c>
      <c r="G273" s="2" t="s">
        <v>876</v>
      </c>
      <c r="H273" s="2" t="s">
        <v>249</v>
      </c>
      <c r="I273" s="2" t="str">
        <f>IFERROR(__xludf.DUMMYFUNCTION("GOOGLETRANSLATE(C273,""fr"",""en"")"),"To flee ! Termination for 2 months. No return or refund. Samples maintained. 45 min of waiting by Tel without response, or hangs up on the nose.")</f>
        <v>To flee ! Termination for 2 months. No return or refund. Samples maintained. 45 min of waiting by Tel without response, or hangs up on the nose.</v>
      </c>
    </row>
    <row r="274" ht="15.75" customHeight="1">
      <c r="A274" s="2">
        <v>2.0</v>
      </c>
      <c r="B274" s="2" t="s">
        <v>877</v>
      </c>
      <c r="C274" s="2" t="s">
        <v>878</v>
      </c>
      <c r="D274" s="2" t="s">
        <v>221</v>
      </c>
      <c r="E274" s="2" t="s">
        <v>21</v>
      </c>
      <c r="F274" s="2" t="s">
        <v>15</v>
      </c>
      <c r="G274" s="2" t="s">
        <v>879</v>
      </c>
      <c r="H274" s="2" t="s">
        <v>52</v>
      </c>
      <c r="I274" s="2" t="str">
        <f>IFERROR(__xludf.DUMMYFUNCTION("GOOGLETRANSLATE(C274,""fr"",""en"")"),"I wish to change insurer because as a loyal customer for almost 30 years at Pacifica and without any damage I declared a damage of 1000 euros following the storm of January and it was refused without any explanation by a phone message. For information, I "&amp;"paid for 1600 euros per year of insurance with the houses we have for rent.")</f>
        <v>I wish to change insurer because as a loyal customer for almost 30 years at Pacifica and without any damage I declared a damage of 1000 euros following the storm of January and it was refused without any explanation by a phone message. For information, I paid for 1600 euros per year of insurance with the houses we have for rent.</v>
      </c>
    </row>
    <row r="275" ht="15.75" customHeight="1">
      <c r="A275" s="2">
        <v>2.0</v>
      </c>
      <c r="B275" s="2" t="s">
        <v>880</v>
      </c>
      <c r="C275" s="2" t="s">
        <v>881</v>
      </c>
      <c r="D275" s="2" t="s">
        <v>75</v>
      </c>
      <c r="E275" s="2" t="s">
        <v>14</v>
      </c>
      <c r="F275" s="2" t="s">
        <v>15</v>
      </c>
      <c r="G275" s="2" t="s">
        <v>882</v>
      </c>
      <c r="H275" s="2" t="s">
        <v>125</v>
      </c>
      <c r="I275" s="2" t="str">
        <f>IFERROR(__xludf.DUMMYFUNCTION("GOOGLETRANSLATE(C275,""fr"",""en"")"),"A very random file follow -up with often false answers (lies)
Garages approved not competent")</f>
        <v>A very random file follow -up with often false answers (lies)
Garages approved not competent</v>
      </c>
    </row>
    <row r="276" ht="15.75" customHeight="1">
      <c r="A276" s="2">
        <v>4.0</v>
      </c>
      <c r="B276" s="2" t="s">
        <v>883</v>
      </c>
      <c r="C276" s="2" t="s">
        <v>884</v>
      </c>
      <c r="D276" s="2" t="s">
        <v>37</v>
      </c>
      <c r="E276" s="2" t="s">
        <v>14</v>
      </c>
      <c r="F276" s="2" t="s">
        <v>15</v>
      </c>
      <c r="G276" s="2" t="s">
        <v>885</v>
      </c>
      <c r="H276" s="2" t="s">
        <v>28</v>
      </c>
      <c r="I276" s="2" t="str">
        <f>IFERROR(__xludf.DUMMYFUNCTION("GOOGLETRANSLATE(C276,""fr"",""en"")"),"I am satisfied with this insurance and the services offered. Simple and rapid adhesion as well as quotes
The documents arrive in time alone downside the price of franchises")</f>
        <v>I am satisfied with this insurance and the services offered. Simple and rapid adhesion as well as quotes
The documents arrive in time alone downside the price of franchises</v>
      </c>
    </row>
    <row r="277" ht="15.75" customHeight="1">
      <c r="A277" s="2">
        <v>2.0</v>
      </c>
      <c r="B277" s="2" t="s">
        <v>886</v>
      </c>
      <c r="C277" s="2" t="s">
        <v>887</v>
      </c>
      <c r="D277" s="2" t="s">
        <v>75</v>
      </c>
      <c r="E277" s="2" t="s">
        <v>14</v>
      </c>
      <c r="F277" s="2" t="s">
        <v>15</v>
      </c>
      <c r="G277" s="2" t="s">
        <v>888</v>
      </c>
      <c r="H277" s="2" t="s">
        <v>223</v>
      </c>
      <c r="I277" s="2" t="str">
        <f>IFERROR(__xludf.DUMMYFUNCTION("GOOGLETRANSLATE(C277,""fr"",""en"")"),"Upward price")</f>
        <v>Upward price</v>
      </c>
    </row>
    <row r="278" ht="15.75" customHeight="1">
      <c r="A278" s="2">
        <v>2.0</v>
      </c>
      <c r="B278" s="2" t="s">
        <v>889</v>
      </c>
      <c r="C278" s="2" t="s">
        <v>890</v>
      </c>
      <c r="D278" s="2" t="s">
        <v>75</v>
      </c>
      <c r="E278" s="2" t="s">
        <v>14</v>
      </c>
      <c r="F278" s="2" t="s">
        <v>15</v>
      </c>
      <c r="G278" s="2" t="s">
        <v>891</v>
      </c>
      <c r="H278" s="2" t="s">
        <v>193</v>
      </c>
      <c r="I278" s="2" t="str">
        <f>IFERROR(__xludf.DUMMYFUNCTION("GOOGLETRANSLATE(C278,""fr"",""en"")"),"An too much increase in the price Pack Serenity forced me not to subscribe to it in 2021, too bad !! because more due to the pandemic of COVVIT 19, we rolled less in 2020 and will still be the case in 2021 and You have not reimbursed anything to us, unlik"&amp;"e certain insurances.")</f>
        <v>An too much increase in the price Pack Serenity forced me not to subscribe to it in 2021, too bad !! because more due to the pandemic of COVVIT 19, we rolled less in 2020 and will still be the case in 2021 and You have not reimbursed anything to us, unlike certain insurances.</v>
      </c>
    </row>
    <row r="279" ht="15.75" customHeight="1">
      <c r="A279" s="2">
        <v>4.0</v>
      </c>
      <c r="B279" s="2" t="s">
        <v>892</v>
      </c>
      <c r="C279" s="2" t="s">
        <v>893</v>
      </c>
      <c r="D279" s="2" t="s">
        <v>75</v>
      </c>
      <c r="E279" s="2" t="s">
        <v>14</v>
      </c>
      <c r="F279" s="2" t="s">
        <v>15</v>
      </c>
      <c r="G279" s="2" t="s">
        <v>894</v>
      </c>
      <c r="H279" s="2" t="s">
        <v>77</v>
      </c>
      <c r="I279" s="2" t="str">
        <f>IFERROR(__xludf.DUMMYFUNCTION("GOOGLETRANSLATE(C279,""fr"",""en"")"),"The search for my vehicle by registration number was not working (however it was previously insured by Direct Insurance!).
The rest of the subscription was simple.")</f>
        <v>The search for my vehicle by registration number was not working (however it was previously insured by Direct Insurance!).
The rest of the subscription was simple.</v>
      </c>
    </row>
    <row r="280" ht="15.75" customHeight="1">
      <c r="A280" s="2">
        <v>1.0</v>
      </c>
      <c r="B280" s="2" t="s">
        <v>895</v>
      </c>
      <c r="C280" s="2" t="s">
        <v>896</v>
      </c>
      <c r="D280" s="2" t="s">
        <v>13</v>
      </c>
      <c r="E280" s="2" t="s">
        <v>14</v>
      </c>
      <c r="F280" s="2" t="s">
        <v>15</v>
      </c>
      <c r="G280" s="2" t="s">
        <v>840</v>
      </c>
      <c r="H280" s="2" t="s">
        <v>34</v>
      </c>
      <c r="I280" s="2" t="str">
        <f>IFERROR(__xludf.DUMMYFUNCTION("GOOGLETRANSLATE(C280,""fr"",""en"")"),"Very arbitrary decisions on the responsibility following an accident with a shock to the arierre of my vehicle and that despite photos that have been refused")</f>
        <v>Very arbitrary decisions on the responsibility following an accident with a shock to the arierre of my vehicle and that despite photos that have been refused</v>
      </c>
    </row>
    <row r="281" ht="15.75" customHeight="1">
      <c r="A281" s="2">
        <v>1.0</v>
      </c>
      <c r="B281" s="2" t="s">
        <v>897</v>
      </c>
      <c r="C281" s="2" t="s">
        <v>898</v>
      </c>
      <c r="D281" s="2" t="s">
        <v>692</v>
      </c>
      <c r="E281" s="2" t="s">
        <v>14</v>
      </c>
      <c r="F281" s="2" t="s">
        <v>15</v>
      </c>
      <c r="G281" s="2" t="s">
        <v>899</v>
      </c>
      <c r="H281" s="2" t="s">
        <v>286</v>
      </c>
      <c r="I281" s="2" t="str">
        <f>IFERROR(__xludf.DUMMYFUNCTION("GOOGLETRANSLATE(C281,""fr"",""en"")"),"Mechanical breakdown insurance to flee at the Matmut does not keep its commitments. The Matmut She does not correctly ensure her insured.")</f>
        <v>Mechanical breakdown insurance to flee at the Matmut does not keep its commitments. The Matmut She does not correctly ensure her insured.</v>
      </c>
    </row>
    <row r="282" ht="15.75" customHeight="1">
      <c r="A282" s="2">
        <v>1.0</v>
      </c>
      <c r="B282" s="2" t="s">
        <v>900</v>
      </c>
      <c r="C282" s="2" t="s">
        <v>901</v>
      </c>
      <c r="D282" s="2" t="s">
        <v>158</v>
      </c>
      <c r="E282" s="2" t="s">
        <v>21</v>
      </c>
      <c r="F282" s="2" t="s">
        <v>15</v>
      </c>
      <c r="G282" s="2" t="s">
        <v>902</v>
      </c>
      <c r="H282" s="2" t="s">
        <v>501</v>
      </c>
      <c r="I282" s="2" t="str">
        <f>IFERROR(__xludf.DUMMYFUNCTION("GOOGLETRANSLATE(C282,""fr"",""en"")"),"I am 79 years old and have been insured by Maif for 60 years
I never had to declare a claim except for the date of February 11, following a water leak in my apartment
After many actions to obtain an expert, I finally obtained satisfaction with a hoped -"&amp;"for visit on March 28 6:30 p.m.
To date I have no care agreement, my water is cut and my parquet as well as my plinths are fully stuck
In order to avoid substantial leaks the water is cut and I live the situation difficult to live because more hot water"&amp;", no possibility of washing your laundry, the dishes etc ...
I am surprised by this lack of attention and apuit by those who were entirely flooded if they were partners of Maif
At 79 and after 60 years of contributions, I expected more respect but as ex"&amp;"plained by the interlocutors in charge of my file it is for everyone the same so please meet the deadlines announced
In 2 words it is lamentable and I strongly regret having contributed so long to this insurance")</f>
        <v>I am 79 years old and have been insured by Maif for 60 years
I never had to declare a claim except for the date of February 11, following a water leak in my apartment
After many actions to obtain an expert, I finally obtained satisfaction with a hoped -for visit on March 28 6:30 p.m.
To date I have no care agreement, my water is cut and my parquet as well as my plinths are fully stuck
In order to avoid substantial leaks the water is cut and I live the situation difficult to live because more hot water, no possibility of washing your laundry, the dishes etc ...
I am surprised by this lack of attention and apuit by those who were entirely flooded if they were partners of Maif
At 79 and after 60 years of contributions, I expected more respect but as explained by the interlocutors in charge of my file it is for everyone the same so please meet the deadlines announced
In 2 words it is lamentable and I strongly regret having contributed so long to this insurance</v>
      </c>
    </row>
    <row r="283" ht="15.75" customHeight="1">
      <c r="A283" s="2">
        <v>2.0</v>
      </c>
      <c r="B283" s="2" t="s">
        <v>903</v>
      </c>
      <c r="C283" s="2" t="s">
        <v>904</v>
      </c>
      <c r="D283" s="2" t="s">
        <v>394</v>
      </c>
      <c r="E283" s="2" t="s">
        <v>32</v>
      </c>
      <c r="F283" s="2" t="s">
        <v>15</v>
      </c>
      <c r="G283" s="2" t="s">
        <v>905</v>
      </c>
      <c r="H283" s="2" t="s">
        <v>402</v>
      </c>
      <c r="I283" s="2" t="str">
        <f>IFERROR(__xludf.DUMMYFUNCTION("GOOGLETRANSLATE(C283,""fr"",""en"")"),"Dental care of 2054 euros sent on February 08 read by Néoliane on February 10 not reimbursed. No answer, Néoliane is in absent subscribers.")</f>
        <v>Dental care of 2054 euros sent on February 08 read by Néoliane on February 10 not reimbursed. No answer, Néoliane is in absent subscribers.</v>
      </c>
    </row>
    <row r="284" ht="15.75" customHeight="1">
      <c r="A284" s="2">
        <v>5.0</v>
      </c>
      <c r="B284" s="2" t="s">
        <v>906</v>
      </c>
      <c r="C284" s="2" t="s">
        <v>907</v>
      </c>
      <c r="D284" s="2" t="s">
        <v>37</v>
      </c>
      <c r="E284" s="2" t="s">
        <v>14</v>
      </c>
      <c r="F284" s="2" t="s">
        <v>15</v>
      </c>
      <c r="G284" s="2" t="s">
        <v>908</v>
      </c>
      <c r="H284" s="2" t="s">
        <v>39</v>
      </c>
      <c r="I284" s="2" t="str">
        <f>IFERROR(__xludf.DUMMYFUNCTION("GOOGLETRANSLATE(C284,""fr"",""en"")"),"Very satisfied with the procedure to ensure that you are simple and quick to chat on the phone The files are complete and simple to understand")</f>
        <v>Very satisfied with the procedure to ensure that you are simple and quick to chat on the phone The files are complete and simple to understand</v>
      </c>
    </row>
    <row r="285" ht="15.75" customHeight="1">
      <c r="A285" s="2">
        <v>2.0</v>
      </c>
      <c r="B285" s="2" t="s">
        <v>909</v>
      </c>
      <c r="C285" s="2" t="s">
        <v>910</v>
      </c>
      <c r="D285" s="2" t="s">
        <v>37</v>
      </c>
      <c r="E285" s="2" t="s">
        <v>14</v>
      </c>
      <c r="F285" s="2" t="s">
        <v>15</v>
      </c>
      <c r="G285" s="2" t="s">
        <v>911</v>
      </c>
      <c r="H285" s="2" t="s">
        <v>341</v>
      </c>
      <c r="I285" s="2" t="str">
        <f>IFERROR(__xludf.DUMMYFUNCTION("GOOGLETRANSLATE(C285,""fr"",""en"")"),"I subscribed to any risk insurance 2 years ago and I noticed an error in the calculation of the coefficient against me ... The regularization was made but no explanation provided.
Customer service is not effective. I had to restart to get an answer after"&amp;" a month.
I am still waiting for the reception of an information statement. The advisor had confirmed to me by phone that I will receive him in the morning by email. So I'm going to revive!")</f>
        <v>I subscribed to any risk insurance 2 years ago and I noticed an error in the calculation of the coefficient against me ... The regularization was made but no explanation provided.
Customer service is not effective. I had to restart to get an answer after a month.
I am still waiting for the reception of an information statement. The advisor had confirmed to me by phone that I will receive him in the morning by email. So I'm going to revive!</v>
      </c>
    </row>
    <row r="286" ht="15.75" customHeight="1">
      <c r="A286" s="2">
        <v>4.0</v>
      </c>
      <c r="B286" s="2" t="s">
        <v>912</v>
      </c>
      <c r="C286" s="2" t="s">
        <v>913</v>
      </c>
      <c r="D286" s="2" t="s">
        <v>37</v>
      </c>
      <c r="E286" s="2" t="s">
        <v>14</v>
      </c>
      <c r="F286" s="2" t="s">
        <v>15</v>
      </c>
      <c r="G286" s="2" t="s">
        <v>914</v>
      </c>
      <c r="H286" s="2" t="s">
        <v>111</v>
      </c>
      <c r="I286" s="2" t="str">
        <f>IFERROR(__xludf.DUMMYFUNCTION("GOOGLETRANSLATE(C286,""fr"",""en"")"),"PERFECT
Rapidit and efficiency
Complete and courteous staff
Nothing to say for the moment to judge in the event of a claim
Attractive price and monthly payment OK
")</f>
        <v>PERFECT
Rapidit and efficiency
Complete and courteous staff
Nothing to say for the moment to judge in the event of a claim
Attractive price and monthly payment OK
</v>
      </c>
    </row>
    <row r="287" ht="15.75" customHeight="1">
      <c r="A287" s="2">
        <v>3.0</v>
      </c>
      <c r="B287" s="2" t="s">
        <v>915</v>
      </c>
      <c r="C287" s="2" t="s">
        <v>916</v>
      </c>
      <c r="D287" s="2" t="s">
        <v>75</v>
      </c>
      <c r="E287" s="2" t="s">
        <v>14</v>
      </c>
      <c r="F287" s="2" t="s">
        <v>15</v>
      </c>
      <c r="G287" s="2" t="s">
        <v>653</v>
      </c>
      <c r="H287" s="2" t="s">
        <v>107</v>
      </c>
      <c r="I287" s="2" t="str">
        <f>IFERROR(__xludf.DUMMYFUNCTION("GOOGLETRANSLATE(C287,""fr"",""en"")"),"I am satisfied with the service. And people who informed me about my quote and the price offered by Direct Insurance and I will recommend direct insurance to my loved ones.")</f>
        <v>I am satisfied with the service. And people who informed me about my quote and the price offered by Direct Insurance and I will recommend direct insurance to my loved ones.</v>
      </c>
    </row>
    <row r="288" ht="15.75" customHeight="1">
      <c r="A288" s="2">
        <v>1.0</v>
      </c>
      <c r="B288" s="2" t="s">
        <v>917</v>
      </c>
      <c r="C288" s="2" t="s">
        <v>918</v>
      </c>
      <c r="D288" s="2" t="s">
        <v>221</v>
      </c>
      <c r="E288" s="2" t="s">
        <v>14</v>
      </c>
      <c r="F288" s="2" t="s">
        <v>15</v>
      </c>
      <c r="G288" s="2" t="s">
        <v>703</v>
      </c>
      <c r="H288" s="2" t="s">
        <v>86</v>
      </c>
      <c r="I288" s="2" t="str">
        <f>IFERROR(__xludf.DUMMYFUNCTION("GOOGLETRANSLATE(C288,""fr"",""en"")"),"To flee!!! The note is zero and we cannot even put it. No assistance everything is done not to assist you. 2 breakdowns in 13 days ... I am just a hotel night and all the rest. Unreachable international service, they filter calls, hang up on the nose and "&amp;"make you wait for endless hours before offering you delusional solutions ... do not care about customers. Do everything not to pay the repatriation service. No professionalism and no compatis on. So flee and get the message across.")</f>
        <v>To flee!!! The note is zero and we cannot even put it. No assistance everything is done not to assist you. 2 breakdowns in 13 days ... I am just a hotel night and all the rest. Unreachable international service, they filter calls, hang up on the nose and make you wait for endless hours before offering you delusional solutions ... do not care about customers. Do everything not to pay the repatriation service. No professionalism and no compatis on. So flee and get the message across.</v>
      </c>
    </row>
    <row r="289" ht="15.75" customHeight="1">
      <c r="A289" s="2">
        <v>1.0</v>
      </c>
      <c r="B289" s="2" t="s">
        <v>919</v>
      </c>
      <c r="C289" s="2" t="s">
        <v>920</v>
      </c>
      <c r="D289" s="2" t="s">
        <v>921</v>
      </c>
      <c r="E289" s="2" t="s">
        <v>65</v>
      </c>
      <c r="F289" s="2" t="s">
        <v>15</v>
      </c>
      <c r="G289" s="2" t="s">
        <v>922</v>
      </c>
      <c r="H289" s="2" t="s">
        <v>335</v>
      </c>
      <c r="I289" s="2" t="str">
        <f>IFERROR(__xludf.DUMMYFUNCTION("GOOGLETRANSLATE(C289,""fr"",""en"")"),"Contract relating to article 757b of the CGI - obliges to contract a credit to pay the inheritance costs. Sogecap does not want to settle the capital of the contract.")</f>
        <v>Contract relating to article 757b of the CGI - obliges to contract a credit to pay the inheritance costs. Sogecap does not want to settle the capital of the contract.</v>
      </c>
    </row>
    <row r="290" ht="15.75" customHeight="1">
      <c r="A290" s="2">
        <v>5.0</v>
      </c>
      <c r="B290" s="2" t="s">
        <v>923</v>
      </c>
      <c r="C290" s="2" t="s">
        <v>924</v>
      </c>
      <c r="D290" s="2" t="s">
        <v>921</v>
      </c>
      <c r="E290" s="2" t="s">
        <v>153</v>
      </c>
      <c r="F290" s="2" t="s">
        <v>15</v>
      </c>
      <c r="G290" s="2" t="s">
        <v>925</v>
      </c>
      <c r="H290" s="2" t="s">
        <v>926</v>
      </c>
      <c r="I290" s="2" t="str">
        <f>IFERROR(__xludf.DUMMYFUNCTION("GOOGLETRANSLATE(C290,""fr"",""en"")"),"A big thank you to Mr. BATUT and his medical service who processed my medical file after a brain tumor operation, taken care of the guarantee of my excellent loan to advise strongly.")</f>
        <v>A big thank you to Mr. BATUT and his medical service who processed my medical file after a brain tumor operation, taken care of the guarantee of my excellent loan to advise strongly.</v>
      </c>
    </row>
    <row r="291" ht="15.75" customHeight="1">
      <c r="A291" s="2">
        <v>5.0</v>
      </c>
      <c r="B291" s="2" t="s">
        <v>927</v>
      </c>
      <c r="C291" s="2" t="s">
        <v>928</v>
      </c>
      <c r="D291" s="2" t="s">
        <v>37</v>
      </c>
      <c r="E291" s="2" t="s">
        <v>14</v>
      </c>
      <c r="F291" s="2" t="s">
        <v>15</v>
      </c>
      <c r="G291" s="2" t="s">
        <v>929</v>
      </c>
      <c r="H291" s="2" t="s">
        <v>28</v>
      </c>
      <c r="I291" s="2" t="str">
        <f>IFERROR(__xludf.DUMMYFUNCTION("GOOGLETRANSLATE(C291,""fr"",""en"")"),"Everything is perfect with clear and facilitated management, however, management through an application would be easier.
The signature of the document was not easy via the web browser.")</f>
        <v>Everything is perfect with clear and facilitated management, however, management through an application would be easier.
The signature of the document was not easy via the web browser.</v>
      </c>
    </row>
    <row r="292" ht="15.75" customHeight="1">
      <c r="A292" s="2">
        <v>1.0</v>
      </c>
      <c r="B292" s="2" t="s">
        <v>930</v>
      </c>
      <c r="C292" s="2" t="s">
        <v>931</v>
      </c>
      <c r="D292" s="2" t="s">
        <v>158</v>
      </c>
      <c r="E292" s="2" t="s">
        <v>14</v>
      </c>
      <c r="F292" s="2" t="s">
        <v>15</v>
      </c>
      <c r="G292" s="2" t="s">
        <v>905</v>
      </c>
      <c r="H292" s="2" t="s">
        <v>402</v>
      </c>
      <c r="I292" s="2" t="str">
        <f>IFERROR(__xludf.DUMMYFUNCTION("GOOGLETRANSLATE(C292,""fr"",""en"")"),"Hello,
Wrongly taken for a car sold more than two years ago or more than 3000th, which we refuse to reimburse me (even with deed of sale and insurance of the new owner).
Another vehicle insured at home rugged in December 2018, still on the side of the r"&amp;"oad and still not reimbursed ...
For 2/3 years it's really anything with them!
")</f>
        <v>Hello,
Wrongly taken for a car sold more than two years ago or more than 3000th, which we refuse to reimburse me (even with deed of sale and insurance of the new owner).
Another vehicle insured at home rugged in December 2018, still on the side of the road and still not reimbursed ...
For 2/3 years it's really anything with them!
</v>
      </c>
    </row>
    <row r="293" ht="15.75" customHeight="1">
      <c r="A293" s="2">
        <v>5.0</v>
      </c>
      <c r="B293" s="2" t="s">
        <v>932</v>
      </c>
      <c r="C293" s="2" t="s">
        <v>933</v>
      </c>
      <c r="D293" s="2" t="s">
        <v>37</v>
      </c>
      <c r="E293" s="2" t="s">
        <v>14</v>
      </c>
      <c r="F293" s="2" t="s">
        <v>15</v>
      </c>
      <c r="G293" s="2" t="s">
        <v>894</v>
      </c>
      <c r="H293" s="2" t="s">
        <v>77</v>
      </c>
      <c r="I293" s="2" t="str">
        <f>IFERROR(__xludf.DUMMYFUNCTION("GOOGLETRANSLATE(C293,""fr"",""en"")"),"I am satisfied with your service The price and speed speed I spoke with my knowledge and my family
You also assurance of professionals")</f>
        <v>I am satisfied with your service The price and speed speed I spoke with my knowledge and my family
You also assurance of professionals</v>
      </c>
    </row>
    <row r="294" ht="15.75" customHeight="1">
      <c r="A294" s="2">
        <v>3.0</v>
      </c>
      <c r="B294" s="2" t="s">
        <v>934</v>
      </c>
      <c r="C294" s="2" t="s">
        <v>935</v>
      </c>
      <c r="D294" s="2" t="s">
        <v>37</v>
      </c>
      <c r="E294" s="2" t="s">
        <v>14</v>
      </c>
      <c r="F294" s="2" t="s">
        <v>15</v>
      </c>
      <c r="G294" s="2" t="s">
        <v>111</v>
      </c>
      <c r="H294" s="2" t="s">
        <v>111</v>
      </c>
      <c r="I294" s="2" t="str">
        <f>IFERROR(__xludf.DUMMYFUNCTION("GOOGLETRANSLATE(C294,""fr"",""en"")"),"I was sponsored and I received € 50 as well as my godfather.
The membership was rapid and corresponded to my expectation.
Very satisfied with the olive assurance")</f>
        <v>I was sponsored and I received € 50 as well as my godfather.
The membership was rapid and corresponded to my expectation.
Very satisfied with the olive assurance</v>
      </c>
    </row>
    <row r="295" ht="15.75" customHeight="1">
      <c r="A295" s="2">
        <v>2.0</v>
      </c>
      <c r="B295" s="2" t="s">
        <v>936</v>
      </c>
      <c r="C295" s="2" t="s">
        <v>937</v>
      </c>
      <c r="D295" s="2" t="s">
        <v>184</v>
      </c>
      <c r="E295" s="2" t="s">
        <v>96</v>
      </c>
      <c r="F295" s="2" t="s">
        <v>15</v>
      </c>
      <c r="G295" s="2" t="s">
        <v>938</v>
      </c>
      <c r="H295" s="2" t="s">
        <v>528</v>
      </c>
      <c r="I295" s="2" t="str">
        <f>IFERROR(__xludf.DUMMYFUNCTION("GOOGLETRANSLATE(C295,""fr"",""en"")"),"Impossible to reach on the phone from the pandemic while my other insurers have resumed the work ... Suffering disaster for seven months without return ... Untoadable interlocutors ... Always no reimbursement while 100% victim ... USSUSE FOR Close contrac"&amp;"t while HS vehicle")</f>
        <v>Impossible to reach on the phone from the pandemic while my other insurers have resumed the work ... Suffering disaster for seven months without return ... Untoadable interlocutors ... Always no reimbursement while 100% victim ... USSUSE FOR Close contract while HS vehicle</v>
      </c>
    </row>
    <row r="296" ht="15.75" customHeight="1">
      <c r="A296" s="2">
        <v>1.0</v>
      </c>
      <c r="B296" s="2" t="s">
        <v>939</v>
      </c>
      <c r="C296" s="2" t="s">
        <v>940</v>
      </c>
      <c r="D296" s="2" t="s">
        <v>26</v>
      </c>
      <c r="E296" s="2" t="s">
        <v>14</v>
      </c>
      <c r="F296" s="2" t="s">
        <v>15</v>
      </c>
      <c r="G296" s="2" t="s">
        <v>941</v>
      </c>
      <c r="H296" s="2" t="s">
        <v>467</v>
      </c>
      <c r="I296" s="2" t="str">
        <f>IFERROR(__xludf.DUMMYFUNCTION("GOOGLETRANSLATE(C296,""fr"",""en"")"),"Very good insurance as long as you are a customer. On the other hand, when you want to terminate, refusal of termination under phony pretexts. To flee !")</f>
        <v>Very good insurance as long as you are a customer. On the other hand, when you want to terminate, refusal of termination under phony pretexts. To flee !</v>
      </c>
    </row>
    <row r="297" ht="15.75" customHeight="1">
      <c r="A297" s="2">
        <v>1.0</v>
      </c>
      <c r="B297" s="2" t="s">
        <v>942</v>
      </c>
      <c r="C297" s="2" t="s">
        <v>943</v>
      </c>
      <c r="D297" s="2" t="s">
        <v>101</v>
      </c>
      <c r="E297" s="2" t="s">
        <v>14</v>
      </c>
      <c r="F297" s="2" t="s">
        <v>15</v>
      </c>
      <c r="G297" s="2" t="s">
        <v>944</v>
      </c>
      <c r="H297" s="2" t="s">
        <v>331</v>
      </c>
      <c r="I297" s="2" t="str">
        <f>IFERROR(__xludf.DUMMYFUNCTION("GOOGLETRANSLATE(C297,""fr"",""en"")"),"Insurer Desagreable in case of sinister name takes charge of stalin management and the intelligence Hitlher in Strasbourg in the Siege? Insurer to deconcell strongly.")</f>
        <v>Insurer Desagreable in case of sinister name takes charge of stalin management and the intelligence Hitlher in Strasbourg in the Siege? Insurer to deconcell strongly.</v>
      </c>
    </row>
    <row r="298" ht="15.75" customHeight="1">
      <c r="A298" s="2">
        <v>2.0</v>
      </c>
      <c r="B298" s="2" t="s">
        <v>945</v>
      </c>
      <c r="C298" s="2" t="s">
        <v>946</v>
      </c>
      <c r="D298" s="2" t="s">
        <v>692</v>
      </c>
      <c r="E298" s="2" t="s">
        <v>14</v>
      </c>
      <c r="F298" s="2" t="s">
        <v>15</v>
      </c>
      <c r="G298" s="2" t="s">
        <v>947</v>
      </c>
      <c r="H298" s="2" t="s">
        <v>83</v>
      </c>
      <c r="I298" s="2" t="str">
        <f>IFERROR(__xludf.DUMMYFUNCTION("GOOGLETRANSLATE(C298,""fr"",""en"")"),"Hello victim of a sinister car flooded on the 13th vehicle declare economically irreparable my procrastino insurance it's been 2 months since I wait and must debute me to go to work if I could say to the 3 million subscribers to the Matmut to flee this in"&amp;"surance I will tell them so much that nothing happens is my matmut my sure value and that a disaster happens to you it is the matmut that makes the ostrich")</f>
        <v>Hello victim of a sinister car flooded on the 13th vehicle declare economically irreparable my procrastino insurance it's been 2 months since I wait and must debute me to go to work if I could say to the 3 million subscribers to the Matmut to flee this insurance I will tell them so much that nothing happens is my matmut my sure value and that a disaster happens to you it is the matmut that makes the ostrich</v>
      </c>
    </row>
    <row r="299" ht="15.75" customHeight="1">
      <c r="A299" s="2">
        <v>4.0</v>
      </c>
      <c r="B299" s="2" t="s">
        <v>948</v>
      </c>
      <c r="C299" s="2" t="s">
        <v>949</v>
      </c>
      <c r="D299" s="2" t="s">
        <v>13</v>
      </c>
      <c r="E299" s="2" t="s">
        <v>14</v>
      </c>
      <c r="F299" s="2" t="s">
        <v>15</v>
      </c>
      <c r="G299" s="2" t="s">
        <v>950</v>
      </c>
      <c r="H299" s="2" t="s">
        <v>61</v>
      </c>
      <c r="I299" s="2" t="str">
        <f>IFERROR(__xludf.DUMMYFUNCTION("GOOGLETRANSLATE(C299,""fr"",""en"")"),"More than 15 years at the Macif and always very satisfied
Very responsive in every way
Correct price
Easily reachable
I highly recommend the Macif")</f>
        <v>More than 15 years at the Macif and always very satisfied
Very responsive in every way
Correct price
Easily reachable
I highly recommend the Macif</v>
      </c>
    </row>
    <row r="300" ht="15.75" customHeight="1">
      <c r="A300" s="2">
        <v>4.0</v>
      </c>
      <c r="B300" s="2" t="s">
        <v>951</v>
      </c>
      <c r="C300" s="2" t="s">
        <v>952</v>
      </c>
      <c r="D300" s="2" t="s">
        <v>75</v>
      </c>
      <c r="E300" s="2" t="s">
        <v>14</v>
      </c>
      <c r="F300" s="2" t="s">
        <v>15</v>
      </c>
      <c r="G300" s="2" t="s">
        <v>106</v>
      </c>
      <c r="H300" s="2" t="s">
        <v>107</v>
      </c>
      <c r="I300" s="2" t="str">
        <f>IFERROR(__xludf.DUMMYFUNCTION("GOOGLETRANSLATE(C300,""fr"",""en"")"),"Satisfied with the service offered. Very well thoughts prices and packs, fast service and online subscription easy to set up. I highly recommend direct insurance")</f>
        <v>Satisfied with the service offered. Very well thoughts prices and packs, fast service and online subscription easy to set up. I highly recommend direct insurance</v>
      </c>
    </row>
    <row r="301" ht="15.75" customHeight="1">
      <c r="A301" s="2">
        <v>3.0</v>
      </c>
      <c r="B301" s="2" t="s">
        <v>953</v>
      </c>
      <c r="C301" s="2" t="s">
        <v>954</v>
      </c>
      <c r="D301" s="2" t="s">
        <v>75</v>
      </c>
      <c r="E301" s="2" t="s">
        <v>14</v>
      </c>
      <c r="F301" s="2" t="s">
        <v>15</v>
      </c>
      <c r="G301" s="2" t="s">
        <v>118</v>
      </c>
      <c r="H301" s="2" t="s">
        <v>77</v>
      </c>
      <c r="I301" s="2" t="str">
        <f>IFERROR(__xludf.DUMMYFUNCTION("GOOGLETRANSLATE(C301,""fr"",""en"")"),"For the moment, I am satisfied with the service, hoping not to meet unpleasant surprises in the event of an accident. Otherwise, my interlocutor was pleasant.")</f>
        <v>For the moment, I am satisfied with the service, hoping not to meet unpleasant surprises in the event of an accident. Otherwise, my interlocutor was pleasant.</v>
      </c>
    </row>
    <row r="302" ht="15.75" customHeight="1">
      <c r="A302" s="2">
        <v>4.0</v>
      </c>
      <c r="B302" s="2" t="s">
        <v>955</v>
      </c>
      <c r="C302" s="2" t="s">
        <v>956</v>
      </c>
      <c r="D302" s="2" t="s">
        <v>37</v>
      </c>
      <c r="E302" s="2" t="s">
        <v>14</v>
      </c>
      <c r="F302" s="2" t="s">
        <v>15</v>
      </c>
      <c r="G302" s="2" t="s">
        <v>460</v>
      </c>
      <c r="H302" s="2" t="s">
        <v>39</v>
      </c>
      <c r="I302" s="2" t="str">
        <f>IFERROR(__xludf.DUMMYFUNCTION("GOOGLETRANSLATE(C302,""fr"",""en"")"),"Hello
I recommend the olive tree assurance the price and reasonable
I am very satisfied with the platform easy to register I recommend to all worlds :)")</f>
        <v>Hello
I recommend the olive tree assurance the price and reasonable
I am very satisfied with the platform easy to register I recommend to all worlds :)</v>
      </c>
    </row>
    <row r="303" ht="15.75" customHeight="1">
      <c r="A303" s="2">
        <v>3.0</v>
      </c>
      <c r="B303" s="2" t="s">
        <v>957</v>
      </c>
      <c r="C303" s="2" t="s">
        <v>958</v>
      </c>
      <c r="D303" s="2" t="s">
        <v>173</v>
      </c>
      <c r="E303" s="2" t="s">
        <v>32</v>
      </c>
      <c r="F303" s="2" t="s">
        <v>15</v>
      </c>
      <c r="G303" s="2" t="s">
        <v>959</v>
      </c>
      <c r="H303" s="2" t="s">
        <v>107</v>
      </c>
      <c r="I303" s="2" t="str">
        <f>IFERROR(__xludf.DUMMYFUNCTION("GOOGLETRANSLATE(C303,""fr"",""en"")"),"My advisor is Georges.
He informed me well concerning my services for the reimbursement of the fees of podiatrist and osteopath.
Listening person.")</f>
        <v>My advisor is Georges.
He informed me well concerning my services for the reimbursement of the fees of podiatrist and osteopath.
Listening person.</v>
      </c>
    </row>
    <row r="304" ht="15.75" customHeight="1">
      <c r="A304" s="2">
        <v>5.0</v>
      </c>
      <c r="B304" s="2" t="s">
        <v>960</v>
      </c>
      <c r="C304" s="2" t="s">
        <v>961</v>
      </c>
      <c r="D304" s="2" t="s">
        <v>229</v>
      </c>
      <c r="E304" s="2" t="s">
        <v>96</v>
      </c>
      <c r="F304" s="2" t="s">
        <v>15</v>
      </c>
      <c r="G304" s="2" t="s">
        <v>962</v>
      </c>
      <c r="H304" s="2" t="s">
        <v>201</v>
      </c>
      <c r="I304" s="2" t="str">
        <f>IFERROR(__xludf.DUMMYFUNCTION("GOOGLETRANSLATE(C304,""fr"",""en"")"),"Insurance for my part cheap and which rewards each year driving without disaster with drop of price!
The processing of requests in Toulouse was rapid and efficient.
I have never encountered the slightest difficulty and am satisfied")</f>
        <v>Insurance for my part cheap and which rewards each year driving without disaster with drop of price!
The processing of requests in Toulouse was rapid and efficient.
I have never encountered the slightest difficulty and am satisfied</v>
      </c>
    </row>
    <row r="305" ht="15.75" customHeight="1">
      <c r="A305" s="2">
        <v>3.0</v>
      </c>
      <c r="B305" s="2" t="s">
        <v>963</v>
      </c>
      <c r="C305" s="2" t="s">
        <v>964</v>
      </c>
      <c r="D305" s="2" t="s">
        <v>75</v>
      </c>
      <c r="E305" s="2" t="s">
        <v>14</v>
      </c>
      <c r="F305" s="2" t="s">
        <v>15</v>
      </c>
      <c r="G305" s="2" t="s">
        <v>965</v>
      </c>
      <c r="H305" s="2" t="s">
        <v>107</v>
      </c>
      <c r="I305" s="2" t="str">
        <f>IFERROR(__xludf.DUMMYFUNCTION("GOOGLETRANSLATE(C305,""fr"",""en"")"),"Fast and effective. Important franchise, especially for ice breaks. To see over the duration the efficiency of the care in the event of a claim to judge")</f>
        <v>Fast and effective. Important franchise, especially for ice breaks. To see over the duration the efficiency of the care in the event of a claim to judge</v>
      </c>
    </row>
    <row r="306" ht="15.75" customHeight="1">
      <c r="A306" s="2">
        <v>2.0</v>
      </c>
      <c r="B306" s="2" t="s">
        <v>966</v>
      </c>
      <c r="C306" s="2" t="s">
        <v>967</v>
      </c>
      <c r="D306" s="2" t="s">
        <v>242</v>
      </c>
      <c r="E306" s="2" t="s">
        <v>14</v>
      </c>
      <c r="F306" s="2" t="s">
        <v>15</v>
      </c>
      <c r="G306" s="2" t="s">
        <v>968</v>
      </c>
      <c r="H306" s="2" t="s">
        <v>321</v>
      </c>
      <c r="I306" s="2" t="str">
        <f>IFERROR(__xludf.DUMMYFUNCTION("GOOGLETRANSLATE(C306,""fr"",""en"")"),"10 times sending my documents he can't read them he returns to encroach the documents ilisible lol I send them the same company no problem they are just good to take them")</f>
        <v>10 times sending my documents he can't read them he returns to encroach the documents ilisible lol I send them the same company no problem they are just good to take them</v>
      </c>
    </row>
    <row r="307" ht="15.75" customHeight="1">
      <c r="A307" s="2">
        <v>2.0</v>
      </c>
      <c r="B307" s="2" t="s">
        <v>969</v>
      </c>
      <c r="C307" s="2" t="s">
        <v>970</v>
      </c>
      <c r="D307" s="2" t="s">
        <v>55</v>
      </c>
      <c r="E307" s="2" t="s">
        <v>96</v>
      </c>
      <c r="F307" s="2" t="s">
        <v>15</v>
      </c>
      <c r="G307" s="2" t="s">
        <v>971</v>
      </c>
      <c r="H307" s="2" t="s">
        <v>357</v>
      </c>
      <c r="I307" s="2" t="str">
        <f>IFERROR(__xludf.DUMMYFUNCTION("GOOGLETRANSLATE(C307,""fr"",""en"")"),"Hi there
The master word seems to be dichotomy!
A gap, an abyss between commercial communication and the speakers.
I am 56 years old I am at 0.50 Auto &amp; Moto for over 14 years, I had at the MAAF Moto, car, company, personal apartment, children's ap"&amp;"artment, children's scooter ...
A single water damage, and a non -responsible disaster scooter 7 years ago.
No payment incident.
First episode:
I receive a notice of permit suspension for a period of three months.
I declare this to my insurance, a "&amp;"Levallois agency, there being tact, an employee throws me in the face: you are no longer assurable
Very nice after the shock of a license suspension.
After negotiation with the court I prove my good time, I recover my license and 12 points.
Second ep"&amp;"isode:
My daughter buys her first vehicle, she has just obtained her license.
Seeking to optimize the price I ask by phone if it would be possible to ensure the vehicle for my name and to designer my daughter in the second driver.
With still as much co"&amp;"mmercial courtesy. It will be a refusal.
I asked if it could be possible.
I think I use a correct French to say the least!
Faced with this counterproductive attitude I expressed my astonishment to my interlocutor.
Having it that between marketing effo"&amp;"rts and its gross attitude, not in the words used but in the content of the subject, there was a fairly phenomenal delta.
In conclusion
There are locomotives that pull the train and tail wagons with tight brakes!
Finally, having managed sales teams i"&amp;"t seems vital to train your counter agents with a smile.
")</f>
        <v>Hi there
The master word seems to be dichotomy!
A gap, an abyss between commercial communication and the speakers.
I am 56 years old I am at 0.50 Auto &amp; Moto for over 14 years, I had at the MAAF Moto, car, company, personal apartment, children's apartment, children's scooter ...
A single water damage, and a non -responsible disaster scooter 7 years ago.
No payment incident.
First episode:
I receive a notice of permit suspension for a period of three months.
I declare this to my insurance, a Levallois agency, there being tact, an employee throws me in the face: you are no longer assurable
Very nice after the shock of a license suspension.
After negotiation with the court I prove my good time, I recover my license and 12 points.
Second episode:
My daughter buys her first vehicle, she has just obtained her license.
Seeking to optimize the price I ask by phone if it would be possible to ensure the vehicle for my name and to designer my daughter in the second driver.
With still as much commercial courtesy. It will be a refusal.
I asked if it could be possible.
I think I use a correct French to say the least!
Faced with this counterproductive attitude I expressed my astonishment to my interlocutor.
Having it that between marketing efforts and its gross attitude, not in the words used but in the content of the subject, there was a fairly phenomenal delta.
In conclusion
There are locomotives that pull the train and tail wagons with tight brakes!
Finally, having managed sales teams it seems vital to train your counter agents with a smile.
</v>
      </c>
    </row>
    <row r="308" ht="15.75" customHeight="1">
      <c r="A308" s="2">
        <v>5.0</v>
      </c>
      <c r="B308" s="2" t="s">
        <v>972</v>
      </c>
      <c r="C308" s="2" t="s">
        <v>973</v>
      </c>
      <c r="D308" s="2" t="s">
        <v>37</v>
      </c>
      <c r="E308" s="2" t="s">
        <v>14</v>
      </c>
      <c r="F308" s="2" t="s">
        <v>15</v>
      </c>
      <c r="G308" s="2" t="s">
        <v>974</v>
      </c>
      <c r="H308" s="2" t="s">
        <v>98</v>
      </c>
      <c r="I308" s="2" t="str">
        <f>IFERROR(__xludf.DUMMYFUNCTION("GOOGLETRANSLATE(C308,""fr"",""en"")"),"Pleasant and easy to use site; Easy to have a quick and clear quote
On the phone, very friendly and competent person;
CONTRIBUTION PRESSING Quickly
")</f>
        <v>Pleasant and easy to use site; Easy to have a quick and clear quote
On the phone, very friendly and competent person;
CONTRIBUTION PRESSING Quickly
</v>
      </c>
    </row>
    <row r="309" ht="15.75" customHeight="1">
      <c r="A309" s="2">
        <v>1.0</v>
      </c>
      <c r="B309" s="2" t="s">
        <v>975</v>
      </c>
      <c r="C309" s="2" t="s">
        <v>976</v>
      </c>
      <c r="D309" s="2" t="s">
        <v>247</v>
      </c>
      <c r="E309" s="2" t="s">
        <v>32</v>
      </c>
      <c r="F309" s="2" t="s">
        <v>15</v>
      </c>
      <c r="G309" s="2" t="s">
        <v>977</v>
      </c>
      <c r="H309" s="2" t="s">
        <v>44</v>
      </c>
      <c r="I309" s="2" t="str">
        <f>IFERROR(__xludf.DUMMYFUNCTION("GOOGLETRANSLATE(C309,""fr"",""en"")"),"Former student, my contract with the SMEBA finished in August 2019. No more residing in France and no longer being a student I thought the closed affair and the finished samples. It was without counting on Mutuelle Harmonie who recovered the portfolios of"&amp;" the SMEBA regardless of the contracts already completed. It will soon be a year that I have taken without my agreement and despite my requests for termination and full reimbursement. The appeal center is incompetent and the slowness of non -professional "&amp;"treatment. I am outraged to have to fight to recover my money when I have never signed with them.")</f>
        <v>Former student, my contract with the SMEBA finished in August 2019. No more residing in France and no longer being a student I thought the closed affair and the finished samples. It was without counting on Mutuelle Harmonie who recovered the portfolios of the SMEBA regardless of the contracts already completed. It will soon be a year that I have taken without my agreement and despite my requests for termination and full reimbursement. The appeal center is incompetent and the slowness of non -professional treatment. I am outraged to have to fight to recover my money when I have never signed with them.</v>
      </c>
    </row>
    <row r="310" ht="15.75" customHeight="1">
      <c r="A310" s="2">
        <v>3.0</v>
      </c>
      <c r="B310" s="2" t="s">
        <v>978</v>
      </c>
      <c r="C310" s="2" t="s">
        <v>979</v>
      </c>
      <c r="D310" s="2" t="s">
        <v>980</v>
      </c>
      <c r="E310" s="2" t="s">
        <v>21</v>
      </c>
      <c r="F310" s="2" t="s">
        <v>15</v>
      </c>
      <c r="G310" s="2" t="s">
        <v>981</v>
      </c>
      <c r="H310" s="2" t="s">
        <v>402</v>
      </c>
      <c r="I310" s="2" t="str">
        <f>IFERROR(__xludf.DUMMYFUNCTION("GOOGLETRANSLATE(C310,""fr"",""en"")"),"I have never seen insurance with so little regard. Sinister dating from July 4, 2019 not responsible no response to emails to say we will be used in 6 days. 20 to 30 minutes of waiting on the phone MLNLMUN")</f>
        <v>I have never seen insurance with so little regard. Sinister dating from July 4, 2019 not responsible no response to emails to say we will be used in 6 days. 20 to 30 minutes of waiting on the phone MLNLMUN</v>
      </c>
    </row>
    <row r="311" ht="15.75" customHeight="1">
      <c r="A311" s="2">
        <v>1.0</v>
      </c>
      <c r="B311" s="2" t="s">
        <v>982</v>
      </c>
      <c r="C311" s="2" t="s">
        <v>983</v>
      </c>
      <c r="D311" s="2" t="s">
        <v>830</v>
      </c>
      <c r="E311" s="2" t="s">
        <v>32</v>
      </c>
      <c r="F311" s="2" t="s">
        <v>15</v>
      </c>
      <c r="G311" s="2" t="s">
        <v>386</v>
      </c>
      <c r="H311" s="2" t="s">
        <v>193</v>
      </c>
      <c r="I311" s="2" t="str">
        <f>IFERROR(__xludf.DUMMYFUNCTION("GOOGLETRANSLATE(C311,""fr"",""en"")"),"To flee without turning around. Mutual below everything with totally incompetent chiefs who do not even reread the mail addressed and respond to the way.
")</f>
        <v>To flee without turning around. Mutual below everything with totally incompetent chiefs who do not even reread the mail addressed and respond to the way.
</v>
      </c>
    </row>
    <row r="312" ht="15.75" customHeight="1">
      <c r="A312" s="2">
        <v>4.0</v>
      </c>
      <c r="B312" s="2" t="s">
        <v>984</v>
      </c>
      <c r="C312" s="2" t="s">
        <v>985</v>
      </c>
      <c r="D312" s="2" t="s">
        <v>37</v>
      </c>
      <c r="E312" s="2" t="s">
        <v>14</v>
      </c>
      <c r="F312" s="2" t="s">
        <v>15</v>
      </c>
      <c r="G312" s="2" t="s">
        <v>38</v>
      </c>
      <c r="H312" s="2" t="s">
        <v>39</v>
      </c>
      <c r="I312" s="2" t="str">
        <f>IFERROR(__xludf.DUMMYFUNCTION("GOOGLETRANSLATE(C312,""fr"",""en"")"),"I am very satisfied with the phrase of my interlocutor ""the olive assurance"", his professionalism, and his contribution of clear and precise information. The quality/price ratio seems attractive. To see in time.")</f>
        <v>I am very satisfied with the phrase of my interlocutor "the olive assurance", his professionalism, and his contribution of clear and precise information. The quality/price ratio seems attractive. To see in time.</v>
      </c>
    </row>
    <row r="313" ht="15.75" customHeight="1">
      <c r="A313" s="2">
        <v>4.0</v>
      </c>
      <c r="B313" s="2" t="s">
        <v>986</v>
      </c>
      <c r="C313" s="2" t="s">
        <v>987</v>
      </c>
      <c r="D313" s="2" t="s">
        <v>37</v>
      </c>
      <c r="E313" s="2" t="s">
        <v>14</v>
      </c>
      <c r="F313" s="2" t="s">
        <v>15</v>
      </c>
      <c r="G313" s="2" t="s">
        <v>476</v>
      </c>
      <c r="H313" s="2" t="s">
        <v>107</v>
      </c>
      <c r="I313" s="2" t="str">
        <f>IFERROR(__xludf.DUMMYFUNCTION("GOOGLETRANSLATE(C313,""fr"",""en"")"),"I am satisfied with your insurance, your service by phone and your price suited me compared to my first insurance one year ago")</f>
        <v>I am satisfied with your insurance, your service by phone and your price suited me compared to my first insurance one year ago</v>
      </c>
    </row>
    <row r="314" ht="15.75" customHeight="1">
      <c r="A314" s="2">
        <v>1.0</v>
      </c>
      <c r="B314" s="2" t="s">
        <v>988</v>
      </c>
      <c r="C314" s="2" t="s">
        <v>989</v>
      </c>
      <c r="D314" s="2" t="s">
        <v>80</v>
      </c>
      <c r="E314" s="2" t="s">
        <v>81</v>
      </c>
      <c r="F314" s="2" t="s">
        <v>15</v>
      </c>
      <c r="G314" s="2" t="s">
        <v>61</v>
      </c>
      <c r="H314" s="2" t="s">
        <v>61</v>
      </c>
      <c r="I314" s="2" t="str">
        <f>IFERROR(__xludf.DUMMYFUNCTION("GOOGLETRANSLATE(C314,""fr"",""en"")"),"Hello ... I was on sick leave from June 5, 2019 until March 2, 2020 (ALD) ...
Since January 2020 my employer and I have done the necessary to send all the necessary documents so that my file is processed and I can benefit from the salary supplement ...
"&amp;"Excluding since January 2020 (month of the request for service) AG2R has been shot in Bourique .... they do not want to pay? They did not receive the allowances but that after verification they say that yes they received with them there is always a ""but"&amp;""" ...
We are told about if it is an ALD when the term is clearly specifying on the documents ...
All her to drag things ...
Really I do not recommend this insurance ... it's a disaster !!!!!
I intend to call on my legal protection for him to undertak"&amp;"e the legal approach.
")</f>
        <v>Hello ... I was on sick leave from June 5, 2019 until March 2, 2020 (ALD) ...
Since January 2020 my employer and I have done the necessary to send all the necessary documents so that my file is processed and I can benefit from the salary supplement ...
Excluding since January 2020 (month of the request for service) AG2R has been shot in Bourique .... they do not want to pay? They did not receive the allowances but that after verification they say that yes they received with them there is always a "but" ...
We are told about if it is an ALD when the term is clearly specifying on the documents ...
All her to drag things ...
Really I do not recommend this insurance ... it's a disaster !!!!!
I intend to call on my legal protection for him to undertake the legal approach.
</v>
      </c>
    </row>
    <row r="315" ht="15.75" customHeight="1">
      <c r="A315" s="2">
        <v>4.0</v>
      </c>
      <c r="B315" s="2" t="s">
        <v>990</v>
      </c>
      <c r="C315" s="2" t="s">
        <v>991</v>
      </c>
      <c r="D315" s="2" t="s">
        <v>75</v>
      </c>
      <c r="E315" s="2" t="s">
        <v>14</v>
      </c>
      <c r="F315" s="2" t="s">
        <v>15</v>
      </c>
      <c r="G315" s="2" t="s">
        <v>455</v>
      </c>
      <c r="H315" s="2" t="s">
        <v>86</v>
      </c>
      <c r="I315" s="2" t="str">
        <f>IFERROR(__xludf.DUMMYFUNCTION("GOOGLETRANSLATE(C315,""fr"",""en"")"),"I am satisfied with the price and the service, I did not find cheaper as insurance so thank you, I recommend direct insurance to everyone")</f>
        <v>I am satisfied with the price and the service, I did not find cheaper as insurance so thank you, I recommend direct insurance to everyone</v>
      </c>
    </row>
    <row r="316" ht="15.75" customHeight="1">
      <c r="A316" s="2">
        <v>1.0</v>
      </c>
      <c r="B316" s="2" t="s">
        <v>992</v>
      </c>
      <c r="C316" s="2" t="s">
        <v>993</v>
      </c>
      <c r="D316" s="2" t="s">
        <v>152</v>
      </c>
      <c r="E316" s="2" t="s">
        <v>65</v>
      </c>
      <c r="F316" s="2" t="s">
        <v>15</v>
      </c>
      <c r="G316" s="2" t="s">
        <v>994</v>
      </c>
      <c r="H316" s="2" t="s">
        <v>92</v>
      </c>
      <c r="I316" s="2" t="str">
        <f>IFERROR(__xludf.DUMMYFUNCTION("GOOGLETRANSLATE(C316,""fr"",""en"")"),"Need funds to relay before signing the sale of my old apartment, I asked for 50/50 advances on 2 life insurance: 1 at Cardif, 1 at a mutual. After 3 weeks advanced mutual received, after 5 my private bank advisor BNP can no longer ask Cardif where the pay"&amp;"ment of the advance is and no longer know what to say to me. Benin problem when I see what is told on this forum but if it lasts a fortnight I will have a problem to sign the purchase of my new apartment")</f>
        <v>Need funds to relay before signing the sale of my old apartment, I asked for 50/50 advances on 2 life insurance: 1 at Cardif, 1 at a mutual. After 3 weeks advanced mutual received, after 5 my private bank advisor BNP can no longer ask Cardif where the payment of the advance is and no longer know what to say to me. Benin problem when I see what is told on this forum but if it lasts a fortnight I will have a problem to sign the purchase of my new apartment</v>
      </c>
    </row>
    <row r="317" ht="15.75" customHeight="1">
      <c r="A317" s="2">
        <v>3.0</v>
      </c>
      <c r="B317" s="2" t="s">
        <v>995</v>
      </c>
      <c r="C317" s="2" t="s">
        <v>996</v>
      </c>
      <c r="D317" s="2" t="s">
        <v>70</v>
      </c>
      <c r="E317" s="2" t="s">
        <v>14</v>
      </c>
      <c r="F317" s="2" t="s">
        <v>15</v>
      </c>
      <c r="G317" s="2" t="s">
        <v>39</v>
      </c>
      <c r="H317" s="2" t="s">
        <v>39</v>
      </c>
      <c r="I317" s="2" t="str">
        <f>IFERROR(__xludf.DUMMYFUNCTION("GOOGLETRANSLATE(C317,""fr"",""en"")"),"I am satisfied with my contract as well as the price that is asked
I never had problems and I hope it will continue for a long time thank you again")</f>
        <v>I am satisfied with my contract as well as the price that is asked
I never had problems and I hope it will continue for a long time thank you again</v>
      </c>
    </row>
    <row r="318" ht="15.75" customHeight="1">
      <c r="A318" s="2">
        <v>4.0</v>
      </c>
      <c r="B318" s="2" t="s">
        <v>997</v>
      </c>
      <c r="C318" s="2" t="s">
        <v>998</v>
      </c>
      <c r="D318" s="2" t="s">
        <v>221</v>
      </c>
      <c r="E318" s="2" t="s">
        <v>21</v>
      </c>
      <c r="F318" s="2" t="s">
        <v>15</v>
      </c>
      <c r="G318" s="2" t="s">
        <v>999</v>
      </c>
      <c r="H318" s="2" t="s">
        <v>92</v>
      </c>
      <c r="I318" s="2" t="str">
        <f>IFERROR(__xludf.DUMMYFUNCTION("GOOGLETRANSLATE(C318,""fr"",""en"")"),"Customers for two years. Pleasant, competent and easy to reach advisers. We needed them once, for a vandalized cellar door (we were not the only ones of the building to be victims of it, by the way). Good follow -up of the file, good advice, the door was "&amp;"changed (at the expense of the trustee and not in ours as they wanted us to believe: Pacifica to explain to us how to defend us!).")</f>
        <v>Customers for two years. Pleasant, competent and easy to reach advisers. We needed them once, for a vandalized cellar door (we were not the only ones of the building to be victims of it, by the way). Good follow -up of the file, good advice, the door was changed (at the expense of the trustee and not in ours as they wanted us to believe: Pacifica to explain to us how to defend us!).</v>
      </c>
    </row>
    <row r="319" ht="15.75" customHeight="1">
      <c r="A319" s="2">
        <v>4.0</v>
      </c>
      <c r="B319" s="2" t="s">
        <v>1000</v>
      </c>
      <c r="C319" s="2" t="s">
        <v>1001</v>
      </c>
      <c r="D319" s="2" t="s">
        <v>75</v>
      </c>
      <c r="E319" s="2" t="s">
        <v>14</v>
      </c>
      <c r="F319" s="2" t="s">
        <v>15</v>
      </c>
      <c r="G319" s="2" t="s">
        <v>463</v>
      </c>
      <c r="H319" s="2" t="s">
        <v>39</v>
      </c>
      <c r="I319" s="2" t="str">
        <f>IFERROR(__xludf.DUMMYFUNCTION("GOOGLETRANSLATE(C319,""fr"",""en"")")," I am satisfied with the Direct Insurance services at the moment. I have been insured with you for a long time, nothing to report to date. No other things to say.")</f>
        <v> I am satisfied with the Direct Insurance services at the moment. I have been insured with you for a long time, nothing to report to date. No other things to say.</v>
      </c>
    </row>
    <row r="320" ht="15.75" customHeight="1">
      <c r="A320" s="2">
        <v>5.0</v>
      </c>
      <c r="B320" s="2" t="s">
        <v>1002</v>
      </c>
      <c r="C320" s="2" t="s">
        <v>1003</v>
      </c>
      <c r="D320" s="2" t="s">
        <v>75</v>
      </c>
      <c r="E320" s="2" t="s">
        <v>14</v>
      </c>
      <c r="F320" s="2" t="s">
        <v>15</v>
      </c>
      <c r="G320" s="2" t="s">
        <v>1004</v>
      </c>
      <c r="H320" s="2" t="s">
        <v>39</v>
      </c>
      <c r="I320" s="2" t="str">
        <f>IFERROR(__xludf.DUMMYFUNCTION("GOOGLETRANSLATE(C320,""fr"",""en"")"),"Very competitive price, customer service at the top for the moment nothing to complain about. I easily recommend this insurance.
The guarantees are very correct")</f>
        <v>Very competitive price, customer service at the top for the moment nothing to complain about. I easily recommend this insurance.
The guarantees are very correct</v>
      </c>
    </row>
    <row r="321" ht="15.75" customHeight="1">
      <c r="A321" s="2">
        <v>2.0</v>
      </c>
      <c r="B321" s="2" t="s">
        <v>1005</v>
      </c>
      <c r="C321" s="2" t="s">
        <v>1006</v>
      </c>
      <c r="D321" s="2" t="s">
        <v>26</v>
      </c>
      <c r="E321" s="2" t="s">
        <v>14</v>
      </c>
      <c r="F321" s="2" t="s">
        <v>15</v>
      </c>
      <c r="G321" s="2" t="s">
        <v>650</v>
      </c>
      <c r="H321" s="2" t="s">
        <v>125</v>
      </c>
      <c r="I321" s="2" t="str">
        <f>IFERROR(__xludf.DUMMYFUNCTION("GOOGLETRANSLATE(C321,""fr"",""en"")"),"1st when you are called to such, you are put on hold for an unknown reason and no one at such after
2nd despite the many reminders, I am still waiting for the price of my car insurance that I will pay on April 21, no way to date to know despite my visit "&amp;"to the Propriano agency and a relaunch on the phone in Ajaccio")</f>
        <v>1st when you are called to such, you are put on hold for an unknown reason and no one at such after
2nd despite the many reminders, I am still waiting for the price of my car insurance that I will pay on April 21, no way to date to know despite my visit to the Propriano agency and a relaunch on the phone in Ajaccio</v>
      </c>
    </row>
    <row r="322" ht="15.75" customHeight="1">
      <c r="A322" s="2">
        <v>1.0</v>
      </c>
      <c r="B322" s="2" t="s">
        <v>1007</v>
      </c>
      <c r="C322" s="2" t="s">
        <v>1008</v>
      </c>
      <c r="D322" s="2" t="s">
        <v>26</v>
      </c>
      <c r="E322" s="2" t="s">
        <v>96</v>
      </c>
      <c r="F322" s="2" t="s">
        <v>15</v>
      </c>
      <c r="G322" s="2" t="s">
        <v>1009</v>
      </c>
      <c r="H322" s="2" t="s">
        <v>855</v>
      </c>
      <c r="I322" s="2" t="str">
        <f>IFERROR(__xludf.DUMMYFUNCTION("GOOGLETRANSLATE(C322,""fr"",""en"")"),"I note Club 14 and not AXA which is only an intermediary as an agent. . In short, I called Club 14 in Accrord with my agent to have more precision on my future guarantees. .. I was sent to walk by a guinea fowl on the phone ... this one not wanting to ans"&amp;"wer my questions ... like its competitor MM or AVM we have to do with associations and not real insurers. . So imagine the day there is a disaster! !! In short, I will not subscribe to this insurance because the first contact is not encouraged and moreove"&amp;"r the previous comments of other customers are just average")</f>
        <v>I note Club 14 and not AXA which is only an intermediary as an agent. . In short, I called Club 14 in Accrord with my agent to have more precision on my future guarantees. .. I was sent to walk by a guinea fowl on the phone ... this one not wanting to answer my questions ... like its competitor MM or AVM we have to do with associations and not real insurers. . So imagine the day there is a disaster! !! In short, I will not subscribe to this insurance because the first contact is not encouraged and moreover the previous comments of other customers are just average</v>
      </c>
    </row>
    <row r="323" ht="15.75" customHeight="1">
      <c r="A323" s="2">
        <v>4.0</v>
      </c>
      <c r="B323" s="2" t="s">
        <v>1010</v>
      </c>
      <c r="C323" s="2" t="s">
        <v>1011</v>
      </c>
      <c r="D323" s="2" t="s">
        <v>75</v>
      </c>
      <c r="E323" s="2" t="s">
        <v>14</v>
      </c>
      <c r="F323" s="2" t="s">
        <v>15</v>
      </c>
      <c r="G323" s="2" t="s">
        <v>524</v>
      </c>
      <c r="H323" s="2" t="s">
        <v>28</v>
      </c>
      <c r="I323" s="2" t="str">
        <f>IFERROR(__xludf.DUMMYFUNCTION("GOOGLETRANSLATE(C323,""fr"",""en"")"),"I am on the whole satisfied on the other hand concerning your partner to ensure the 2 wheels does not ensure the 50 how do we do it? It is a risk for the insured he can leave elsewhere
")</f>
        <v>I am on the whole satisfied on the other hand concerning your partner to ensure the 2 wheels does not ensure the 50 how do we do it? It is a risk for the insured he can leave elsewhere
</v>
      </c>
    </row>
    <row r="324" ht="15.75" customHeight="1">
      <c r="A324" s="2">
        <v>4.0</v>
      </c>
      <c r="B324" s="2" t="s">
        <v>1012</v>
      </c>
      <c r="C324" s="2" t="s">
        <v>1013</v>
      </c>
      <c r="D324" s="2" t="s">
        <v>37</v>
      </c>
      <c r="E324" s="2" t="s">
        <v>14</v>
      </c>
      <c r="F324" s="2" t="s">
        <v>15</v>
      </c>
      <c r="G324" s="2" t="s">
        <v>226</v>
      </c>
      <c r="H324" s="2" t="s">
        <v>28</v>
      </c>
      <c r="I324" s="2" t="str">
        <f>IFERROR(__xludf.DUMMYFUNCTION("GOOGLETRANSLATE(C324,""fr"",""en"")"),"I am satisfied with your site, fast, simple, and efficient. He convinced me of a new customer at home. QUALITY REPORT PRICE You remain the most competition on the insurance market ...")</f>
        <v>I am satisfied with your site, fast, simple, and efficient. He convinced me of a new customer at home. QUALITY REPORT PRICE You remain the most competition on the insurance market ...</v>
      </c>
    </row>
    <row r="325" ht="15.75" customHeight="1">
      <c r="A325" s="2">
        <v>3.0</v>
      </c>
      <c r="B325" s="2" t="s">
        <v>1014</v>
      </c>
      <c r="C325" s="2" t="s">
        <v>1015</v>
      </c>
      <c r="D325" s="2" t="s">
        <v>37</v>
      </c>
      <c r="E325" s="2" t="s">
        <v>14</v>
      </c>
      <c r="F325" s="2" t="s">
        <v>15</v>
      </c>
      <c r="G325" s="2" t="s">
        <v>236</v>
      </c>
      <c r="H325" s="2" t="s">
        <v>28</v>
      </c>
      <c r="I325" s="2" t="str">
        <f>IFERROR(__xludf.DUMMYFUNCTION("GOOGLETRANSLATE(C325,""fr"",""en"")"),"Correct services.
I am generally satisfied with services. However, I’m still waiting for my green card although I have been taken every month since last August.")</f>
        <v>Correct services.
I am generally satisfied with services. However, I’m still waiting for my green card although I have been taken every month since last August.</v>
      </c>
    </row>
    <row r="326" ht="15.75" customHeight="1">
      <c r="A326" s="2">
        <v>1.0</v>
      </c>
      <c r="B326" s="2" t="s">
        <v>1016</v>
      </c>
      <c r="C326" s="2" t="s">
        <v>1017</v>
      </c>
      <c r="D326" s="2" t="s">
        <v>158</v>
      </c>
      <c r="E326" s="2" t="s">
        <v>14</v>
      </c>
      <c r="F326" s="2" t="s">
        <v>15</v>
      </c>
      <c r="G326" s="2" t="s">
        <v>645</v>
      </c>
      <c r="H326" s="2" t="s">
        <v>193</v>
      </c>
      <c r="I326" s="2" t="str">
        <f>IFERROR(__xludf.DUMMYFUNCTION("GOOGLETRANSLATE(C326,""fr"",""en"")"),"Very bad experience. You have a sinister, super welcome, responsiveness to open a file and then it is just unacceptable because not at all supported with expert intervention and costing very far from reality and when you do with support we tell you to tak"&amp;"e another expert at customer costs for a counter expertise. Very complicated when you have carried out the work. I decided to pay more for my insurance contracts 12 in total. I just ask for a little consideration. I will change insurance.")</f>
        <v>Very bad experience. You have a sinister, super welcome, responsiveness to open a file and then it is just unacceptable because not at all supported with expert intervention and costing very far from reality and when you do with support we tell you to take another expert at customer costs for a counter expertise. Very complicated when you have carried out the work. I decided to pay more for my insurance contracts 12 in total. I just ask for a little consideration. I will change insurance.</v>
      </c>
    </row>
    <row r="327" ht="15.75" customHeight="1">
      <c r="A327" s="2">
        <v>2.0</v>
      </c>
      <c r="B327" s="2" t="s">
        <v>1018</v>
      </c>
      <c r="C327" s="2" t="s">
        <v>1019</v>
      </c>
      <c r="D327" s="2" t="s">
        <v>37</v>
      </c>
      <c r="E327" s="2" t="s">
        <v>14</v>
      </c>
      <c r="F327" s="2" t="s">
        <v>15</v>
      </c>
      <c r="G327" s="2" t="s">
        <v>1020</v>
      </c>
      <c r="H327" s="2" t="s">
        <v>175</v>
      </c>
      <c r="I327" s="2" t="str">
        <f>IFERROR(__xludf.DUMMYFUNCTION("GOOGLETRANSLATE(C327,""fr"",""en"")"),"Well as long as everything is fine. A non -responsible disaster 8 months ago with bodily damage for me, I have been ballad for 4 months for medical expertise that does not happen. No repair of repairs on my vehicle. Sharter monitoring. I do not recommend "&amp;"and leave for insurance that is bundled up.")</f>
        <v>Well as long as everything is fine. A non -responsible disaster 8 months ago with bodily damage for me, I have been ballad for 4 months for medical expertise that does not happen. No repair of repairs on my vehicle. Sharter monitoring. I do not recommend and leave for insurance that is bundled up.</v>
      </c>
    </row>
    <row r="328" ht="15.75" customHeight="1">
      <c r="A328" s="2">
        <v>1.0</v>
      </c>
      <c r="B328" s="2" t="s">
        <v>1021</v>
      </c>
      <c r="C328" s="2" t="s">
        <v>1022</v>
      </c>
      <c r="D328" s="2" t="s">
        <v>101</v>
      </c>
      <c r="E328" s="2" t="s">
        <v>14</v>
      </c>
      <c r="F328" s="2" t="s">
        <v>15</v>
      </c>
      <c r="G328" s="2" t="s">
        <v>1023</v>
      </c>
      <c r="H328" s="2" t="s">
        <v>77</v>
      </c>
      <c r="I328" s="2" t="str">
        <f>IFERROR(__xludf.DUMMYFUNCTION("GOOGLETRANSLATE(C328,""fr"",""en"")"),"Price levels: it is average, there is cheaper with equivalent service elsewhere.
On the other hand, big black points concerning customer service, impossible to the assets on the phone or be very patient, I managed to the assets after 2 days, because afte"&amp;"r 45 minutes of waiting I hung up. In addition if you want to be recalled by going through the website and quite simply they do not remind you.")</f>
        <v>Price levels: it is average, there is cheaper with equivalent service elsewhere.
On the other hand, big black points concerning customer service, impossible to the assets on the phone or be very patient, I managed to the assets after 2 days, because after 45 minutes of waiting I hung up. In addition if you want to be recalled by going through the website and quite simply they do not remind you.</v>
      </c>
    </row>
    <row r="329" ht="15.75" customHeight="1">
      <c r="A329" s="2">
        <v>2.0</v>
      </c>
      <c r="B329" s="2" t="s">
        <v>1024</v>
      </c>
      <c r="C329" s="2" t="s">
        <v>1025</v>
      </c>
      <c r="D329" s="2" t="s">
        <v>394</v>
      </c>
      <c r="E329" s="2" t="s">
        <v>32</v>
      </c>
      <c r="F329" s="2" t="s">
        <v>15</v>
      </c>
      <c r="G329" s="2" t="s">
        <v>1026</v>
      </c>
      <c r="H329" s="2" t="s">
        <v>335</v>
      </c>
      <c r="I329" s="2" t="str">
        <f>IFERROR(__xludf.DUMMYFUNCTION("GOOGLETRANSLATE(C329,""fr"",""en"")"),"Refusal to contain the termination made by another mutual.
After acceptance of termination, he continues to take the mutual amount. To flee!!!!
Apparently does not accept terminations by email ??
And by recommended too ???")</f>
        <v>Refusal to contain the termination made by another mutual.
After acceptance of termination, he continues to take the mutual amount. To flee!!!!
Apparently does not accept terminations by email ??
And by recommended too ???</v>
      </c>
    </row>
    <row r="330" ht="15.75" customHeight="1">
      <c r="A330" s="2">
        <v>5.0</v>
      </c>
      <c r="B330" s="2" t="s">
        <v>1027</v>
      </c>
      <c r="C330" s="2" t="s">
        <v>1028</v>
      </c>
      <c r="D330" s="2" t="s">
        <v>394</v>
      </c>
      <c r="E330" s="2" t="s">
        <v>32</v>
      </c>
      <c r="F330" s="2" t="s">
        <v>15</v>
      </c>
      <c r="G330" s="2" t="s">
        <v>755</v>
      </c>
      <c r="H330" s="2" t="s">
        <v>77</v>
      </c>
      <c r="I330" s="2" t="str">
        <f>IFERROR(__xludf.DUMMYFUNCTION("GOOGLETRANSLATE(C330,""fr"",""en"")"),"I came across a lovable and listening operation very well, she was able to meet my expectations quickly and efficiently.
Thanks to her.
Very very good.")</f>
        <v>I came across a lovable and listening operation very well, she was able to meet my expectations quickly and efficiently.
Thanks to her.
Very very good.</v>
      </c>
    </row>
    <row r="331" ht="15.75" customHeight="1">
      <c r="A331" s="2">
        <v>1.0</v>
      </c>
      <c r="B331" s="2" t="s">
        <v>1029</v>
      </c>
      <c r="C331" s="2" t="s">
        <v>1030</v>
      </c>
      <c r="D331" s="2" t="s">
        <v>324</v>
      </c>
      <c r="E331" s="2" t="s">
        <v>81</v>
      </c>
      <c r="F331" s="2" t="s">
        <v>15</v>
      </c>
      <c r="G331" s="2" t="s">
        <v>1031</v>
      </c>
      <c r="H331" s="2" t="s">
        <v>249</v>
      </c>
      <c r="I331" s="2" t="str">
        <f>IFERROR(__xludf.DUMMYFUNCTION("GOOGLETRANSLATE(C331,""fr"",""en"")"),"It's been 8 months, despite several releasing in single and LR+AR, that I await payment of the capital spared, without any justification, while the samples continue ...
The number of dissatisfied is impressive.
")</f>
        <v>It's been 8 months, despite several releasing in single and LR+AR, that I await payment of the capital spared, without any justification, while the samples continue ...
The number of dissatisfied is impressive.
</v>
      </c>
    </row>
    <row r="332" ht="15.75" customHeight="1">
      <c r="A332" s="2">
        <v>1.0</v>
      </c>
      <c r="B332" s="2" t="s">
        <v>1032</v>
      </c>
      <c r="C332" s="2" t="s">
        <v>1033</v>
      </c>
      <c r="D332" s="2" t="s">
        <v>692</v>
      </c>
      <c r="E332" s="2" t="s">
        <v>14</v>
      </c>
      <c r="F332" s="2" t="s">
        <v>15</v>
      </c>
      <c r="G332" s="2" t="s">
        <v>1034</v>
      </c>
      <c r="H332" s="2" t="s">
        <v>282</v>
      </c>
      <c r="I332" s="2" t="str">
        <f>IFERROR(__xludf.DUMMYFUNCTION("GOOGLETRANSLATE(C332,""fr"",""en"")"),"Two letters of complaint for deplorable management of my file which are sent on May 27 and 29 and still nothing neither response or acknowledgment of receipt The report was returned on June 17 for the settlement of a bodily provision the money is still no"&amp;"t On my account the role of an insurer is to complicate the management of a disaster")</f>
        <v>Two letters of complaint for deplorable management of my file which are sent on May 27 and 29 and still nothing neither response or acknowledgment of receipt The report was returned on June 17 for the settlement of a bodily provision the money is still not On my account the role of an insurer is to complicate the management of a disaster</v>
      </c>
    </row>
    <row r="333" ht="15.75" customHeight="1">
      <c r="A333" s="2">
        <v>5.0</v>
      </c>
      <c r="B333" s="2" t="s">
        <v>1035</v>
      </c>
      <c r="C333" s="2" t="s">
        <v>1036</v>
      </c>
      <c r="D333" s="2" t="s">
        <v>75</v>
      </c>
      <c r="E333" s="2" t="s">
        <v>14</v>
      </c>
      <c r="F333" s="2" t="s">
        <v>15</v>
      </c>
      <c r="G333" s="2" t="s">
        <v>420</v>
      </c>
      <c r="H333" s="2" t="s">
        <v>28</v>
      </c>
      <c r="I333" s="2" t="str">
        <f>IFERROR(__xludf.DUMMYFUNCTION("GOOGLETRANSLATE(C333,""fr"",""en"")"),"I am satisfied with my car insurance, the prices are very satisfactory
I recommend this insurance
Highly qualified advisable
Thank you
")</f>
        <v>I am satisfied with my car insurance, the prices are very satisfactory
I recommend this insurance
Highly qualified advisable
Thank you
</v>
      </c>
    </row>
    <row r="334" ht="15.75" customHeight="1">
      <c r="A334" s="2">
        <v>1.0</v>
      </c>
      <c r="B334" s="2" t="s">
        <v>1037</v>
      </c>
      <c r="C334" s="2" t="s">
        <v>1038</v>
      </c>
      <c r="D334" s="2" t="s">
        <v>42</v>
      </c>
      <c r="E334" s="2" t="s">
        <v>32</v>
      </c>
      <c r="F334" s="2" t="s">
        <v>15</v>
      </c>
      <c r="G334" s="2" t="s">
        <v>1039</v>
      </c>
      <c r="H334" s="2" t="s">
        <v>39</v>
      </c>
      <c r="I334" s="2" t="str">
        <f>IFERROR(__xludf.DUMMYFUNCTION("GOOGLETRANSLATE(C334,""fr"",""en"")"),"Thank you to the MGEN for all the gallers we have faced from the COVVID. Impossible to have a certificate since not on Améli. Tip: we can get it in some pharmacies that perform tests! (Tip learned on this forum, thank you Internet users, more aware than o"&amp;"ur mutual). No reception of SMS SIPEP to attach the certificates on the all anticovid app, so we travel with the paper results, being convinced that there will be a few clashes!
It is high time that the MGEN ceases to manage our social security !!! And t"&amp;"hat we can be registered on Ameli! We are also returned to France Connect, the gas factory that does not work (does not recognize my email, but tells me that this email is already attributed when I want to recreate an account !!!). Thank you MGEN! (I put "&amp;"1 star because we couldn't put 0)")</f>
        <v>Thank you to the MGEN for all the gallers we have faced from the COVVID. Impossible to have a certificate since not on Améli. Tip: we can get it in some pharmacies that perform tests! (Tip learned on this forum, thank you Internet users, more aware than our mutual). No reception of SMS SIPEP to attach the certificates on the all anticovid app, so we travel with the paper results, being convinced that there will be a few clashes!
It is high time that the MGEN ceases to manage our social security !!! And that we can be registered on Ameli! We are also returned to France Connect, the gas factory that does not work (does not recognize my email, but tells me that this email is already attributed when I want to recreate an account !!!). Thank you MGEN! (I put 1 star because we couldn't put 0)</v>
      </c>
    </row>
    <row r="335" ht="15.75" customHeight="1">
      <c r="A335" s="2">
        <v>1.0</v>
      </c>
      <c r="B335" s="2" t="s">
        <v>1040</v>
      </c>
      <c r="C335" s="2" t="s">
        <v>1041</v>
      </c>
      <c r="D335" s="2" t="s">
        <v>221</v>
      </c>
      <c r="E335" s="2" t="s">
        <v>21</v>
      </c>
      <c r="F335" s="2" t="s">
        <v>15</v>
      </c>
      <c r="G335" s="2" t="s">
        <v>1042</v>
      </c>
      <c r="H335" s="2" t="s">
        <v>508</v>
      </c>
      <c r="I335" s="2" t="str">
        <f>IFERROR(__xludf.DUMMYFUNCTION("GOOGLETRANSLATE(C335,""fr"",""en"")"),"Object Recovery Dismarant Dossier of 15 04 2017
Ref 4373762907 S01 Cly
Dear
On June 09, 2017 I sent you a first letter, to which you gave me a laconic response and wish to tell me that your attention was paid on my file that it would be under study"&amp;" and would lead to an answer in the most promptly
Your mail was dated June 12, 2017 and this day despite my telephone call from June 19 I still have no information
The absence of answers and the vagueness in which you leave me are not without impact on "&amp;"me because it weighs me and literally leaves me in suspension and affects me on a daily basis causing permanent stress
I told you my tranquility in the event of problems related to my home and I still find myself in great distress because you do not seem"&amp;" to wear any empathy in the processing of your files and do not know how to watch goodness
I send you this ultimate disarray by asking you to free myself from this psychological dependence you have on me and get me out of this daily cycle hanged on an ex"&amp;"pectation of response that still does not come
All everyday gestures attach me to you and my powerlessness to go ahead because I have been blocked at 15042017 What are the values ​​that you wear independently of the economic dimension what interest do yo"&amp;"u wear in human consideration J 'I need your answer to know what to do you have the expert report for several weeks you have not produced any response to me to exercise my rights
Read me, please
")</f>
        <v>Object Recovery Dismarant Dossier of 15 04 2017
Ref 4373762907 S01 Cly
Dear
On June 09, 2017 I sent you a first letter, to which you gave me a laconic response and wish to tell me that your attention was paid on my file that it would be under study and would lead to an answer in the most promptly
Your mail was dated June 12, 2017 and this day despite my telephone call from June 19 I still have no information
The absence of answers and the vagueness in which you leave me are not without impact on me because it weighs me and literally leaves me in suspension and affects me on a daily basis causing permanent stress
I told you my tranquility in the event of problems related to my home and I still find myself in great distress because you do not seem to wear any empathy in the processing of your files and do not know how to watch goodness
I send you this ultimate disarray by asking you to free myself from this psychological dependence you have on me and get me out of this daily cycle hanged on an expectation of response that still does not come
All everyday gestures attach me to you and my powerlessness to go ahead because I have been blocked at 15042017 What are the values ​​that you wear independently of the economic dimension what interest do you wear in human consideration J 'I need your answer to know what to do you have the expert report for several weeks you have not produced any response to me to exercise my rights
Read me, please
</v>
      </c>
    </row>
    <row r="336" ht="15.75" customHeight="1">
      <c r="A336" s="2">
        <v>5.0</v>
      </c>
      <c r="B336" s="2" t="s">
        <v>1043</v>
      </c>
      <c r="C336" s="2" t="s">
        <v>1044</v>
      </c>
      <c r="D336" s="2" t="s">
        <v>37</v>
      </c>
      <c r="E336" s="2" t="s">
        <v>14</v>
      </c>
      <c r="F336" s="2" t="s">
        <v>15</v>
      </c>
      <c r="G336" s="2" t="s">
        <v>1045</v>
      </c>
      <c r="H336" s="2" t="s">
        <v>44</v>
      </c>
      <c r="I336" s="2" t="str">
        <f>IFERROR(__xludf.DUMMYFUNCTION("GOOGLETRANSLATE(C336,""fr"",""en"")"),"I have been insured for 3 years at the Olivier Insurance Auto. And frankly, I am super satisfied. I have a third -party comfort + pack that relieves me from all stress if I broke out of car, anywhere. Customer service is great and always listening.")</f>
        <v>I have been insured for 3 years at the Olivier Insurance Auto. And frankly, I am super satisfied. I have a third -party comfort + pack that relieves me from all stress if I broke out of car, anywhere. Customer service is great and always listening.</v>
      </c>
    </row>
    <row r="337" ht="15.75" customHeight="1">
      <c r="A337" s="2">
        <v>1.0</v>
      </c>
      <c r="B337" s="2" t="s">
        <v>1046</v>
      </c>
      <c r="C337" s="2" t="s">
        <v>1047</v>
      </c>
      <c r="D337" s="2" t="s">
        <v>13</v>
      </c>
      <c r="E337" s="2" t="s">
        <v>14</v>
      </c>
      <c r="F337" s="2" t="s">
        <v>15</v>
      </c>
      <c r="G337" s="2" t="s">
        <v>1048</v>
      </c>
      <c r="H337" s="2" t="s">
        <v>193</v>
      </c>
      <c r="I337" s="2" t="str">
        <f>IFERROR(__xludf.DUMMYFUNCTION("GOOGLETRANSLATE(C337,""fr"",""en"")"),"I sent an email by subjecting a question because I did not want to do 25 km to move to the agency. A advisor contacted me by offering me an RV. I refused by asking her to answer my question but she answered me to be incapable and have to take an RV with a"&amp;"n agency advisor ..... forced and forced to do the 25 km a/r, I Am in the end (as I was pre -shed) moved for nothing since the advisor could, either, answer my question. On the other hand, he insisted heavily to sell me a savings contract (which I refused"&amp;") and wanted to know the conditions of my car insurance that he did not have (not insured at the Macif) ... ..rof, loss of time, unnecessary displacement and I finally found an answer to my question on the internet ....
A week later, I had the curiosit"&amp;"y to establish an auto quote on their site. Barely, I looked at the different options that the Macif phoned me because I was doing a quote ...
My opinion: We set up RV to fill the planning of agency advisers, aggressive commercial approach from the mom"&amp;"ent you consult their different offers on their site. As far as I'm concerned, it's unacceptable")</f>
        <v>I sent an email by subjecting a question because I did not want to do 25 km to move to the agency. A advisor contacted me by offering me an RV. I refused by asking her to answer my question but she answered me to be incapable and have to take an RV with an agency advisor ..... forced and forced to do the 25 km a/r, I Am in the end (as I was pre -shed) moved for nothing since the advisor could, either, answer my question. On the other hand, he insisted heavily to sell me a savings contract (which I refused) and wanted to know the conditions of my car insurance that he did not have (not insured at the Macif) ... ..rof, loss of time, unnecessary displacement and I finally found an answer to my question on the internet ....
A week later, I had the curiosity to establish an auto quote on their site. Barely, I looked at the different options that the Macif phoned me because I was doing a quote ...
My opinion: We set up RV to fill the planning of agency advisers, aggressive commercial approach from the moment you consult their different offers on their site. As far as I'm concerned, it's unacceptable</v>
      </c>
    </row>
    <row r="338" ht="15.75" customHeight="1">
      <c r="A338" s="2">
        <v>1.0</v>
      </c>
      <c r="B338" s="2" t="s">
        <v>1049</v>
      </c>
      <c r="C338" s="2" t="s">
        <v>1050</v>
      </c>
      <c r="D338" s="2" t="s">
        <v>830</v>
      </c>
      <c r="E338" s="2" t="s">
        <v>32</v>
      </c>
      <c r="F338" s="2" t="s">
        <v>15</v>
      </c>
      <c r="G338" s="2" t="s">
        <v>1051</v>
      </c>
      <c r="H338" s="2" t="s">
        <v>186</v>
      </c>
      <c r="I338" s="2" t="str">
        <f>IFERROR(__xludf.DUMMYFUNCTION("GOOGLETRANSLATE(C338,""fr"",""en"")"),"- Telephone approach to the customer (preferably aged)
-Pretext name change of the current mutual insurance company, it is then necessary to validate this change by the signature (electronic it goes from either it is faster ...) of said customer, who doe"&amp;"s not have this means of communication, than that Do not hold, the telephone numbers of a family member, equipped with him, will do the trick.
The said member: a child in my case, signs the document without distrust, believing also to speak, but wrongly "&amp;"that it is simply a banal formality (you have to be serious all the same !!) at that time , do not plague the fountain and its crow but everything is cooked ... Where is ethics?")</f>
        <v>- Telephone approach to the customer (preferably aged)
-Pretext name change of the current mutual insurance company, it is then necessary to validate this change by the signature (electronic it goes from either it is faster ...) of said customer, who does not have this means of communication, than that Do not hold, the telephone numbers of a family member, equipped with him, will do the trick.
The said member: a child in my case, signs the document without distrust, believing also to speak, but wrongly that it is simply a banal formality (you have to be serious all the same !!) at that time , do not plague the fountain and its crow but everything is cooked ... Where is ethics?</v>
      </c>
    </row>
    <row r="339" ht="15.75" customHeight="1">
      <c r="A339" s="2">
        <v>4.0</v>
      </c>
      <c r="B339" s="2" t="s">
        <v>1052</v>
      </c>
      <c r="C339" s="2" t="s">
        <v>1053</v>
      </c>
      <c r="D339" s="2" t="s">
        <v>37</v>
      </c>
      <c r="E339" s="2" t="s">
        <v>14</v>
      </c>
      <c r="F339" s="2" t="s">
        <v>15</v>
      </c>
      <c r="G339" s="2" t="s">
        <v>1054</v>
      </c>
      <c r="H339" s="2" t="s">
        <v>111</v>
      </c>
      <c r="I339" s="2" t="str">
        <f>IFERROR(__xludf.DUMMYFUNCTION("GOOGLETRANSLATE(C339,""fr"",""en"")"),"rather satisfied but impossible to put a rib n26 which begins with !!
This limitation is annoying for us!
The price range is correct now you have to see the quality of the service if there is a sinister.
Cordially")</f>
        <v>rather satisfied but impossible to put a rib n26 which begins with !!
This limitation is annoying for us!
The price range is correct now you have to see the quality of the service if there is a sinister.
Cordially</v>
      </c>
    </row>
    <row r="340" ht="15.75" customHeight="1">
      <c r="A340" s="2">
        <v>4.0</v>
      </c>
      <c r="B340" s="2" t="s">
        <v>1055</v>
      </c>
      <c r="C340" s="2" t="s">
        <v>1056</v>
      </c>
      <c r="D340" s="2" t="s">
        <v>37</v>
      </c>
      <c r="E340" s="2" t="s">
        <v>14</v>
      </c>
      <c r="F340" s="2" t="s">
        <v>15</v>
      </c>
      <c r="G340" s="2" t="s">
        <v>317</v>
      </c>
      <c r="H340" s="2" t="s">
        <v>39</v>
      </c>
      <c r="I340" s="2" t="str">
        <f>IFERROR(__xludf.DUMMYFUNCTION("GOOGLETRANSLATE(C340,""fr"",""en"")"),"Nothing to say, simple practice and correct price. Clear responses and very welcome.
See for use and in the event of a disaster but for the moment everything happens correctly")</f>
        <v>Nothing to say, simple practice and correct price. Clear responses and very welcome.
See for use and in the event of a disaster but for the moment everything happens correctly</v>
      </c>
    </row>
    <row r="341" ht="15.75" customHeight="1">
      <c r="A341" s="2">
        <v>5.0</v>
      </c>
      <c r="B341" s="2" t="s">
        <v>1057</v>
      </c>
      <c r="C341" s="2" t="s">
        <v>1058</v>
      </c>
      <c r="D341" s="2" t="s">
        <v>37</v>
      </c>
      <c r="E341" s="2" t="s">
        <v>14</v>
      </c>
      <c r="F341" s="2" t="s">
        <v>15</v>
      </c>
      <c r="G341" s="2" t="s">
        <v>1059</v>
      </c>
      <c r="H341" s="2" t="s">
        <v>98</v>
      </c>
      <c r="I341" s="2" t="str">
        <f>IFERROR(__xludf.DUMMYFUNCTION("GOOGLETRANSLATE(C341,""fr"",""en"")"),"Registration for this insurance is fast, it is effective. And compared to other insurances (much cheaper) I paid double with a competitor for a former contract.")</f>
        <v>Registration for this insurance is fast, it is effective. And compared to other insurances (much cheaper) I paid double with a competitor for a former contract.</v>
      </c>
    </row>
    <row r="342" ht="15.75" customHeight="1">
      <c r="A342" s="2">
        <v>2.0</v>
      </c>
      <c r="B342" s="2" t="s">
        <v>1060</v>
      </c>
      <c r="C342" s="2" t="s">
        <v>1061</v>
      </c>
      <c r="D342" s="2" t="s">
        <v>37</v>
      </c>
      <c r="E342" s="2" t="s">
        <v>14</v>
      </c>
      <c r="F342" s="2" t="s">
        <v>15</v>
      </c>
      <c r="G342" s="2" t="s">
        <v>317</v>
      </c>
      <c r="H342" s="2" t="s">
        <v>39</v>
      </c>
      <c r="I342" s="2" t="str">
        <f>IFERROR(__xludf.DUMMYFUNCTION("GOOGLETRANSLATE(C342,""fr"",""en"")"),"Too much quotation tax! You must notify before paying and include it in the quote, telephone customer service is very average, fortunately you stay in a medium level price level")</f>
        <v>Too much quotation tax! You must notify before paying and include it in the quote, telephone customer service is very average, fortunately you stay in a medium level price level</v>
      </c>
    </row>
    <row r="343" ht="15.75" customHeight="1">
      <c r="A343" s="2">
        <v>1.0</v>
      </c>
      <c r="B343" s="2" t="s">
        <v>1062</v>
      </c>
      <c r="C343" s="2" t="s">
        <v>1063</v>
      </c>
      <c r="D343" s="2" t="s">
        <v>158</v>
      </c>
      <c r="E343" s="2" t="s">
        <v>14</v>
      </c>
      <c r="F343" s="2" t="s">
        <v>15</v>
      </c>
      <c r="G343" s="2" t="s">
        <v>564</v>
      </c>
      <c r="H343" s="2" t="s">
        <v>565</v>
      </c>
      <c r="I343" s="2" t="str">
        <f>IFERROR(__xludf.DUMMYFUNCTION("GOOGLETRANSLATE(C343,""fr"",""en"")"),"Affected by cancer, I pretend my 4/4 to my daughter to go to the snow on the February holidays. I recover it striped following shovels for deneiger and with a damaged grille. The vehicle did not move for an entire week of the parking lot innocently I make"&amp;" a declaration to the maif which asks my daughter his declaration, which is done. It was only yesterday that I finally had the response from the MAIF. Figure as an author a person that I do not know what shows the way whose declaration of my daughter was "&amp;"read or rather read by the person responsible for the file then a refusal to take care of damage despite the formula ""all risks "". The mail of the disaster manager is dismaying; Act of intentional vandalism, vehicle not stationed for the grille etc ...."&amp;" a report of the report of experts at least curious who judges, which is not in my opinion his role. So if you smear your vehicle you express it to scratch it !! And if you are damaged the front it is because you roll. Conclusion Refusal of care. 35 years"&amp;" of insurance, 50% bonus and sums paid for nothing. No solidarity, the fraternity represented in the Maif triangle are a lie and we must ask the question of the conflict of interest between expertise and insurers' firms as well as the directives given to "&amp;"limit care. Multiply 700 euros per 32 and it will be the amount that I have been stupidly paid so that the only claim is not reimbursed. Thank you to the MAIF for not putting its laconic comment. I think to contact Julien Courbet as a consumer who feels i"&amp;"njured")</f>
        <v>Affected by cancer, I pretend my 4/4 to my daughter to go to the snow on the February holidays. I recover it striped following shovels for deneiger and with a damaged grille. The vehicle did not move for an entire week of the parking lot innocently I make a declaration to the maif which asks my daughter his declaration, which is done. It was only yesterday that I finally had the response from the MAIF. Figure as an author a person that I do not know what shows the way whose declaration of my daughter was read or rather read by the person responsible for the file then a refusal to take care of damage despite the formula "all risks ". The mail of the disaster manager is dismaying; Act of intentional vandalism, vehicle not stationed for the grille etc .... a report of the report of experts at least curious who judges, which is not in my opinion his role. So if you smear your vehicle you express it to scratch it !! And if you are damaged the front it is because you roll. Conclusion Refusal of care. 35 years of insurance, 50% bonus and sums paid for nothing. No solidarity, the fraternity represented in the Maif triangle are a lie and we must ask the question of the conflict of interest between expertise and insurers' firms as well as the directives given to limit care. Multiply 700 euros per 32 and it will be the amount that I have been stupidly paid so that the only claim is not reimbursed. Thank you to the MAIF for not putting its laconic comment. I think to contact Julien Courbet as a consumer who feels injured</v>
      </c>
    </row>
    <row r="344" ht="15.75" customHeight="1">
      <c r="A344" s="2">
        <v>2.0</v>
      </c>
      <c r="B344" s="2" t="s">
        <v>1064</v>
      </c>
      <c r="C344" s="2" t="s">
        <v>1065</v>
      </c>
      <c r="D344" s="2" t="s">
        <v>70</v>
      </c>
      <c r="E344" s="2" t="s">
        <v>14</v>
      </c>
      <c r="F344" s="2" t="s">
        <v>15</v>
      </c>
      <c r="G344" s="2" t="s">
        <v>1066</v>
      </c>
      <c r="H344" s="2" t="s">
        <v>155</v>
      </c>
      <c r="I344" s="2" t="str">
        <f>IFERROR(__xludf.DUMMYFUNCTION("GOOGLETRANSLATE(C344,""fr"",""en"")"),"An ice break Two non -responsible accidents which gives that I am remain like a dog and I have a good bonus the gmf quibse boasting of being human is total hypocrisy")</f>
        <v>An ice break Two non -responsible accidents which gives that I am remain like a dog and I have a good bonus the gmf quibse boasting of being human is total hypocrisy</v>
      </c>
    </row>
    <row r="345" ht="15.75" customHeight="1">
      <c r="A345" s="2">
        <v>5.0</v>
      </c>
      <c r="B345" s="2" t="s">
        <v>1067</v>
      </c>
      <c r="C345" s="2" t="s">
        <v>1068</v>
      </c>
      <c r="D345" s="2" t="s">
        <v>95</v>
      </c>
      <c r="E345" s="2" t="s">
        <v>96</v>
      </c>
      <c r="F345" s="2" t="s">
        <v>15</v>
      </c>
      <c r="G345" s="2" t="s">
        <v>1069</v>
      </c>
      <c r="H345" s="2" t="s">
        <v>86</v>
      </c>
      <c r="I345" s="2" t="str">
        <f>IFERROR(__xludf.DUMMYFUNCTION("GOOGLETRANSLATE(C345,""fr"",""en"")"),"Satisfied with the service while waiting to have an advisor for details concerning option or other changes so confirmed but the prices are attractive.")</f>
        <v>Satisfied with the service while waiting to have an advisor for details concerning option or other changes so confirmed but the prices are attractive.</v>
      </c>
    </row>
    <row r="346" ht="15.75" customHeight="1">
      <c r="A346" s="2">
        <v>5.0</v>
      </c>
      <c r="B346" s="2" t="s">
        <v>1070</v>
      </c>
      <c r="C346" s="2" t="s">
        <v>1071</v>
      </c>
      <c r="D346" s="2" t="s">
        <v>75</v>
      </c>
      <c r="E346" s="2" t="s">
        <v>14</v>
      </c>
      <c r="F346" s="2" t="s">
        <v>15</v>
      </c>
      <c r="G346" s="2" t="s">
        <v>138</v>
      </c>
      <c r="H346" s="2" t="s">
        <v>39</v>
      </c>
      <c r="I346" s="2" t="str">
        <f>IFERROR(__xludf.DUMMYFUNCTION("GOOGLETRANSLATE(C346,""fr"",""en"")"),"I am very satisfied with the level of the service, the quality of the service prete to the customer and the price suits me is perfectly ..., ..
.....")</f>
        <v>I am very satisfied with the level of the service, the quality of the service prete to the customer and the price suits me is perfectly ..., ..
.....</v>
      </c>
    </row>
    <row r="347" ht="15.75" customHeight="1">
      <c r="A347" s="2">
        <v>5.0</v>
      </c>
      <c r="B347" s="2" t="s">
        <v>1072</v>
      </c>
      <c r="C347" s="2" t="s">
        <v>1073</v>
      </c>
      <c r="D347" s="2" t="s">
        <v>830</v>
      </c>
      <c r="E347" s="2" t="s">
        <v>32</v>
      </c>
      <c r="F347" s="2" t="s">
        <v>15</v>
      </c>
      <c r="G347" s="2" t="s">
        <v>944</v>
      </c>
      <c r="H347" s="2" t="s">
        <v>111</v>
      </c>
      <c r="I347" s="2" t="str">
        <f>IFERROR(__xludf.DUMMYFUNCTION("GOOGLETRANSLATE(C347,""fr"",""en"")"),"I think I am satisfied in the following days as for my mutual! It’s very simple to create one. Easy to access and creation. The prices are affordable.")</f>
        <v>I think I am satisfied in the following days as for my mutual! It’s very simple to create one. Easy to access and creation. The prices are affordable.</v>
      </c>
    </row>
    <row r="348" ht="15.75" customHeight="1">
      <c r="A348" s="2">
        <v>1.0</v>
      </c>
      <c r="B348" s="2" t="s">
        <v>1074</v>
      </c>
      <c r="C348" s="2" t="s">
        <v>1075</v>
      </c>
      <c r="D348" s="2" t="s">
        <v>173</v>
      </c>
      <c r="E348" s="2" t="s">
        <v>32</v>
      </c>
      <c r="F348" s="2" t="s">
        <v>15</v>
      </c>
      <c r="G348" s="2" t="s">
        <v>1076</v>
      </c>
      <c r="H348" s="2" t="s">
        <v>86</v>
      </c>
      <c r="I348" s="2" t="str">
        <f>IFERROR(__xludf.DUMMYFUNCTION("GOOGLETRANSLATE(C348,""fr"",""en"")"),"No refund if you do not send all of all the invoices even with a general practitioner ....
Santiane replies that they do not know the share that we have paid !!!!!
However, social security regularly sends me the reimbursement slips by specifying transmi"&amp;"ssion made to your mutual insurance company .... a scandal to flee absolutely.
I send this day my request for termination at least they will not be able to say that they do not have it !!!!!
")</f>
        <v>No refund if you do not send all of all the invoices even with a general practitioner ....
Santiane replies that they do not know the share that we have paid !!!!!
However, social security regularly sends me the reimbursement slips by specifying transmission made to your mutual insurance company .... a scandal to flee absolutely.
I send this day my request for termination at least they will not be able to say that they do not have it !!!!!
</v>
      </c>
    </row>
    <row r="349" ht="15.75" customHeight="1">
      <c r="A349" s="2">
        <v>4.0</v>
      </c>
      <c r="B349" s="2" t="s">
        <v>1077</v>
      </c>
      <c r="C349" s="2" t="s">
        <v>1078</v>
      </c>
      <c r="D349" s="2" t="s">
        <v>233</v>
      </c>
      <c r="E349" s="2" t="s">
        <v>32</v>
      </c>
      <c r="F349" s="2" t="s">
        <v>15</v>
      </c>
      <c r="G349" s="2" t="s">
        <v>248</v>
      </c>
      <c r="H349" s="2" t="s">
        <v>249</v>
      </c>
      <c r="I349" s="2" t="str">
        <f>IFERROR(__xludf.DUMMYFUNCTION("GOOGLETRANSLATE(C349,""fr"",""en"")"),"The cost of the premium is quite high but it is logical in relation to reimbursements of health costs
I have a lot of problems with my connection (incorrect password)
Even after contacting you, no response to my requests for reconnection !!!
")</f>
        <v>The cost of the premium is quite high but it is logical in relation to reimbursements of health costs
I have a lot of problems with my connection (incorrect password)
Even after contacting you, no response to my requests for reconnection !!!
</v>
      </c>
    </row>
    <row r="350" ht="15.75" customHeight="1">
      <c r="A350" s="2">
        <v>3.0</v>
      </c>
      <c r="B350" s="2" t="s">
        <v>1079</v>
      </c>
      <c r="C350" s="2" t="s">
        <v>1080</v>
      </c>
      <c r="D350" s="2" t="s">
        <v>37</v>
      </c>
      <c r="E350" s="2" t="s">
        <v>14</v>
      </c>
      <c r="F350" s="2" t="s">
        <v>15</v>
      </c>
      <c r="G350" s="2" t="s">
        <v>1081</v>
      </c>
      <c r="H350" s="2" t="s">
        <v>28</v>
      </c>
      <c r="I350" s="2" t="str">
        <f>IFERROR(__xludf.DUMMYFUNCTION("GOOGLETRANSLATE(C350,""fr"",""en"")"),"Hello, having many auto contracts, a sustainable discount would be appreciable.
Always surprising, the prices offered on the internet and prices offered by the advisor are different, for the same vehicle")</f>
        <v>Hello, having many auto contracts, a sustainable discount would be appreciable.
Always surprising, the prices offered on the internet and prices offered by the advisor are different, for the same vehicle</v>
      </c>
    </row>
    <row r="351" ht="15.75" customHeight="1">
      <c r="A351" s="2">
        <v>4.0</v>
      </c>
      <c r="B351" s="2" t="s">
        <v>1082</v>
      </c>
      <c r="C351" s="2" t="s">
        <v>1083</v>
      </c>
      <c r="D351" s="2" t="s">
        <v>37</v>
      </c>
      <c r="E351" s="2" t="s">
        <v>14</v>
      </c>
      <c r="F351" s="2" t="s">
        <v>15</v>
      </c>
      <c r="G351" s="2" t="s">
        <v>98</v>
      </c>
      <c r="H351" s="2" t="s">
        <v>98</v>
      </c>
      <c r="I351" s="2" t="str">
        <f>IFERROR(__xludf.DUMMYFUNCTION("GOOGLETRANSLATE(C351,""fr"",""en"")"),"I am delighted to subscribe again for a second vehicle. Internet subscription level not too simple but it still works price level is reasonable.")</f>
        <v>I am delighted to subscribe again for a second vehicle. Internet subscription level not too simple but it still works price level is reasonable.</v>
      </c>
    </row>
    <row r="352" ht="15.75" customHeight="1">
      <c r="A352" s="2">
        <v>3.0</v>
      </c>
      <c r="B352" s="2" t="s">
        <v>1084</v>
      </c>
      <c r="C352" s="2" t="s">
        <v>1085</v>
      </c>
      <c r="D352" s="2" t="s">
        <v>75</v>
      </c>
      <c r="E352" s="2" t="s">
        <v>14</v>
      </c>
      <c r="F352" s="2" t="s">
        <v>15</v>
      </c>
      <c r="G352" s="2" t="s">
        <v>317</v>
      </c>
      <c r="H352" s="2" t="s">
        <v>39</v>
      </c>
      <c r="I352" s="2" t="str">
        <f>IFERROR(__xludf.DUMMYFUNCTION("GOOGLETRANSLATE(C352,""fr"",""en"")"),"Hello,
The subscription on the site is simple and clear, with a distinction of optional guarantees.
Perfect, nothing to add.
Thank you Direct Assurances")</f>
        <v>Hello,
The subscription on the site is simple and clear, with a distinction of optional guarantees.
Perfect, nothing to add.
Thank you Direct Assurances</v>
      </c>
    </row>
    <row r="353" ht="15.75" customHeight="1">
      <c r="A353" s="2">
        <v>1.0</v>
      </c>
      <c r="B353" s="2" t="s">
        <v>1086</v>
      </c>
      <c r="C353" s="2" t="s">
        <v>1087</v>
      </c>
      <c r="D353" s="2" t="s">
        <v>101</v>
      </c>
      <c r="E353" s="2" t="s">
        <v>21</v>
      </c>
      <c r="F353" s="2" t="s">
        <v>15</v>
      </c>
      <c r="G353" s="2" t="s">
        <v>1088</v>
      </c>
      <c r="H353" s="2" t="s">
        <v>501</v>
      </c>
      <c r="I353" s="2" t="str">
        <f>IFERROR(__xludf.DUMMYFUNCTION("GOOGLETRANSLATE(C353,""fr"",""en"")"),"I have been trying to reach Allianz for exactly 46 minutes. Each time I am sent from one service to another, from one number to another with 15 minutes of waiting each time well. . When I am not blocked on the nose ... I call for a transfer problem of thr"&amp;"ee times the price of my subscription, where my bad note for the price too, which is basic indeed inexpensive. . But OK..")</f>
        <v>I have been trying to reach Allianz for exactly 46 minutes. Each time I am sent from one service to another, from one number to another with 15 minutes of waiting each time well. . When I am not blocked on the nose ... I call for a transfer problem of three times the price of my subscription, where my bad note for the price too, which is basic indeed inexpensive. . But OK..</v>
      </c>
    </row>
    <row r="354" ht="15.75" customHeight="1">
      <c r="A354" s="2">
        <v>2.0</v>
      </c>
      <c r="B354" s="2" t="s">
        <v>1089</v>
      </c>
      <c r="C354" s="2" t="s">
        <v>1090</v>
      </c>
      <c r="D354" s="2" t="s">
        <v>31</v>
      </c>
      <c r="E354" s="2" t="s">
        <v>32</v>
      </c>
      <c r="F354" s="2" t="s">
        <v>15</v>
      </c>
      <c r="G354" s="2" t="s">
        <v>1091</v>
      </c>
      <c r="H354" s="2" t="s">
        <v>677</v>
      </c>
      <c r="I354" s="2" t="str">
        <f>IFERROR(__xludf.DUMMYFUNCTION("GOOGLETRANSLATE(C354,""fr"",""en"")"),"Hello
I have been asking for explanations on partial reimbursements for months .... This mutual a deaf ear to all my requests. Impossible to match with a person and join someone live .. I absolutely decide you.")</f>
        <v>Hello
I have been asking for explanations on partial reimbursements for months .... This mutual a deaf ear to all my requests. Impossible to match with a person and join someone live .. I absolutely decide you.</v>
      </c>
    </row>
    <row r="355" ht="15.75" customHeight="1">
      <c r="A355" s="2">
        <v>1.0</v>
      </c>
      <c r="B355" s="2" t="s">
        <v>1092</v>
      </c>
      <c r="C355" s="2" t="s">
        <v>1093</v>
      </c>
      <c r="D355" s="2" t="s">
        <v>26</v>
      </c>
      <c r="E355" s="2" t="s">
        <v>81</v>
      </c>
      <c r="F355" s="2" t="s">
        <v>15</v>
      </c>
      <c r="G355" s="2" t="s">
        <v>1094</v>
      </c>
      <c r="H355" s="2" t="s">
        <v>321</v>
      </c>
      <c r="I355" s="2" t="str">
        <f>IFERROR(__xludf.DUMMYFUNCTION("GOOGLETRANSLATE(C355,""fr"",""en"")"),"My husband has died since January 2020. AXA owes him a death capital and to date, no news. Being an employee I must go through the human resources of his company being on a permanent contract and benefited from a retirement job, he contributed for health "&amp;"provident. I find it ashamed that its death capital is not settled to date. We leave the bereaved family in big problems as always.")</f>
        <v>My husband has died since January 2020. AXA owes him a death capital and to date, no news. Being an employee I must go through the human resources of his company being on a permanent contract and benefited from a retirement job, he contributed for health provident. I find it ashamed that its death capital is not settled to date. We leave the bereaved family in big problems as always.</v>
      </c>
    </row>
    <row r="356" ht="15.75" customHeight="1">
      <c r="A356" s="2">
        <v>5.0</v>
      </c>
      <c r="B356" s="2" t="s">
        <v>1095</v>
      </c>
      <c r="C356" s="2" t="s">
        <v>1096</v>
      </c>
      <c r="D356" s="2" t="s">
        <v>75</v>
      </c>
      <c r="E356" s="2" t="s">
        <v>14</v>
      </c>
      <c r="F356" s="2" t="s">
        <v>15</v>
      </c>
      <c r="G356" s="2" t="s">
        <v>1097</v>
      </c>
      <c r="H356" s="2" t="s">
        <v>44</v>
      </c>
      <c r="I356" s="2" t="str">
        <f>IFERROR(__xludf.DUMMYFUNCTION("GOOGLETRANSLATE(C356,""fr"",""en"")"),"Client Axa for almost 10 years I am surprised by the difference in prices.
Pending telephone contact on your part.
I want to keep my AXA insurance conditions")</f>
        <v>Client Axa for almost 10 years I am surprised by the difference in prices.
Pending telephone contact on your part.
I want to keep my AXA insurance conditions</v>
      </c>
    </row>
    <row r="357" ht="15.75" customHeight="1">
      <c r="A357" s="2">
        <v>4.0</v>
      </c>
      <c r="B357" s="2" t="s">
        <v>1098</v>
      </c>
      <c r="C357" s="2" t="s">
        <v>1099</v>
      </c>
      <c r="D357" s="2" t="s">
        <v>37</v>
      </c>
      <c r="E357" s="2" t="s">
        <v>14</v>
      </c>
      <c r="F357" s="2" t="s">
        <v>15</v>
      </c>
      <c r="G357" s="2" t="s">
        <v>1023</v>
      </c>
      <c r="H357" s="2" t="s">
        <v>77</v>
      </c>
      <c r="I357" s="2" t="str">
        <f>IFERROR(__xludf.DUMMYFUNCTION("GOOGLETRANSLATE(C357,""fr"",""en"")")," I have been there for 5 years. For the moment I have only one disaster and it went very well. I now have 2 cars insured with them. On the price side this is tip top. Also reactivity side.")</f>
        <v> I have been there for 5 years. For the moment I have only one disaster and it went very well. I now have 2 cars insured with them. On the price side this is tip top. Also reactivity side.</v>
      </c>
    </row>
    <row r="358" ht="15.75" customHeight="1">
      <c r="A358" s="2">
        <v>1.0</v>
      </c>
      <c r="B358" s="2" t="s">
        <v>1100</v>
      </c>
      <c r="C358" s="2" t="s">
        <v>1101</v>
      </c>
      <c r="D358" s="2" t="s">
        <v>55</v>
      </c>
      <c r="E358" s="2" t="s">
        <v>21</v>
      </c>
      <c r="F358" s="2" t="s">
        <v>15</v>
      </c>
      <c r="G358" s="2" t="s">
        <v>347</v>
      </c>
      <c r="H358" s="2" t="s">
        <v>107</v>
      </c>
      <c r="I358" s="2" t="str">
        <f>IFERROR(__xludf.DUMMYFUNCTION("GOOGLETRANSLATE(C358,""fr"",""en"")"),"The wait on the phone is endless.
The monitoring of claims on the Internet is empty without history.
No real support
Everything is oral, nothing is written
")</f>
        <v>The wait on the phone is endless.
The monitoring of claims on the Internet is empty without history.
No real support
Everything is oral, nothing is written
</v>
      </c>
    </row>
    <row r="359" ht="15.75" customHeight="1">
      <c r="A359" s="2">
        <v>1.0</v>
      </c>
      <c r="B359" s="2" t="s">
        <v>1102</v>
      </c>
      <c r="C359" s="2" t="s">
        <v>1103</v>
      </c>
      <c r="D359" s="2" t="s">
        <v>55</v>
      </c>
      <c r="E359" s="2" t="s">
        <v>14</v>
      </c>
      <c r="F359" s="2" t="s">
        <v>15</v>
      </c>
      <c r="G359" s="2" t="s">
        <v>1104</v>
      </c>
      <c r="H359" s="2" t="s">
        <v>61</v>
      </c>
      <c r="I359" s="2" t="str">
        <f>IFERROR(__xludf.DUMMYFUNCTION("GOOGLETRANSLATE(C359,""fr"",""en"")"),"I have been at the Maaf for 30 years without any accident. Malencontrely I fell 2 times in the courtyard of my house without paying attention and I damaged my spouse's car. I did not kill anyone and did not cause a serious accident on the road. Despite th"&amp;"eir so -called bonus for life (very funny) they put me on a penalty and in addition increased my franchise by € 300 !! I am disgusted. I guess they want me to leave them, however, the repairs have not to cost them very expensive! This is how we are treate"&amp;"d at the MAAF after 30 years of loyalty!")</f>
        <v>I have been at the Maaf for 30 years without any accident. Malencontrely I fell 2 times in the courtyard of my house without paying attention and I damaged my spouse's car. I did not kill anyone and did not cause a serious accident on the road. Despite their so -called bonus for life (very funny) they put me on a penalty and in addition increased my franchise by € 300 !! I am disgusted. I guess they want me to leave them, however, the repairs have not to cost them very expensive! This is how we are treated at the MAAF after 30 years of loyalty!</v>
      </c>
    </row>
    <row r="360" ht="15.75" customHeight="1">
      <c r="A360" s="2">
        <v>1.0</v>
      </c>
      <c r="B360" s="2" t="s">
        <v>1105</v>
      </c>
      <c r="C360" s="2" t="s">
        <v>1106</v>
      </c>
      <c r="D360" s="2" t="s">
        <v>26</v>
      </c>
      <c r="E360" s="2" t="s">
        <v>21</v>
      </c>
      <c r="F360" s="2" t="s">
        <v>15</v>
      </c>
      <c r="G360" s="2" t="s">
        <v>1107</v>
      </c>
      <c r="H360" s="2" t="s">
        <v>155</v>
      </c>
      <c r="I360" s="2" t="str">
        <f>IFERROR(__xludf.DUMMYFUNCTION("GOOGLETRANSLATE(C360,""fr"",""en"")"),"Regarding my home insurance contract at AXA, my opinion will be fast. Never needed assistance and never had a claim. On the other hand, a great increase from year to year (without modification of my contract, without claim, without the need for assistance"&amp;"). In summary: 97 euros the first year, 109 euros in 2014, 116 euros in 2015, 135 euros in 2016 and ... 195 euros in 2017! So there no ... after several calls for customer service to find out more, no serious explanations (increase in taxes, loss, decrees"&amp;", etc etc ...). In short, termination and visit to competition, much cheaper.")</f>
        <v>Regarding my home insurance contract at AXA, my opinion will be fast. Never needed assistance and never had a claim. On the other hand, a great increase from year to year (without modification of my contract, without claim, without the need for assistance). In summary: 97 euros the first year, 109 euros in 2014, 116 euros in 2015, 135 euros in 2016 and ... 195 euros in 2017! So there no ... after several calls for customer service to find out more, no serious explanations (increase in taxes, loss, decrees, etc etc ...). In short, termination and visit to competition, much cheaper.</v>
      </c>
    </row>
    <row r="361" ht="15.75" customHeight="1">
      <c r="A361" s="2">
        <v>4.0</v>
      </c>
      <c r="B361" s="2" t="s">
        <v>1108</v>
      </c>
      <c r="C361" s="2" t="s">
        <v>1109</v>
      </c>
      <c r="D361" s="2" t="s">
        <v>37</v>
      </c>
      <c r="E361" s="2" t="s">
        <v>14</v>
      </c>
      <c r="F361" s="2" t="s">
        <v>15</v>
      </c>
      <c r="G361" s="2" t="s">
        <v>463</v>
      </c>
      <c r="H361" s="2" t="s">
        <v>39</v>
      </c>
      <c r="I361" s="2" t="str">
        <f>IFERROR(__xludf.DUMMYFUNCTION("GOOGLETRANSLATE(C361,""fr"",""en"")"),"I am satisfied, very quick to make sure, save time ...
Lots of options, even for a used vehicle.
Thank you again for speed.
thank you")</f>
        <v>I am satisfied, very quick to make sure, save time ...
Lots of options, even for a used vehicle.
Thank you again for speed.
thank you</v>
      </c>
    </row>
    <row r="362" ht="15.75" customHeight="1">
      <c r="A362" s="2">
        <v>3.0</v>
      </c>
      <c r="B362" s="2" t="s">
        <v>1110</v>
      </c>
      <c r="C362" s="2" t="s">
        <v>1111</v>
      </c>
      <c r="D362" s="2" t="s">
        <v>95</v>
      </c>
      <c r="E362" s="2" t="s">
        <v>96</v>
      </c>
      <c r="F362" s="2" t="s">
        <v>15</v>
      </c>
      <c r="G362" s="2" t="s">
        <v>1112</v>
      </c>
      <c r="H362" s="2" t="s">
        <v>39</v>
      </c>
      <c r="I362" s="2" t="str">
        <f>IFERROR(__xludf.DUMMYFUNCTION("GOOGLETRANSLATE(C362,""fr"",""en"")"),"Simple and efficient, a little high price for an old motorcycle worthless and with the lowest possible coverage without options and parking in a closed private garden")</f>
        <v>Simple and efficient, a little high price for an old motorcycle worthless and with the lowest possible coverage without options and parking in a closed private garden</v>
      </c>
    </row>
    <row r="363" ht="15.75" customHeight="1">
      <c r="A363" s="2">
        <v>4.0</v>
      </c>
      <c r="B363" s="2" t="s">
        <v>1113</v>
      </c>
      <c r="C363" s="2" t="s">
        <v>1114</v>
      </c>
      <c r="D363" s="2" t="s">
        <v>37</v>
      </c>
      <c r="E363" s="2" t="s">
        <v>14</v>
      </c>
      <c r="F363" s="2" t="s">
        <v>15</v>
      </c>
      <c r="G363" s="2" t="s">
        <v>1115</v>
      </c>
      <c r="H363" s="2" t="s">
        <v>39</v>
      </c>
      <c r="I363" s="2" t="str">
        <f>IFERROR(__xludf.DUMMYFUNCTION("GOOGLETRANSLATE(C363,""fr"",""en"")"),"I am satisfied with the price.
We would need more concentration for the person who answers us on the phone.
Quick quote and possibility of access to the Perso Pratque space.")</f>
        <v>I am satisfied with the price.
We would need more concentration for the person who answers us on the phone.
Quick quote and possibility of access to the Perso Pratque space.</v>
      </c>
    </row>
    <row r="364" ht="15.75" customHeight="1">
      <c r="A364" s="2">
        <v>5.0</v>
      </c>
      <c r="B364" s="2" t="s">
        <v>1116</v>
      </c>
      <c r="C364" s="2" t="s">
        <v>1117</v>
      </c>
      <c r="D364" s="2" t="s">
        <v>75</v>
      </c>
      <c r="E364" s="2" t="s">
        <v>14</v>
      </c>
      <c r="F364" s="2" t="s">
        <v>15</v>
      </c>
      <c r="G364" s="2" t="s">
        <v>1118</v>
      </c>
      <c r="H364" s="2" t="s">
        <v>28</v>
      </c>
      <c r="I364" s="2" t="str">
        <f>IFERROR(__xludf.DUMMYFUNCTION("GOOGLETRANSLATE(C364,""fr"",""en"")"),"I am very satisfied with services and applied prices.
very serious.
The site is very practical and simple to use
I recommend value price.")</f>
        <v>I am very satisfied with services and applied prices.
very serious.
The site is very practical and simple to use
I recommend value price.</v>
      </c>
    </row>
    <row r="365" ht="15.75" customHeight="1">
      <c r="A365" s="2">
        <v>3.0</v>
      </c>
      <c r="B365" s="2" t="s">
        <v>1119</v>
      </c>
      <c r="C365" s="2" t="s">
        <v>1120</v>
      </c>
      <c r="D365" s="2" t="s">
        <v>37</v>
      </c>
      <c r="E365" s="2" t="s">
        <v>14</v>
      </c>
      <c r="F365" s="2" t="s">
        <v>15</v>
      </c>
      <c r="G365" s="2" t="s">
        <v>1054</v>
      </c>
      <c r="H365" s="2" t="s">
        <v>111</v>
      </c>
      <c r="I365" s="2" t="str">
        <f>IFERROR(__xludf.DUMMYFUNCTION("GOOGLETRANSLATE(C365,""fr"",""en"")"),"Understanding and reactive customer service, at least when registering.
The information linked to paraining and payment of the discount is unclear. CDLT.")</f>
        <v>Understanding and reactive customer service, at least when registering.
The information linked to paraining and payment of the discount is unclear. CDLT.</v>
      </c>
    </row>
    <row r="366" ht="15.75" customHeight="1">
      <c r="A366" s="2">
        <v>5.0</v>
      </c>
      <c r="B366" s="2" t="s">
        <v>1121</v>
      </c>
      <c r="C366" s="2" t="s">
        <v>1122</v>
      </c>
      <c r="D366" s="2" t="s">
        <v>229</v>
      </c>
      <c r="E366" s="2" t="s">
        <v>96</v>
      </c>
      <c r="F366" s="2" t="s">
        <v>15</v>
      </c>
      <c r="G366" s="2" t="s">
        <v>1123</v>
      </c>
      <c r="H366" s="2" t="s">
        <v>72</v>
      </c>
      <c r="I366" s="2" t="str">
        <f>IFERROR(__xludf.DUMMYFUNCTION("GOOGLETRANSLATE(C366,""fr"",""en"")"),"Good insurance in general. Very well placed for motorcycle insurance.")</f>
        <v>Good insurance in general. Very well placed for motorcycle insurance.</v>
      </c>
    </row>
    <row r="367" ht="15.75" customHeight="1">
      <c r="A367" s="2">
        <v>5.0</v>
      </c>
      <c r="B367" s="2" t="s">
        <v>1124</v>
      </c>
      <c r="C367" s="2" t="s">
        <v>1125</v>
      </c>
      <c r="D367" s="2" t="s">
        <v>95</v>
      </c>
      <c r="E367" s="2" t="s">
        <v>96</v>
      </c>
      <c r="F367" s="2" t="s">
        <v>15</v>
      </c>
      <c r="G367" s="2" t="s">
        <v>258</v>
      </c>
      <c r="H367" s="2" t="s">
        <v>98</v>
      </c>
      <c r="I367" s="2" t="str">
        <f>IFERROR(__xludf.DUMMYFUNCTION("GOOGLETRANSLATE(C367,""fr"",""en"")"),"Insurance established quickly and very effective.
Very satisfactory price.
I do not regret my choice knowing that it is my first motorcycle insurance in 125")</f>
        <v>Insurance established quickly and very effective.
Very satisfactory price.
I do not regret my choice knowing that it is my first motorcycle insurance in 125</v>
      </c>
    </row>
    <row r="368" ht="15.75" customHeight="1">
      <c r="A368" s="2">
        <v>1.0</v>
      </c>
      <c r="B368" s="2" t="s">
        <v>1126</v>
      </c>
      <c r="C368" s="2" t="s">
        <v>1127</v>
      </c>
      <c r="D368" s="2" t="s">
        <v>221</v>
      </c>
      <c r="E368" s="2" t="s">
        <v>14</v>
      </c>
      <c r="F368" s="2" t="s">
        <v>15</v>
      </c>
      <c r="G368" s="2" t="s">
        <v>1128</v>
      </c>
      <c r="H368" s="2" t="s">
        <v>249</v>
      </c>
      <c r="I368" s="2" t="str">
        <f>IFERROR(__xludf.DUMMYFUNCTION("GOOGLETRANSLATE(C368,""fr"",""en"")"),"Very bad, 2:30 in the cold waiting for the tow truck with my two daughters 14th 11 years old.
The insurance response is normal is the average.
To avoid.")</f>
        <v>Very bad, 2:30 in the cold waiting for the tow truck with my two daughters 14th 11 years old.
The insurance response is normal is the average.
To avoid.</v>
      </c>
    </row>
    <row r="369" ht="15.75" customHeight="1">
      <c r="A369" s="2">
        <v>5.0</v>
      </c>
      <c r="B369" s="2" t="s">
        <v>1129</v>
      </c>
      <c r="C369" s="2" t="s">
        <v>1130</v>
      </c>
      <c r="D369" s="2" t="s">
        <v>37</v>
      </c>
      <c r="E369" s="2" t="s">
        <v>14</v>
      </c>
      <c r="F369" s="2" t="s">
        <v>15</v>
      </c>
      <c r="G369" s="2" t="s">
        <v>1131</v>
      </c>
      <c r="H369" s="2" t="s">
        <v>39</v>
      </c>
      <c r="I369" s="2" t="str">
        <f>IFERROR(__xludf.DUMMYFUNCTION("GOOGLETRANSLATE(C369,""fr"",""en"")"),"It is good insurance, I highly recommend it, it is not expensive, even in any risk, everything is computerized, which facilitates the steps, I recommend")</f>
        <v>It is good insurance, I highly recommend it, it is not expensive, even in any risk, everything is computerized, which facilitates the steps, I recommend</v>
      </c>
    </row>
    <row r="370" ht="15.75" customHeight="1">
      <c r="A370" s="2">
        <v>2.0</v>
      </c>
      <c r="B370" s="2" t="s">
        <v>1132</v>
      </c>
      <c r="C370" s="2" t="s">
        <v>1133</v>
      </c>
      <c r="D370" s="2" t="s">
        <v>75</v>
      </c>
      <c r="E370" s="2" t="s">
        <v>14</v>
      </c>
      <c r="F370" s="2" t="s">
        <v>15</v>
      </c>
      <c r="G370" s="2" t="s">
        <v>1134</v>
      </c>
      <c r="H370" s="2" t="s">
        <v>223</v>
      </c>
      <c r="I370" s="2" t="str">
        <f>IFERROR(__xludf.DUMMYFUNCTION("GOOGLETRANSLATE(C370,""fr"",""en"")"),"OK for 2 or 3 years, after you are sheep ...")</f>
        <v>OK for 2 or 3 years, after you are sheep ...</v>
      </c>
    </row>
    <row r="371" ht="15.75" customHeight="1">
      <c r="A371" s="2">
        <v>3.0</v>
      </c>
      <c r="B371" s="2" t="s">
        <v>1135</v>
      </c>
      <c r="C371" s="2" t="s">
        <v>1136</v>
      </c>
      <c r="D371" s="2" t="s">
        <v>692</v>
      </c>
      <c r="E371" s="2" t="s">
        <v>21</v>
      </c>
      <c r="F371" s="2" t="s">
        <v>15</v>
      </c>
      <c r="G371" s="2" t="s">
        <v>1137</v>
      </c>
      <c r="H371" s="2" t="s">
        <v>694</v>
      </c>
      <c r="I371" s="2" t="str">
        <f>IFERROR(__xludf.DUMMYFUNCTION("GOOGLETRANSLATE(C371,""fr"",""en"")"),"I am disgusted by this insurance, 35 years of fidelity for nothing, my house has been affected by drought and since June 2019 I have been fighting to be compensated, his expert has recommended a resumption in the work but the Matmut refuses and just order"&amp;"ed A crashing of cracks knowing very well that it will not hold and that it will not be enough to prevent my house from sagging more.")</f>
        <v>I am disgusted by this insurance, 35 years of fidelity for nothing, my house has been affected by drought and since June 2019 I have been fighting to be compensated, his expert has recommended a resumption in the work but the Matmut refuses and just ordered A crashing of cracks knowing very well that it will not hold and that it will not be enough to prevent my house from sagging more.</v>
      </c>
    </row>
    <row r="372" ht="15.75" customHeight="1">
      <c r="A372" s="2">
        <v>5.0</v>
      </c>
      <c r="B372" s="2" t="s">
        <v>1138</v>
      </c>
      <c r="C372" s="2" t="s">
        <v>1139</v>
      </c>
      <c r="D372" s="2" t="s">
        <v>229</v>
      </c>
      <c r="E372" s="2" t="s">
        <v>96</v>
      </c>
      <c r="F372" s="2" t="s">
        <v>15</v>
      </c>
      <c r="G372" s="2" t="s">
        <v>1140</v>
      </c>
      <c r="H372" s="2" t="s">
        <v>39</v>
      </c>
      <c r="I372" s="2" t="str">
        <f>IFERROR(__xludf.DUMMYFUNCTION("GOOGLETRANSLATE(C372,""fr"",""en"")"),"No worries, prices related to age and gender of the motorcycle, many years of behavior taken into account. No claims to declare, so I cannot judge the treatment of these, but the rest of the reports is effective, so little concern about this.")</f>
        <v>No worries, prices related to age and gender of the motorcycle, many years of behavior taken into account. No claims to declare, so I cannot judge the treatment of these, but the rest of the reports is effective, so little concern about this.</v>
      </c>
    </row>
    <row r="373" ht="15.75" customHeight="1">
      <c r="A373" s="2">
        <v>5.0</v>
      </c>
      <c r="B373" s="2" t="s">
        <v>1141</v>
      </c>
      <c r="C373" s="2" t="s">
        <v>1142</v>
      </c>
      <c r="D373" s="2" t="s">
        <v>75</v>
      </c>
      <c r="E373" s="2" t="s">
        <v>14</v>
      </c>
      <c r="F373" s="2" t="s">
        <v>15</v>
      </c>
      <c r="G373" s="2" t="s">
        <v>369</v>
      </c>
      <c r="H373" s="2" t="s">
        <v>107</v>
      </c>
      <c r="I373" s="2" t="str">
        <f>IFERROR(__xludf.DUMMYFUNCTION("GOOGLETRANSLATE(C373,""fr"",""en"")"),"For a first try nothing to complain about, prices, ease, accessibility same weekend, I had heard of it and I wanted even by myself I expect to see the continuation which I hope we will try soon")</f>
        <v>For a first try nothing to complain about, prices, ease, accessibility same weekend, I had heard of it and I wanted even by myself I expect to see the continuation which I hope we will try soon</v>
      </c>
    </row>
    <row r="374" ht="15.75" customHeight="1">
      <c r="A374" s="2">
        <v>2.0</v>
      </c>
      <c r="B374" s="2" t="s">
        <v>1143</v>
      </c>
      <c r="C374" s="2" t="s">
        <v>1144</v>
      </c>
      <c r="D374" s="2" t="s">
        <v>101</v>
      </c>
      <c r="E374" s="2" t="s">
        <v>14</v>
      </c>
      <c r="F374" s="2" t="s">
        <v>15</v>
      </c>
      <c r="G374" s="2" t="s">
        <v>1145</v>
      </c>
      <c r="H374" s="2" t="s">
        <v>61</v>
      </c>
      <c r="I374" s="2" t="str">
        <f>IFERROR(__xludf.DUMMYFUNCTION("GOOGLETRANSLATE(C374,""fr"",""en"")"),"Hello, two days to reassure another vehicle leaves telephone, swinging one service to others without result in several times 13 minutes of waiting to be put to another service, Allianz then Eallianz and tell me Calyso. In short disappointed.")</f>
        <v>Hello, two days to reassure another vehicle leaves telephone, swinging one service to others without result in several times 13 minutes of waiting to be put to another service, Allianz then Eallianz and tell me Calyso. In short disappointed.</v>
      </c>
    </row>
    <row r="375" ht="15.75" customHeight="1">
      <c r="A375" s="2">
        <v>1.0</v>
      </c>
      <c r="B375" s="2" t="s">
        <v>1146</v>
      </c>
      <c r="C375" s="2" t="s">
        <v>1147</v>
      </c>
      <c r="D375" s="2" t="s">
        <v>692</v>
      </c>
      <c r="E375" s="2" t="s">
        <v>21</v>
      </c>
      <c r="F375" s="2" t="s">
        <v>15</v>
      </c>
      <c r="G375" s="2" t="s">
        <v>353</v>
      </c>
      <c r="H375" s="2" t="s">
        <v>44</v>
      </c>
      <c r="I375" s="2" t="str">
        <f>IFERROR(__xludf.DUMMYFUNCTION("GOOGLETRANSLATE(C375,""fr"",""en"")"),"Hello. Less 5 stars is not possible, too bad. A minimum of 55 years of insurance from my parents with this brand, whatever their address, since military, then police, which is not even to flee, but to ignore. Simply. I am 60 years old, 90 and 86 years old"&amp;". I wanted to renegotiate their contracts, one thing they never done, because confidence was for them, more than a word. My mother will enter Ephad (Parkinson), my a little more autonomous father waits for a place to free herself to join her. With low mea"&amp;"ns each euro counts to prepare their future life. But we must not count on the advisers of Narbonne to hope for empathy. With them an old contract does not renegotiate itself, otherwise it will be more expensive. Whether it is surface, the value of furnit"&amp;"ure whatever. If it must be changed too bad for us. 290 euros for 50m2 is the price (170 in another known mutual), and as blackmail, according to our interlocutor of the day (11:30 am) it is impossible for us to go elsewhere because of the age of the subs"&amp;"criber . Isn't that discrimination? For the car, same considerations. At 91, my father travels 14 km per week for his shopping. I do not exclude the risks linked to this state. But the law allows him to use his vehicle. I wanted to lighten the monthly ins"&amp;"urance monthly payments. All risks for a 2004 fiesta is daring. Large unpacking of this risk advisor; The likely reimbursement of 2100 euros which would allow you to buy a used vehicle or add this amount for the acquisition of a more expensive model. Reas"&amp;"oning no more logical in view of its age. The reasoning on the disrespectful limit of my interlocutor Mr Frederic M. who hung up before the end of my greetings, his scathing replicas that corroborates appear his calculations on his software, are all indic"&amp;"ators of the State in which you hold this insurer who certifies that on these contracts it does its maximum.")</f>
        <v>Hello. Less 5 stars is not possible, too bad. A minimum of 55 years of insurance from my parents with this brand, whatever their address, since military, then police, which is not even to flee, but to ignore. Simply. I am 60 years old, 90 and 86 years old. I wanted to renegotiate their contracts, one thing they never done, because confidence was for them, more than a word. My mother will enter Ephad (Parkinson), my a little more autonomous father waits for a place to free herself to join her. With low means each euro counts to prepare their future life. But we must not count on the advisers of Narbonne to hope for empathy. With them an old contract does not renegotiate itself, otherwise it will be more expensive. Whether it is surface, the value of furniture whatever. If it must be changed too bad for us. 290 euros for 50m2 is the price (170 in another known mutual), and as blackmail, according to our interlocutor of the day (11:30 am) it is impossible for us to go elsewhere because of the age of the subscriber . Isn't that discrimination? For the car, same considerations. At 91, my father travels 14 km per week for his shopping. I do not exclude the risks linked to this state. But the law allows him to use his vehicle. I wanted to lighten the monthly insurance monthly payments. All risks for a 2004 fiesta is daring. Large unpacking of this risk advisor; The likely reimbursement of 2100 euros which would allow you to buy a used vehicle or add this amount for the acquisition of a more expensive model. Reasoning no more logical in view of its age. The reasoning on the disrespectful limit of my interlocutor Mr Frederic M. who hung up before the end of my greetings, his scathing replicas that corroborates appear his calculations on his software, are all indicators of the State in which you hold this insurer who certifies that on these contracts it does its maximum.</v>
      </c>
    </row>
    <row r="376" ht="15.75" customHeight="1">
      <c r="A376" s="2">
        <v>1.0</v>
      </c>
      <c r="B376" s="2" t="s">
        <v>1148</v>
      </c>
      <c r="C376" s="2" t="s">
        <v>1149</v>
      </c>
      <c r="D376" s="2" t="s">
        <v>64</v>
      </c>
      <c r="E376" s="2" t="s">
        <v>65</v>
      </c>
      <c r="F376" s="2" t="s">
        <v>15</v>
      </c>
      <c r="G376" s="2" t="s">
        <v>1150</v>
      </c>
      <c r="H376" s="2" t="s">
        <v>1151</v>
      </c>
      <c r="I376" s="2" t="str">
        <f>IFERROR(__xludf.DUMMYFUNCTION("GOOGLETRANSLATE(C376,""fr"",""en"")"),"I am very disappointed and I absolutely decrease to take out a contract with AFER, all formalities are extremely long, deadlines are not respected during a withdrawal, whispering costs whispered during the subscription and which are 0.479%, that costs and"&amp;" yield that borders on ridicule")</f>
        <v>I am very disappointed and I absolutely decrease to take out a contract with AFER, all formalities are extremely long, deadlines are not respected during a withdrawal, whispering costs whispered during the subscription and which are 0.479%, that costs and yield that borders on ridicule</v>
      </c>
    </row>
    <row r="377" ht="15.75" customHeight="1">
      <c r="A377" s="2">
        <v>1.0</v>
      </c>
      <c r="B377" s="2" t="s">
        <v>1152</v>
      </c>
      <c r="C377" s="2" t="s">
        <v>1153</v>
      </c>
      <c r="D377" s="2" t="s">
        <v>26</v>
      </c>
      <c r="E377" s="2" t="s">
        <v>14</v>
      </c>
      <c r="F377" s="2" t="s">
        <v>15</v>
      </c>
      <c r="G377" s="2" t="s">
        <v>1154</v>
      </c>
      <c r="H377" s="2" t="s">
        <v>508</v>
      </c>
      <c r="I377" s="2" t="str">
        <f>IFERROR(__xludf.DUMMYFUNCTION("GOOGLETRANSLATE(C377,""fr"",""en"")"),"Abusive processes, guarantees drowned in the contract,
non -compliance with commitments. Desorganization between the head office and the agencies. In different speeches. I advise against it is better.")</f>
        <v>Abusive processes, guarantees drowned in the contract,
non -compliance with commitments. Desorganization between the head office and the agencies. In different speeches. I advise against it is better.</v>
      </c>
    </row>
    <row r="378" ht="15.75" customHeight="1">
      <c r="A378" s="2">
        <v>5.0</v>
      </c>
      <c r="B378" s="2" t="s">
        <v>1155</v>
      </c>
      <c r="C378" s="2" t="s">
        <v>1156</v>
      </c>
      <c r="D378" s="2" t="s">
        <v>37</v>
      </c>
      <c r="E378" s="2" t="s">
        <v>14</v>
      </c>
      <c r="F378" s="2" t="s">
        <v>15</v>
      </c>
      <c r="G378" s="2" t="s">
        <v>821</v>
      </c>
      <c r="H378" s="2" t="s">
        <v>98</v>
      </c>
      <c r="I378" s="2" t="str">
        <f>IFERROR(__xludf.DUMMYFUNCTION("GOOGLETRANSLATE(C378,""fr"",""en"")"),"Very very satisfied, your unbeatable prices, listening to advisers and their kindness, given explanations and the clarity of offers.")</f>
        <v>Very very satisfied, your unbeatable prices, listening to advisers and their kindness, given explanations and the clarity of offers.</v>
      </c>
    </row>
    <row r="379" ht="15.75" customHeight="1">
      <c r="A379" s="2">
        <v>4.0</v>
      </c>
      <c r="B379" s="2" t="s">
        <v>1157</v>
      </c>
      <c r="C379" s="2" t="s">
        <v>1158</v>
      </c>
      <c r="D379" s="2" t="s">
        <v>37</v>
      </c>
      <c r="E379" s="2" t="s">
        <v>14</v>
      </c>
      <c r="F379" s="2" t="s">
        <v>15</v>
      </c>
      <c r="G379" s="2" t="s">
        <v>908</v>
      </c>
      <c r="H379" s="2" t="s">
        <v>39</v>
      </c>
      <c r="I379" s="2" t="str">
        <f>IFERROR(__xludf.DUMMYFUNCTION("GOOGLETRANSLATE(C379,""fr"",""en"")"),"Very welcome for a first contact, very professional agent and knowing the field perfectly. The prices are interesting for certain vehicles, less for others.")</f>
        <v>Very welcome for a first contact, very professional agent and knowing the field perfectly. The prices are interesting for certain vehicles, less for others.</v>
      </c>
    </row>
    <row r="380" ht="15.75" customHeight="1">
      <c r="A380" s="2">
        <v>1.0</v>
      </c>
      <c r="B380" s="2" t="s">
        <v>1159</v>
      </c>
      <c r="C380" s="2" t="s">
        <v>1160</v>
      </c>
      <c r="D380" s="2" t="s">
        <v>75</v>
      </c>
      <c r="E380" s="2" t="s">
        <v>14</v>
      </c>
      <c r="F380" s="2" t="s">
        <v>15</v>
      </c>
      <c r="G380" s="2" t="s">
        <v>1161</v>
      </c>
      <c r="H380" s="2" t="s">
        <v>528</v>
      </c>
      <c r="I380" s="2" t="str">
        <f>IFERROR(__xludf.DUMMYFUNCTION("GOOGLETRANSLATE(C380,""fr"",""en"")"),"Victim of a deception at the subscription")</f>
        <v>Victim of a deception at the subscription</v>
      </c>
    </row>
    <row r="381" ht="15.75" customHeight="1">
      <c r="A381" s="2">
        <v>3.0</v>
      </c>
      <c r="B381" s="2" t="s">
        <v>1162</v>
      </c>
      <c r="C381" s="2" t="s">
        <v>1163</v>
      </c>
      <c r="D381" s="2" t="s">
        <v>242</v>
      </c>
      <c r="E381" s="2" t="s">
        <v>14</v>
      </c>
      <c r="F381" s="2" t="s">
        <v>15</v>
      </c>
      <c r="G381" s="2" t="s">
        <v>321</v>
      </c>
      <c r="H381" s="2" t="s">
        <v>321</v>
      </c>
      <c r="I381" s="2" t="str">
        <f>IFERROR(__xludf.DUMMYFUNCTION("GOOGLETRANSLATE(C381,""fr"",""en"")"),"Very complicated ..... for 3 weeks I have been asked for an information statement that I transmit but that never suits them. (A addressed since 2014 anyway .....)
I am very disappointed. I had the contact details of this insurance by the Furets.com.
But"&amp;" now I am convinced that you have to have a person in front of it in order to understand each other ......
In addition, the advisor I have had on the phone several times was very unpleasant.")</f>
        <v>Very complicated ..... for 3 weeks I have been asked for an information statement that I transmit but that never suits them. (A addressed since 2014 anyway .....)
I am very disappointed. I had the contact details of this insurance by the Furets.com.
But now I am convinced that you have to have a person in front of it in order to understand each other ......
In addition, the advisor I have had on the phone several times was very unpleasant.</v>
      </c>
    </row>
    <row r="382" ht="15.75" customHeight="1">
      <c r="A382" s="2">
        <v>1.0</v>
      </c>
      <c r="B382" s="2" t="s">
        <v>1164</v>
      </c>
      <c r="C382" s="2" t="s">
        <v>151</v>
      </c>
      <c r="D382" s="2" t="s">
        <v>75</v>
      </c>
      <c r="E382" s="2" t="s">
        <v>14</v>
      </c>
      <c r="F382" s="2" t="s">
        <v>15</v>
      </c>
      <c r="G382" s="2" t="s">
        <v>1165</v>
      </c>
      <c r="H382" s="2" t="s">
        <v>467</v>
      </c>
      <c r="I382" s="2" t="str">
        <f>IFERROR(__xludf.DUMMYFUNCTION("GOOGLETRANSLATE(C382,""fr"",""en"")"),"Intervention deleted at the request of the Internet user.")</f>
        <v>Intervention deleted at the request of the Internet user.</v>
      </c>
    </row>
    <row r="383" ht="15.75" customHeight="1">
      <c r="A383" s="2">
        <v>5.0</v>
      </c>
      <c r="B383" s="2" t="s">
        <v>1166</v>
      </c>
      <c r="C383" s="2" t="s">
        <v>1167</v>
      </c>
      <c r="D383" s="2" t="s">
        <v>95</v>
      </c>
      <c r="E383" s="2" t="s">
        <v>96</v>
      </c>
      <c r="F383" s="2" t="s">
        <v>15</v>
      </c>
      <c r="G383" s="2" t="s">
        <v>524</v>
      </c>
      <c r="H383" s="2" t="s">
        <v>28</v>
      </c>
      <c r="I383" s="2" t="str">
        <f>IFERROR(__xludf.DUMMYFUNCTION("GOOGLETRANSLATE(C383,""fr"",""en"")"),"Very friendly and precise interlocutor in his explanations. A site to be retained in this jungle of motorcycle insurance proposal.
Bravo again in Melina")</f>
        <v>Very friendly and precise interlocutor in his explanations. A site to be retained in this jungle of motorcycle insurance proposal.
Bravo again in Melina</v>
      </c>
    </row>
    <row r="384" ht="15.75" customHeight="1">
      <c r="A384" s="2">
        <v>3.0</v>
      </c>
      <c r="B384" s="2" t="s">
        <v>1168</v>
      </c>
      <c r="C384" s="2" t="s">
        <v>1169</v>
      </c>
      <c r="D384" s="2" t="s">
        <v>70</v>
      </c>
      <c r="E384" s="2" t="s">
        <v>14</v>
      </c>
      <c r="F384" s="2" t="s">
        <v>15</v>
      </c>
      <c r="G384" s="2" t="s">
        <v>1170</v>
      </c>
      <c r="H384" s="2" t="s">
        <v>107</v>
      </c>
      <c r="I384" s="2" t="str">
        <f>IFERROR(__xludf.DUMMYFUNCTION("GOOGLETRANSLATE(C384,""fr"",""en"")"),"Auto contract is not the cheapest on the market but when a claim occurs treatment is fully satisfactory in terms of time and compensation.")</f>
        <v>Auto contract is not the cheapest on the market but when a claim occurs treatment is fully satisfactory in terms of time and compensation.</v>
      </c>
    </row>
    <row r="385" ht="15.75" customHeight="1">
      <c r="A385" s="2">
        <v>5.0</v>
      </c>
      <c r="B385" s="2" t="s">
        <v>1171</v>
      </c>
      <c r="C385" s="2" t="s">
        <v>1172</v>
      </c>
      <c r="D385" s="2" t="s">
        <v>37</v>
      </c>
      <c r="E385" s="2" t="s">
        <v>14</v>
      </c>
      <c r="F385" s="2" t="s">
        <v>15</v>
      </c>
      <c r="G385" s="2" t="s">
        <v>1115</v>
      </c>
      <c r="H385" s="2" t="s">
        <v>39</v>
      </c>
      <c r="I385" s="2" t="str">
        <f>IFERROR(__xludf.DUMMYFUNCTION("GOOGLETRANSLATE(C385,""fr"",""en"")"),"Simple, practical and fast
I am satisfied by this service
The signature is fast
I did not understand how to initial the pages however
I will check in the signed document")</f>
        <v>Simple, practical and fast
I am satisfied by this service
The signature is fast
I did not understand how to initial the pages however
I will check in the signed document</v>
      </c>
    </row>
    <row r="386" ht="15.75" customHeight="1">
      <c r="A386" s="2">
        <v>4.0</v>
      </c>
      <c r="B386" s="2" t="s">
        <v>1173</v>
      </c>
      <c r="C386" s="2" t="s">
        <v>1174</v>
      </c>
      <c r="D386" s="2" t="s">
        <v>37</v>
      </c>
      <c r="E386" s="2" t="s">
        <v>14</v>
      </c>
      <c r="F386" s="2" t="s">
        <v>15</v>
      </c>
      <c r="G386" s="2" t="s">
        <v>1175</v>
      </c>
      <c r="H386" s="2" t="s">
        <v>107</v>
      </c>
      <c r="I386" s="2" t="str">
        <f>IFERROR(__xludf.DUMMYFUNCTION("GOOGLETRANSLATE(C386,""fr"",""en"")"),"I am satisfied with the quotes and very well explained, competent people that we had on the phone today. We will see later and we will notice.")</f>
        <v>I am satisfied with the quotes and very well explained, competent people that we had on the phone today. We will see later and we will notice.</v>
      </c>
    </row>
    <row r="387" ht="15.75" customHeight="1">
      <c r="A387" s="2">
        <v>2.0</v>
      </c>
      <c r="B387" s="2" t="s">
        <v>1176</v>
      </c>
      <c r="C387" s="2" t="s">
        <v>1177</v>
      </c>
      <c r="D387" s="2" t="s">
        <v>221</v>
      </c>
      <c r="E387" s="2" t="s">
        <v>14</v>
      </c>
      <c r="F387" s="2" t="s">
        <v>15</v>
      </c>
      <c r="G387" s="2" t="s">
        <v>1178</v>
      </c>
      <c r="H387" s="2" t="s">
        <v>125</v>
      </c>
      <c r="I387" s="2" t="str">
        <f>IFERROR(__xludf.DUMMYFUNCTION("GOOGLETRANSLATE(C387,""fr"",""en"")"),"Insured at home for 8 years normally the franchise is offered if three years without claims and well I was removed from my compensation while I have been at home for 8 years without a sinister or housing or housing
")</f>
        <v>Insured at home for 8 years normally the franchise is offered if three years without claims and well I was removed from my compensation while I have been at home for 8 years without a sinister or housing or housing
</v>
      </c>
    </row>
    <row r="388" ht="15.75" customHeight="1">
      <c r="A388" s="2">
        <v>5.0</v>
      </c>
      <c r="B388" s="2" t="s">
        <v>1179</v>
      </c>
      <c r="C388" s="2" t="s">
        <v>1180</v>
      </c>
      <c r="D388" s="2" t="s">
        <v>75</v>
      </c>
      <c r="E388" s="2" t="s">
        <v>14</v>
      </c>
      <c r="F388" s="2" t="s">
        <v>15</v>
      </c>
      <c r="G388" s="2" t="s">
        <v>1181</v>
      </c>
      <c r="H388" s="2" t="s">
        <v>98</v>
      </c>
      <c r="I388" s="2" t="str">
        <f>IFERROR(__xludf.DUMMYFUNCTION("GOOGLETRANSLATE(C388,""fr"",""en"")"),"I am very satisfied I did not expect very clear and professional follow -up
I would have known I would have come earlier superb your kind and at the top answered all my questions and took the time to listen to me I highly recommend at the top your advise"&amp;"rs")</f>
        <v>I am very satisfied I did not expect very clear and professional follow -up
I would have known I would have come earlier superb your kind and at the top answered all my questions and took the time to listen to me I highly recommend at the top your advisers</v>
      </c>
    </row>
    <row r="389" ht="15.75" customHeight="1">
      <c r="A389" s="2">
        <v>4.0</v>
      </c>
      <c r="B389" s="2" t="s">
        <v>1182</v>
      </c>
      <c r="C389" s="2" t="s">
        <v>1183</v>
      </c>
      <c r="D389" s="2" t="s">
        <v>37</v>
      </c>
      <c r="E389" s="2" t="s">
        <v>14</v>
      </c>
      <c r="F389" s="2" t="s">
        <v>15</v>
      </c>
      <c r="G389" s="2" t="s">
        <v>1131</v>
      </c>
      <c r="H389" s="2" t="s">
        <v>39</v>
      </c>
      <c r="I389" s="2" t="str">
        <f>IFERROR(__xludf.DUMMYFUNCTION("GOOGLETRANSLATE(C389,""fr"",""en"")"),"I was satisfied with my previous insurance however I found it very expensive the offer of the olive tree seems to be closer to my previous contract while being much cheaper")</f>
        <v>I was satisfied with my previous insurance however I found it very expensive the offer of the olive tree seems to be closer to my previous contract while being much cheaper</v>
      </c>
    </row>
    <row r="390" ht="15.75" customHeight="1">
      <c r="A390" s="2">
        <v>2.0</v>
      </c>
      <c r="B390" s="2" t="s">
        <v>1184</v>
      </c>
      <c r="C390" s="2" t="s">
        <v>1185</v>
      </c>
      <c r="D390" s="2" t="s">
        <v>13</v>
      </c>
      <c r="E390" s="2" t="s">
        <v>21</v>
      </c>
      <c r="F390" s="2" t="s">
        <v>15</v>
      </c>
      <c r="G390" s="2" t="s">
        <v>1186</v>
      </c>
      <c r="H390" s="2" t="s">
        <v>186</v>
      </c>
      <c r="I390" s="2" t="str">
        <f>IFERROR(__xludf.DUMMYFUNCTION("GOOGLETRANSLATE(C390,""fr"",""en"")"),"+30 years of Macif, 1 burglary of my apartment, 3 others also have been visited in the building, same procedure, same absence, 3 are taken care of by their insurance, only 1 ours")</f>
        <v>+30 years of Macif, 1 burglary of my apartment, 3 others also have been visited in the building, same procedure, same absence, 3 are taken care of by their insurance, only 1 ours</v>
      </c>
    </row>
    <row r="391" ht="15.75" customHeight="1">
      <c r="A391" s="2">
        <v>4.0</v>
      </c>
      <c r="B391" s="2" t="s">
        <v>1187</v>
      </c>
      <c r="C391" s="2" t="s">
        <v>1188</v>
      </c>
      <c r="D391" s="2" t="s">
        <v>75</v>
      </c>
      <c r="E391" s="2" t="s">
        <v>14</v>
      </c>
      <c r="F391" s="2" t="s">
        <v>15</v>
      </c>
      <c r="G391" s="2" t="s">
        <v>226</v>
      </c>
      <c r="H391" s="2" t="s">
        <v>28</v>
      </c>
      <c r="I391" s="2" t="str">
        <f>IFERROR(__xludf.DUMMYFUNCTION("GOOGLETRANSLATE(C391,""fr"",""en"")"),"Satisfied since since I have been at Direct Insurance for 30 years. I found a little cheaper elsewhere but your site is very practical and you can reach you easily.")</f>
        <v>Satisfied since since I have been at Direct Insurance for 30 years. I found a little cheaper elsewhere but your site is very practical and you can reach you easily.</v>
      </c>
    </row>
    <row r="392" ht="15.75" customHeight="1">
      <c r="A392" s="2">
        <v>2.0</v>
      </c>
      <c r="B392" s="2" t="s">
        <v>1189</v>
      </c>
      <c r="C392" s="2" t="s">
        <v>1190</v>
      </c>
      <c r="D392" s="2" t="s">
        <v>692</v>
      </c>
      <c r="E392" s="2" t="s">
        <v>21</v>
      </c>
      <c r="F392" s="2" t="s">
        <v>15</v>
      </c>
      <c r="G392" s="2" t="s">
        <v>1191</v>
      </c>
      <c r="H392" s="2" t="s">
        <v>83</v>
      </c>
      <c r="I392" s="2" t="str">
        <f>IFERROR(__xludf.DUMMYFUNCTION("GOOGLETRANSLATE(C392,""fr"",""en"")"),"A fidelity of 20 years to realize in the end that we are not defended! Our house and our furniture were destroyed by a third party and the insurance ""generously"" made a lead of 2000 euros to relocate us in an emergency (it just paid the 2 months of depo"&amp;"sit and the current month). We had no money to remember and struggled for months.
 Afterwards, the legal service lost the supporting documents of the losses that had been provided, and did not have a civil party, making us lose all our rights.
When a fa"&amp;"mily undergoes such trauma by losing all of her property, she must use all her energy to move forward and rebuild. It's just horrible to realize that you have to manage on your own when we have nothing left (goodbye furniture, clothes, administrative pape"&amp;"rs ...).
We do not have the strength to fight more against his own insurer. This is the reason why I left.")</f>
        <v>A fidelity of 20 years to realize in the end that we are not defended! Our house and our furniture were destroyed by a third party and the insurance "generously" made a lead of 2000 euros to relocate us in an emergency (it just paid the 2 months of deposit and the current month). We had no money to remember and struggled for months.
 Afterwards, the legal service lost the supporting documents of the losses that had been provided, and did not have a civil party, making us lose all our rights.
When a family undergoes such trauma by losing all of her property, she must use all her energy to move forward and rebuild. It's just horrible to realize that you have to manage on your own when we have nothing left (goodbye furniture, clothes, administrative papers ...).
We do not have the strength to fight more against his own insurer. This is the reason why I left.</v>
      </c>
    </row>
    <row r="393" ht="15.75" customHeight="1">
      <c r="A393" s="2">
        <v>5.0</v>
      </c>
      <c r="B393" s="2" t="s">
        <v>1192</v>
      </c>
      <c r="C393" s="2" t="s">
        <v>1193</v>
      </c>
      <c r="D393" s="2" t="s">
        <v>37</v>
      </c>
      <c r="E393" s="2" t="s">
        <v>14</v>
      </c>
      <c r="F393" s="2" t="s">
        <v>15</v>
      </c>
      <c r="G393" s="2" t="s">
        <v>1081</v>
      </c>
      <c r="H393" s="2" t="s">
        <v>28</v>
      </c>
      <c r="I393" s="2" t="str">
        <f>IFERROR(__xludf.DUMMYFUNCTION("GOOGLETRANSLATE(C393,""fr"",""en"")"),"Lovable personnel correct price for a fairly powerful car 143 hp for a 1 -year permit without an insurance of the varied warranty insurance I recommend to the young license")</f>
        <v>Lovable personnel correct price for a fairly powerful car 143 hp for a 1 -year permit without an insurance of the varied warranty insurance I recommend to the young license</v>
      </c>
    </row>
    <row r="394" ht="15.75" customHeight="1">
      <c r="A394" s="2">
        <v>3.0</v>
      </c>
      <c r="B394" s="2" t="s">
        <v>1194</v>
      </c>
      <c r="C394" s="2" t="s">
        <v>1195</v>
      </c>
      <c r="D394" s="2" t="s">
        <v>75</v>
      </c>
      <c r="E394" s="2" t="s">
        <v>14</v>
      </c>
      <c r="F394" s="2" t="s">
        <v>15</v>
      </c>
      <c r="G394" s="2" t="s">
        <v>1196</v>
      </c>
      <c r="H394" s="2" t="s">
        <v>77</v>
      </c>
      <c r="I394" s="2" t="str">
        <f>IFERROR(__xludf.DUMMYFUNCTION("GOOGLETRANSLATE(C394,""fr"",""en"")"),"I am satisfied with the service and the prices, however I do not understand that we pay 2 months in advance.
In addition I find the price a little excessive when we monthly compared to annual payment.")</f>
        <v>I am satisfied with the service and the prices, however I do not understand that we pay 2 months in advance.
In addition I find the price a little excessive when we monthly compared to annual payment.</v>
      </c>
    </row>
    <row r="395" ht="15.75" customHeight="1">
      <c r="A395" s="2">
        <v>2.0</v>
      </c>
      <c r="B395" s="2" t="s">
        <v>1197</v>
      </c>
      <c r="C395" s="2" t="s">
        <v>1198</v>
      </c>
      <c r="D395" s="2" t="s">
        <v>221</v>
      </c>
      <c r="E395" s="2" t="s">
        <v>21</v>
      </c>
      <c r="F395" s="2" t="s">
        <v>15</v>
      </c>
      <c r="G395" s="2" t="s">
        <v>1199</v>
      </c>
      <c r="H395" s="2" t="s">
        <v>115</v>
      </c>
      <c r="I395" s="2" t="str">
        <f>IFERROR(__xludf.DUMMYFUNCTION("GOOGLETRANSLATE(C395,""fr"",""en"")"),"Nothing special to say in the comments, I tested it for several years taken through Crédit Agricole")</f>
        <v>Nothing special to say in the comments, I tested it for several years taken through Crédit Agricole</v>
      </c>
    </row>
    <row r="396" ht="15.75" customHeight="1">
      <c r="A396" s="2">
        <v>3.0</v>
      </c>
      <c r="B396" s="2" t="s">
        <v>1200</v>
      </c>
      <c r="C396" s="2" t="s">
        <v>1201</v>
      </c>
      <c r="D396" s="2" t="s">
        <v>75</v>
      </c>
      <c r="E396" s="2" t="s">
        <v>14</v>
      </c>
      <c r="F396" s="2" t="s">
        <v>15</v>
      </c>
      <c r="G396" s="2" t="s">
        <v>1048</v>
      </c>
      <c r="H396" s="2" t="s">
        <v>193</v>
      </c>
      <c r="I396" s="2" t="str">
        <f>IFERROR(__xludf.DUMMYFUNCTION("GOOGLETRANSLATE(C396,""fr"",""en"")"),"I find that every year the price of my 5 contracts increases regularly, without my understanding why? In the end over the year this represents more than € 500 increase.")</f>
        <v>I find that every year the price of my 5 contracts increases regularly, without my understanding why? In the end over the year this represents more than € 500 increase.</v>
      </c>
    </row>
    <row r="397" ht="15.75" customHeight="1">
      <c r="A397" s="2">
        <v>2.0</v>
      </c>
      <c r="B397" s="2" t="s">
        <v>1202</v>
      </c>
      <c r="C397" s="2" t="s">
        <v>1203</v>
      </c>
      <c r="D397" s="2" t="s">
        <v>13</v>
      </c>
      <c r="E397" s="2" t="s">
        <v>21</v>
      </c>
      <c r="F397" s="2" t="s">
        <v>15</v>
      </c>
      <c r="G397" s="2" t="s">
        <v>1204</v>
      </c>
      <c r="H397" s="2" t="s">
        <v>467</v>
      </c>
      <c r="I397" s="2" t="str">
        <f>IFERROR(__xludf.DUMMYFUNCTION("GOOGLETRANSLATE(C397,""fr"",""en"")"),"Insured for 40 years, never a claim. A flood in June, a compensation proposal after the arrival of the expert who hangs out 1 month, as all the damage had been evaluated and the amount provided for the repair of my ground floor is blocked for One reason u"&amp;"nknown The expert returns and the repayment proposal is dragging again, nothing after 1 month. Letter to the DG, message to the delegates, several calls on the platform, nothing happens! It is shameful!")</f>
        <v>Insured for 40 years, never a claim. A flood in June, a compensation proposal after the arrival of the expert who hangs out 1 month, as all the damage had been evaluated and the amount provided for the repair of my ground floor is blocked for One reason unknown The expert returns and the repayment proposal is dragging again, nothing after 1 month. Letter to the DG, message to the delegates, several calls on the platform, nothing happens! It is shameful!</v>
      </c>
    </row>
    <row r="398" ht="15.75" customHeight="1">
      <c r="A398" s="2">
        <v>5.0</v>
      </c>
      <c r="B398" s="2" t="s">
        <v>1205</v>
      </c>
      <c r="C398" s="2" t="s">
        <v>1206</v>
      </c>
      <c r="D398" s="2" t="s">
        <v>37</v>
      </c>
      <c r="E398" s="2" t="s">
        <v>14</v>
      </c>
      <c r="F398" s="2" t="s">
        <v>15</v>
      </c>
      <c r="G398" s="2" t="s">
        <v>118</v>
      </c>
      <c r="H398" s="2" t="s">
        <v>77</v>
      </c>
      <c r="I398" s="2" t="str">
        <f>IFERROR(__xludf.DUMMYFUNCTION("GOOGLETRANSLATE(C398,""fr"",""en"")"),"Thank you I follow you very grateful for everything. I find you very effective especially do not change and I would recommend you to close people. Thank you.
")</f>
        <v>Thank you I follow you very grateful for everything. I find you very effective especially do not change and I would recommend you to close people. Thank you.
</v>
      </c>
    </row>
    <row r="399" ht="15.75" customHeight="1">
      <c r="A399" s="2">
        <v>5.0</v>
      </c>
      <c r="B399" s="2" t="s">
        <v>1207</v>
      </c>
      <c r="C399" s="2" t="s">
        <v>1208</v>
      </c>
      <c r="D399" s="2" t="s">
        <v>37</v>
      </c>
      <c r="E399" s="2" t="s">
        <v>14</v>
      </c>
      <c r="F399" s="2" t="s">
        <v>15</v>
      </c>
      <c r="G399" s="2" t="s">
        <v>1209</v>
      </c>
      <c r="H399" s="2" t="s">
        <v>155</v>
      </c>
      <c r="I399" s="2" t="str">
        <f>IFERROR(__xludf.DUMMYFUNCTION("GOOGLETRANSLATE(C399,""fr"",""en"")"),"I hope that the Olivier will also get home insurance so that I adhere to it")</f>
        <v>I hope that the Olivier will also get home insurance so that I adhere to it</v>
      </c>
    </row>
    <row r="400" ht="15.75" customHeight="1">
      <c r="A400" s="2">
        <v>3.0</v>
      </c>
      <c r="B400" s="2" t="s">
        <v>1210</v>
      </c>
      <c r="C400" s="2" t="s">
        <v>1211</v>
      </c>
      <c r="D400" s="2" t="s">
        <v>37</v>
      </c>
      <c r="E400" s="2" t="s">
        <v>14</v>
      </c>
      <c r="F400" s="2" t="s">
        <v>15</v>
      </c>
      <c r="G400" s="2" t="s">
        <v>1212</v>
      </c>
      <c r="H400" s="2" t="s">
        <v>201</v>
      </c>
      <c r="I400" s="2" t="str">
        <f>IFERROR(__xludf.DUMMYFUNCTION("GOOGLETRANSLATE(C400,""fr"",""en"")"),"Their price is attractive but the second year is no longer the case at all, saying that the number of accidents and flights increased in your city with regard to your car. Another problem meeting with them is that despite that my contract has to date a ye"&amp;"ar it does not accept termination when the request has been made in the rules and by my future insurer. I am disappointed with this insurance.")</f>
        <v>Their price is attractive but the second year is no longer the case at all, saying that the number of accidents and flights increased in your city with regard to your car. Another problem meeting with them is that despite that my contract has to date a year it does not accept termination when the request has been made in the rules and by my future insurer. I am disappointed with this insurance.</v>
      </c>
    </row>
    <row r="401" ht="15.75" customHeight="1">
      <c r="A401" s="2">
        <v>5.0</v>
      </c>
      <c r="B401" s="2" t="s">
        <v>1213</v>
      </c>
      <c r="C401" s="2" t="s">
        <v>1214</v>
      </c>
      <c r="D401" s="2" t="s">
        <v>229</v>
      </c>
      <c r="E401" s="2" t="s">
        <v>96</v>
      </c>
      <c r="F401" s="2" t="s">
        <v>15</v>
      </c>
      <c r="G401" s="2" t="s">
        <v>1215</v>
      </c>
      <c r="H401" s="2" t="s">
        <v>142</v>
      </c>
      <c r="I401" s="2" t="str">
        <f>IFERROR(__xludf.DUMMYFUNCTION("GOOGLETRANSLATE(C401,""fr"",""en"")"),"Simplicity and reliability")</f>
        <v>Simplicity and reliability</v>
      </c>
    </row>
    <row r="402" ht="15.75" customHeight="1">
      <c r="A402" s="2">
        <v>3.0</v>
      </c>
      <c r="B402" s="2" t="s">
        <v>1216</v>
      </c>
      <c r="C402" s="2" t="s">
        <v>1217</v>
      </c>
      <c r="D402" s="2" t="s">
        <v>37</v>
      </c>
      <c r="E402" s="2" t="s">
        <v>14</v>
      </c>
      <c r="F402" s="2" t="s">
        <v>15</v>
      </c>
      <c r="G402" s="2" t="s">
        <v>619</v>
      </c>
      <c r="H402" s="2" t="s">
        <v>28</v>
      </c>
      <c r="I402" s="2" t="str">
        <f>IFERROR(__xludf.DUMMYFUNCTION("GOOGLETRANSLATE(C402,""fr"",""en"")"),"Simple and practical affordable price
Too bad the Maestro cards are not accepted during payment. The prices could be more competitive in the prices practiced by competition.
")</f>
        <v>Simple and practical affordable price
Too bad the Maestro cards are not accepted during payment. The prices could be more competitive in the prices practiced by competition.
</v>
      </c>
    </row>
    <row r="403" ht="15.75" customHeight="1">
      <c r="A403" s="2">
        <v>5.0</v>
      </c>
      <c r="B403" s="2" t="s">
        <v>1218</v>
      </c>
      <c r="C403" s="2" t="s">
        <v>1219</v>
      </c>
      <c r="D403" s="2" t="s">
        <v>75</v>
      </c>
      <c r="E403" s="2" t="s">
        <v>14</v>
      </c>
      <c r="F403" s="2" t="s">
        <v>15</v>
      </c>
      <c r="G403" s="2" t="s">
        <v>267</v>
      </c>
      <c r="H403" s="2" t="s">
        <v>86</v>
      </c>
      <c r="I403" s="2" t="str">
        <f>IFERROR(__xludf.DUMMYFUNCTION("GOOGLETRANSLATE(C403,""fr"",""en"")"),"I am satisfied, the prices are attractive. It goes fast and everything is well explained. This insurance, says it is a customer for not too expensive. I hope it will be there if necessary.")</f>
        <v>I am satisfied, the prices are attractive. It goes fast and everything is well explained. This insurance, says it is a customer for not too expensive. I hope it will be there if necessary.</v>
      </c>
    </row>
    <row r="404" ht="15.75" customHeight="1">
      <c r="A404" s="2">
        <v>1.0</v>
      </c>
      <c r="B404" s="2" t="s">
        <v>1220</v>
      </c>
      <c r="C404" s="2" t="s">
        <v>1221</v>
      </c>
      <c r="D404" s="2" t="s">
        <v>221</v>
      </c>
      <c r="E404" s="2" t="s">
        <v>14</v>
      </c>
      <c r="F404" s="2" t="s">
        <v>15</v>
      </c>
      <c r="G404" s="2" t="s">
        <v>1222</v>
      </c>
      <c r="H404" s="2" t="s">
        <v>694</v>
      </c>
      <c r="I404" s="2" t="str">
        <f>IFERROR(__xludf.DUMMYFUNCTION("GOOGLETRANSLATE(C404,""fr"",""en"")"),"Insurance without interest, guaranteed below the average for prices above the average is capable of terminating your contract without any reason. Not reliable, no contact. I do not recommend it. There is much more serious on the market.")</f>
        <v>Insurance without interest, guaranteed below the average for prices above the average is capable of terminating your contract without any reason. Not reliable, no contact. I do not recommend it. There is much more serious on the market.</v>
      </c>
    </row>
    <row r="405" ht="15.75" customHeight="1">
      <c r="A405" s="2">
        <v>1.0</v>
      </c>
      <c r="B405" s="2" t="s">
        <v>1223</v>
      </c>
      <c r="C405" s="2" t="s">
        <v>1224</v>
      </c>
      <c r="D405" s="2" t="s">
        <v>75</v>
      </c>
      <c r="E405" s="2" t="s">
        <v>14</v>
      </c>
      <c r="F405" s="2" t="s">
        <v>15</v>
      </c>
      <c r="G405" s="2" t="s">
        <v>196</v>
      </c>
      <c r="H405" s="2" t="s">
        <v>193</v>
      </c>
      <c r="I405" s="2" t="str">
        <f>IFERROR(__xludf.DUMMYFUNCTION("GOOGLETRANSLATE(C405,""fr"",""en"")"),"Insurance to flee completely since the 1 month I had an accident or the other driver is completely responsible because he burns a stop, or we considered my car as a vei after only 2 weeks a diagnostic expert is repairable. The garage tells me today that t"&amp;"here are 1 month of repair but Direct Assurance does not want to lend me a car while waiting for all this to take time because of them and their lack of communication with the experts m, the garage ...
I end up with a newborn without a car and don't want"&amp;" to know anything
")</f>
        <v>Insurance to flee completely since the 1 month I had an accident or the other driver is completely responsible because he burns a stop, or we considered my car as a vei after only 2 weeks a diagnostic expert is repairable. The garage tells me today that there are 1 month of repair but Direct Assurance does not want to lend me a car while waiting for all this to take time because of them and their lack of communication with the experts m, the garage ...
I end up with a newborn without a car and don't want to know anything
</v>
      </c>
    </row>
    <row r="406" ht="15.75" customHeight="1">
      <c r="A406" s="2">
        <v>3.0</v>
      </c>
      <c r="B406" s="2" t="s">
        <v>1225</v>
      </c>
      <c r="C406" s="2" t="s">
        <v>1226</v>
      </c>
      <c r="D406" s="2" t="s">
        <v>95</v>
      </c>
      <c r="E406" s="2" t="s">
        <v>96</v>
      </c>
      <c r="F406" s="2" t="s">
        <v>15</v>
      </c>
      <c r="G406" s="2" t="s">
        <v>772</v>
      </c>
      <c r="H406" s="2" t="s">
        <v>28</v>
      </c>
      <c r="I406" s="2" t="str">
        <f>IFERROR(__xludf.DUMMYFUNCTION("GOOGLETRANSLATE(C406,""fr"",""en"")"),"Satisfied speed on site, for the rest I would share it later. What is certain is that it is quite fast. I'm happy to have a good recommendation")</f>
        <v>Satisfied speed on site, for the rest I would share it later. What is certain is that it is quite fast. I'm happy to have a good recommendation</v>
      </c>
    </row>
    <row r="407" ht="15.75" customHeight="1">
      <c r="A407" s="2">
        <v>4.0</v>
      </c>
      <c r="B407" s="2" t="s">
        <v>1227</v>
      </c>
      <c r="C407" s="2" t="s">
        <v>1228</v>
      </c>
      <c r="D407" s="2" t="s">
        <v>37</v>
      </c>
      <c r="E407" s="2" t="s">
        <v>14</v>
      </c>
      <c r="F407" s="2" t="s">
        <v>15</v>
      </c>
      <c r="G407" s="2" t="s">
        <v>1229</v>
      </c>
      <c r="H407" s="2" t="s">
        <v>28</v>
      </c>
      <c r="I407" s="2" t="str">
        <f>IFERROR(__xludf.DUMMYFUNCTION("GOOGLETRANSLATE(C407,""fr"",""en"")"),"Very professional operator on the phone and reassuring, answers questions without forcing. Viewing the interview that decided to trust you")</f>
        <v>Very professional operator on the phone and reassuring, answers questions without forcing. Viewing the interview that decided to trust you</v>
      </c>
    </row>
    <row r="408" ht="15.75" customHeight="1">
      <c r="A408" s="2">
        <v>1.0</v>
      </c>
      <c r="B408" s="2" t="s">
        <v>1230</v>
      </c>
      <c r="C408" s="2" t="s">
        <v>1231</v>
      </c>
      <c r="D408" s="2" t="s">
        <v>75</v>
      </c>
      <c r="E408" s="2" t="s">
        <v>14</v>
      </c>
      <c r="F408" s="2" t="s">
        <v>15</v>
      </c>
      <c r="G408" s="2" t="s">
        <v>591</v>
      </c>
      <c r="H408" s="2" t="s">
        <v>28</v>
      </c>
      <c r="I408" s="2" t="str">
        <f>IFERROR(__xludf.DUMMYFUNCTION("GOOGLETRANSLATE(C408,""fr"",""en"")"),"My subscription jumped this year when I had no claim last year. So much for the price. As for the services I have never used you before ...")</f>
        <v>My subscription jumped this year when I had no claim last year. So much for the price. As for the services I have never used you before ...</v>
      </c>
    </row>
    <row r="409" ht="15.75" customHeight="1">
      <c r="A409" s="2">
        <v>1.0</v>
      </c>
      <c r="B409" s="2" t="s">
        <v>1232</v>
      </c>
      <c r="C409" s="2" t="s">
        <v>1233</v>
      </c>
      <c r="D409" s="2" t="s">
        <v>64</v>
      </c>
      <c r="E409" s="2" t="s">
        <v>65</v>
      </c>
      <c r="F409" s="2" t="s">
        <v>15</v>
      </c>
      <c r="G409" s="2" t="s">
        <v>1234</v>
      </c>
      <c r="H409" s="2" t="s">
        <v>23</v>
      </c>
      <c r="I409" s="2" t="str">
        <f>IFERROR(__xludf.DUMMYFUNCTION("GOOGLETRANSLATE(C409,""fr"",""en"")"),"Little available staff, never respond to advice requests and never recall when you ask them.")</f>
        <v>Little available staff, never respond to advice requests and never recall when you ask them.</v>
      </c>
    </row>
    <row r="410" ht="15.75" customHeight="1">
      <c r="A410" s="2">
        <v>4.0</v>
      </c>
      <c r="B410" s="2" t="s">
        <v>1235</v>
      </c>
      <c r="C410" s="2" t="s">
        <v>1236</v>
      </c>
      <c r="D410" s="2" t="s">
        <v>75</v>
      </c>
      <c r="E410" s="2" t="s">
        <v>14</v>
      </c>
      <c r="F410" s="2" t="s">
        <v>15</v>
      </c>
      <c r="G410" s="2" t="s">
        <v>452</v>
      </c>
      <c r="H410" s="2" t="s">
        <v>86</v>
      </c>
      <c r="I410" s="2" t="str">
        <f>IFERROR(__xludf.DUMMYFUNCTION("GOOGLETRANSLATE(C410,""fr"",""en"")"),"Change due to a prohibitive cost of our insurance following a responsible disaster.
Website is not super efficient, but a call for customer service and everything is better.
A view on the long term...")</f>
        <v>Change due to a prohibitive cost of our insurance following a responsible disaster.
Website is not super efficient, but a call for customer service and everything is better.
A view on the long term...</v>
      </c>
    </row>
    <row r="411" ht="15.75" customHeight="1">
      <c r="A411" s="2">
        <v>1.0</v>
      </c>
      <c r="B411" s="2" t="s">
        <v>1237</v>
      </c>
      <c r="C411" s="2" t="s">
        <v>1238</v>
      </c>
      <c r="D411" s="2" t="s">
        <v>313</v>
      </c>
      <c r="E411" s="2" t="s">
        <v>90</v>
      </c>
      <c r="F411" s="2" t="s">
        <v>15</v>
      </c>
      <c r="G411" s="2" t="s">
        <v>1239</v>
      </c>
      <c r="H411" s="2" t="s">
        <v>501</v>
      </c>
      <c r="I411" s="2" t="str">
        <f>IFERROR(__xludf.DUMMYFUNCTION("GOOGLETRANSLATE(C411,""fr"",""en"")"),"You sell a mirobal contract by phone, when you receive it by email it is not that at all, so I canceled the next day either within the legal period. 15 days later withdrawal of 160.60, this is called the authorized flight")</f>
        <v>You sell a mirobal contract by phone, when you receive it by email it is not that at all, so I canceled the next day either within the legal period. 15 days later withdrawal of 160.60, this is called the authorized flight</v>
      </c>
    </row>
    <row r="412" ht="15.75" customHeight="1">
      <c r="A412" s="2">
        <v>5.0</v>
      </c>
      <c r="B412" s="2" t="s">
        <v>1240</v>
      </c>
      <c r="C412" s="2" t="s">
        <v>1241</v>
      </c>
      <c r="D412" s="2" t="s">
        <v>75</v>
      </c>
      <c r="E412" s="2" t="s">
        <v>14</v>
      </c>
      <c r="F412" s="2" t="s">
        <v>15</v>
      </c>
      <c r="G412" s="2" t="s">
        <v>1242</v>
      </c>
      <c r="H412" s="2" t="s">
        <v>521</v>
      </c>
      <c r="I412" s="2" t="str">
        <f>IFERROR(__xludf.DUMMYFUNCTION("GOOGLETRANSLATE(C412,""fr"",""en"")"),"Fast and efficient. A simple vision of guarantees which are perfectly suited to my vehicle? The advice is also relevant and allow you to choose in full knowledge of the formula best suited to my needs.")</f>
        <v>Fast and efficient. A simple vision of guarantees which are perfectly suited to my vehicle? The advice is also relevant and allow you to choose in full knowledge of the formula best suited to my needs.</v>
      </c>
    </row>
    <row r="413" ht="15.75" customHeight="1">
      <c r="A413" s="2">
        <v>5.0</v>
      </c>
      <c r="B413" s="2" t="s">
        <v>1243</v>
      </c>
      <c r="C413" s="2" t="s">
        <v>1244</v>
      </c>
      <c r="D413" s="2" t="s">
        <v>37</v>
      </c>
      <c r="E413" s="2" t="s">
        <v>14</v>
      </c>
      <c r="F413" s="2" t="s">
        <v>15</v>
      </c>
      <c r="G413" s="2" t="s">
        <v>1023</v>
      </c>
      <c r="H413" s="2" t="s">
        <v>77</v>
      </c>
      <c r="I413" s="2" t="str">
        <f>IFERROR(__xludf.DUMMYFUNCTION("GOOGLETRANSLATE(C413,""fr"",""en"")"),"Completely satisfied with the advisor I had in Tel, Elocution, Carté, Proposed price. Now to see on disputes, I had a concern on the other contract, I did my windshield and, as if by chance, a document is missing on my contract ...")</f>
        <v>Completely satisfied with the advisor I had in Tel, Elocution, Carté, Proposed price. Now to see on disputes, I had a concern on the other contract, I did my windshield and, as if by chance, a document is missing on my contract ...</v>
      </c>
    </row>
    <row r="414" ht="15.75" customHeight="1">
      <c r="A414" s="2">
        <v>5.0</v>
      </c>
      <c r="B414" s="2" t="s">
        <v>1245</v>
      </c>
      <c r="C414" s="2" t="s">
        <v>1246</v>
      </c>
      <c r="D414" s="2" t="s">
        <v>37</v>
      </c>
      <c r="E414" s="2" t="s">
        <v>14</v>
      </c>
      <c r="F414" s="2" t="s">
        <v>15</v>
      </c>
      <c r="G414" s="2" t="s">
        <v>1247</v>
      </c>
      <c r="H414" s="2" t="s">
        <v>86</v>
      </c>
      <c r="I414" s="2" t="str">
        <f>IFERROR(__xludf.DUMMYFUNCTION("GOOGLETRANSLATE(C414,""fr"",""en"")"),"Satisfied with the customer service by phone The employee was very understanding, explained the terms of the insurance very well and we were able to move forward quickly.")</f>
        <v>Satisfied with the customer service by phone The employee was very understanding, explained the terms of the insurance very well and we were able to move forward quickly.</v>
      </c>
    </row>
    <row r="415" ht="15.75" customHeight="1">
      <c r="A415" s="2">
        <v>3.0</v>
      </c>
      <c r="B415" s="2" t="s">
        <v>1248</v>
      </c>
      <c r="C415" s="2" t="s">
        <v>1249</v>
      </c>
      <c r="D415" s="2" t="s">
        <v>221</v>
      </c>
      <c r="E415" s="2" t="s">
        <v>14</v>
      </c>
      <c r="F415" s="2" t="s">
        <v>15</v>
      </c>
      <c r="G415" s="2" t="s">
        <v>66</v>
      </c>
      <c r="H415" s="2" t="s">
        <v>111</v>
      </c>
      <c r="I415" s="2" t="str">
        <f>IFERROR(__xludf.DUMMYFUNCTION("GOOGLETRANSLATE(C415,""fr"",""en"")"),"Although I always find the price of high insurance, the service rendered is correct and the stakeholders very competent. A little criticism, however, is the waiting time during a telephone call. Otherwise I say that I am generally satisfied with my insura"&amp;"nce")</f>
        <v>Although I always find the price of high insurance, the service rendered is correct and the stakeholders very competent. A little criticism, however, is the waiting time during a telephone call. Otherwise I say that I am generally satisfied with my insurance</v>
      </c>
    </row>
    <row r="416" ht="15.75" customHeight="1">
      <c r="A416" s="2">
        <v>4.0</v>
      </c>
      <c r="B416" s="2" t="s">
        <v>1250</v>
      </c>
      <c r="C416" s="2" t="s">
        <v>1251</v>
      </c>
      <c r="D416" s="2" t="s">
        <v>37</v>
      </c>
      <c r="E416" s="2" t="s">
        <v>14</v>
      </c>
      <c r="F416" s="2" t="s">
        <v>15</v>
      </c>
      <c r="G416" s="2" t="s">
        <v>1252</v>
      </c>
      <c r="H416" s="2" t="s">
        <v>77</v>
      </c>
      <c r="I416" s="2" t="str">
        <f>IFERROR(__xludf.DUMMYFUNCTION("GOOGLETRANSLATE(C416,""fr"",""en"")"),"I am satisfied with speed and price. After we will see if one day I have a breakdown how it is managed. I would see later. In the meantime this suits me")</f>
        <v>I am satisfied with speed and price. After we will see if one day I have a breakdown how it is managed. I would see later. In the meantime this suits me</v>
      </c>
    </row>
    <row r="417" ht="15.75" customHeight="1">
      <c r="A417" s="2">
        <v>1.0</v>
      </c>
      <c r="B417" s="2" t="s">
        <v>1253</v>
      </c>
      <c r="C417" s="2" t="s">
        <v>1254</v>
      </c>
      <c r="D417" s="2" t="s">
        <v>980</v>
      </c>
      <c r="E417" s="2" t="s">
        <v>21</v>
      </c>
      <c r="F417" s="2" t="s">
        <v>15</v>
      </c>
      <c r="G417" s="2" t="s">
        <v>1255</v>
      </c>
      <c r="H417" s="2" t="s">
        <v>402</v>
      </c>
      <c r="I417" s="2" t="str">
        <f>IFERROR(__xludf.DUMMYFUNCTION("GOOGLETRANSLATE(C417,""fr"",""en"")"),"The service that deals with claims has become unreachable and ineffective.
ACM is all risk insurance on paper but in the end the file is dragged, we ask for parts and supporting more ends: fed up
")</f>
        <v>The service that deals with claims has become unreachable and ineffective.
ACM is all risk insurance on paper but in the end the file is dragged, we ask for parts and supporting more ends: fed up
</v>
      </c>
    </row>
    <row r="418" ht="15.75" customHeight="1">
      <c r="A418" s="2">
        <v>3.0</v>
      </c>
      <c r="B418" s="2" t="s">
        <v>1256</v>
      </c>
      <c r="C418" s="2" t="s">
        <v>1257</v>
      </c>
      <c r="D418" s="2" t="s">
        <v>173</v>
      </c>
      <c r="E418" s="2" t="s">
        <v>32</v>
      </c>
      <c r="F418" s="2" t="s">
        <v>15</v>
      </c>
      <c r="G418" s="2" t="s">
        <v>1258</v>
      </c>
      <c r="H418" s="2" t="s">
        <v>282</v>
      </c>
      <c r="I418" s="2" t="str">
        <f>IFERROR(__xludf.DUMMYFUNCTION("GOOGLETRANSLATE(C418,""fr"",""en"")"),"mutual reactive and positive price compared to the guarantee explanation clearly facilitated to change module")</f>
        <v>mutual reactive and positive price compared to the guarantee explanation clearly facilitated to change module</v>
      </c>
    </row>
    <row r="419" ht="15.75" customHeight="1">
      <c r="A419" s="2">
        <v>4.0</v>
      </c>
      <c r="B419" s="2" t="s">
        <v>1259</v>
      </c>
      <c r="C419" s="2" t="s">
        <v>1260</v>
      </c>
      <c r="D419" s="2" t="s">
        <v>229</v>
      </c>
      <c r="E419" s="2" t="s">
        <v>96</v>
      </c>
      <c r="F419" s="2" t="s">
        <v>15</v>
      </c>
      <c r="G419" s="2" t="s">
        <v>1261</v>
      </c>
      <c r="H419" s="2" t="s">
        <v>39</v>
      </c>
      <c r="I419" s="2" t="str">
        <f>IFERROR(__xludf.DUMMYFUNCTION("GOOGLETRANSLATE(C419,""fr"",""en"")"),"Prices are satisfactory compared to other competitors.
The website is easy to use and the information available is clear.")</f>
        <v>Prices are satisfactory compared to other competitors.
The website is easy to use and the information available is clear.</v>
      </c>
    </row>
    <row r="420" ht="15.75" customHeight="1">
      <c r="A420" s="2">
        <v>4.0</v>
      </c>
      <c r="B420" s="2" t="s">
        <v>1262</v>
      </c>
      <c r="C420" s="2" t="s">
        <v>1263</v>
      </c>
      <c r="D420" s="2" t="s">
        <v>70</v>
      </c>
      <c r="E420" s="2" t="s">
        <v>14</v>
      </c>
      <c r="F420" s="2" t="s">
        <v>15</v>
      </c>
      <c r="G420" s="2" t="s">
        <v>636</v>
      </c>
      <c r="H420" s="2" t="s">
        <v>77</v>
      </c>
      <c r="I420" s="2" t="str">
        <f>IFERROR(__xludf.DUMMYFUNCTION("GOOGLETRANSLATE(C420,""fr"",""en"")"),"I am satisfied with the service and I would like the service initiated with the advisor to be followed over time as part of a quote on the phone.")</f>
        <v>I am satisfied with the service and I would like the service initiated with the advisor to be followed over time as part of a quote on the phone.</v>
      </c>
    </row>
    <row r="421" ht="15.75" customHeight="1">
      <c r="A421" s="2">
        <v>2.0</v>
      </c>
      <c r="B421" s="2" t="s">
        <v>1264</v>
      </c>
      <c r="C421" s="2" t="s">
        <v>1265</v>
      </c>
      <c r="D421" s="2" t="s">
        <v>55</v>
      </c>
      <c r="E421" s="2" t="s">
        <v>14</v>
      </c>
      <c r="F421" s="2" t="s">
        <v>15</v>
      </c>
      <c r="G421" s="2" t="s">
        <v>1266</v>
      </c>
      <c r="H421" s="2" t="s">
        <v>565</v>
      </c>
      <c r="I421" s="2" t="str">
        <f>IFERROR(__xludf.DUMMYFUNCTION("GOOGLETRANSLATE(C421,""fr"",""en"")"),"I join many opinions seen previously. As long as you bring them money and you don't cost them anything, everything is going well! By cons if you want insurance on which you can count and that do its job, go your way! Nothing for years and there 2 accident"&amp;"s in 2 months including 1 not responsible and I am kindly told to go see elsewhere! The height is noted ""total responsibility"" on my information statement when this is not the case! I was violently struck on the highway, a flight offense. I file a compl"&amp;"aint but as there is no seriously injured the police makes me understand that they will do nothing, do not tell me that there is no camera on the A7 !!!. So no third party, big repairs at their expense OK but it is not my fault if the police consider that"&amp;" it is not serious enough for them to deal with it! I refuse to pay for human stupidity ... but it does not seem to disturb the insurer ...")</f>
        <v>I join many opinions seen previously. As long as you bring them money and you don't cost them anything, everything is going well! By cons if you want insurance on which you can count and that do its job, go your way! Nothing for years and there 2 accidents in 2 months including 1 not responsible and I am kindly told to go see elsewhere! The height is noted "total responsibility" on my information statement when this is not the case! I was violently struck on the highway, a flight offense. I file a complaint but as there is no seriously injured the police makes me understand that they will do nothing, do not tell me that there is no camera on the A7 !!!. So no third party, big repairs at their expense OK but it is not my fault if the police consider that it is not serious enough for them to deal with it! I refuse to pay for human stupidity ... but it does not seem to disturb the insurer ...</v>
      </c>
    </row>
    <row r="422" ht="15.75" customHeight="1">
      <c r="A422" s="2">
        <v>4.0</v>
      </c>
      <c r="B422" s="2" t="s">
        <v>1267</v>
      </c>
      <c r="C422" s="2" t="s">
        <v>1268</v>
      </c>
      <c r="D422" s="2" t="s">
        <v>37</v>
      </c>
      <c r="E422" s="2" t="s">
        <v>14</v>
      </c>
      <c r="F422" s="2" t="s">
        <v>15</v>
      </c>
      <c r="G422" s="2" t="s">
        <v>1269</v>
      </c>
      <c r="H422" s="2" t="s">
        <v>98</v>
      </c>
      <c r="I422" s="2" t="str">
        <f>IFERROR(__xludf.DUMMYFUNCTION("GOOGLETRANSLATE(C422,""fr"",""en"")"),"I am satisfied with the services and advantageous prices. The advisor was very explanatory regarding the procedure to follow. Thank you very much I highly recommend assurance the olive tree.")</f>
        <v>I am satisfied with the services and advantageous prices. The advisor was very explanatory regarding the procedure to follow. Thank you very much I highly recommend assurance the olive tree.</v>
      </c>
    </row>
    <row r="423" ht="15.75" customHeight="1">
      <c r="A423" s="2">
        <v>3.0</v>
      </c>
      <c r="B423" s="2" t="s">
        <v>1270</v>
      </c>
      <c r="C423" s="2" t="s">
        <v>1271</v>
      </c>
      <c r="D423" s="2" t="s">
        <v>158</v>
      </c>
      <c r="E423" s="2" t="s">
        <v>14</v>
      </c>
      <c r="F423" s="2" t="s">
        <v>15</v>
      </c>
      <c r="G423" s="2" t="s">
        <v>1272</v>
      </c>
      <c r="H423" s="2" t="s">
        <v>28</v>
      </c>
      <c r="I423" s="2" t="str">
        <f>IFERROR(__xludf.DUMMYFUNCTION("GOOGLETRANSLATE(C423,""fr"",""en"")"),"Following a car accident on the highway, Maif, my insurer, contacted the vehicle insurer in question 5 months ago. I am not responsable. Since the MAIF has been satisfied with a recall letter once a month! The dispute is not likely to be resolved !!! Impo"&amp;"ssible to have the vehicle repaired since the expert cannot pass. I am looking for solutions to make things happen since the insurer does not seem ready to do it!
Phew, I was going to take out life insurance ... I did it but with AXA with a very listenin"&amp;"g advisor who does not hesitate to intervene to solve problems")</f>
        <v>Following a car accident on the highway, Maif, my insurer, contacted the vehicle insurer in question 5 months ago. I am not responsable. Since the MAIF has been satisfied with a recall letter once a month! The dispute is not likely to be resolved !!! Impossible to have the vehicle repaired since the expert cannot pass. I am looking for solutions to make things happen since the insurer does not seem ready to do it!
Phew, I was going to take out life insurance ... I did it but with AXA with a very listening advisor who does not hesitate to intervene to solve problems</v>
      </c>
    </row>
    <row r="424" ht="15.75" customHeight="1">
      <c r="A424" s="2">
        <v>4.0</v>
      </c>
      <c r="B424" s="2" t="s">
        <v>1273</v>
      </c>
      <c r="C424" s="2" t="s">
        <v>1274</v>
      </c>
      <c r="D424" s="2" t="s">
        <v>394</v>
      </c>
      <c r="E424" s="2" t="s">
        <v>32</v>
      </c>
      <c r="F424" s="2" t="s">
        <v>15</v>
      </c>
      <c r="G424" s="2" t="s">
        <v>891</v>
      </c>
      <c r="H424" s="2" t="s">
        <v>193</v>
      </c>
      <c r="I424" s="2" t="str">
        <f>IFERROR(__xludf.DUMMYFUNCTION("GOOGLETRANSLATE(C424,""fr"",""en"")"),"Hello this morning I called you for information concerning my registration to be able to consult my reimbursements because you send me an email giving me that I have documents but the email has no attachment and I could not enter on your website. Your hel"&amp;"p Madame Ouria was of great help to me. Thank you for your kindness.
Madame Sévin")</f>
        <v>Hello this morning I called you for information concerning my registration to be able to consult my reimbursements because you send me an email giving me that I have documents but the email has no attachment and I could not enter on your website. Your help Madame Ouria was of great help to me. Thank you for your kindness.
Madame Sévin</v>
      </c>
    </row>
    <row r="425" ht="15.75" customHeight="1">
      <c r="A425" s="2">
        <v>1.0</v>
      </c>
      <c r="B425" s="2" t="s">
        <v>1275</v>
      </c>
      <c r="C425" s="2" t="s">
        <v>1276</v>
      </c>
      <c r="D425" s="2" t="s">
        <v>152</v>
      </c>
      <c r="E425" s="2" t="s">
        <v>153</v>
      </c>
      <c r="F425" s="2" t="s">
        <v>15</v>
      </c>
      <c r="G425" s="2" t="s">
        <v>1277</v>
      </c>
      <c r="H425" s="2" t="s">
        <v>115</v>
      </c>
      <c r="I425" s="2" t="str">
        <f>IFERROR(__xludf.DUMMYFUNCTION("GOOGLETRANSLATE(C425,""fr"",""en"")"),"Very load poor experience in terms of care: anonymity, standardized responses, incessant requests ""medical advice"" slowness of treatment")</f>
        <v>Very load poor experience in terms of care: anonymity, standardized responses, incessant requests "medical advice" slowness of treatment</v>
      </c>
    </row>
    <row r="426" ht="15.75" customHeight="1">
      <c r="A426" s="2">
        <v>1.0</v>
      </c>
      <c r="B426" s="2" t="s">
        <v>1278</v>
      </c>
      <c r="C426" s="2" t="s">
        <v>1279</v>
      </c>
      <c r="D426" s="2" t="s">
        <v>26</v>
      </c>
      <c r="E426" s="2" t="s">
        <v>21</v>
      </c>
      <c r="F426" s="2" t="s">
        <v>15</v>
      </c>
      <c r="G426" s="2" t="s">
        <v>1280</v>
      </c>
      <c r="H426" s="2" t="s">
        <v>77</v>
      </c>
      <c r="I426" s="2" t="str">
        <f>IFERROR(__xludf.DUMMYFUNCTION("GOOGLETRANSLATE(C426,""fr"",""en"")"),"Axa had the good idea to relocate the sinister service in Morocco.
They judge and manage our files according to what we impose on them.
Delocating people's insurance who may not understand our claims.
Not the same weather environment is from the big on"&amp;"e.
Each time puts us on hold to ask a question to its delete ""to rescue""
Another new way not to pay people because interlocutors who understand nothing !!!.
")</f>
        <v>Axa had the good idea to relocate the sinister service in Morocco.
They judge and manage our files according to what we impose on them.
Delocating people's insurance who may not understand our claims.
Not the same weather environment is from the big one.
Each time puts us on hold to ask a question to its delete "to rescue"
Another new way not to pay people because interlocutors who understand nothing !!!.
</v>
      </c>
    </row>
    <row r="427" ht="15.75" customHeight="1">
      <c r="A427" s="2">
        <v>5.0</v>
      </c>
      <c r="B427" s="2" t="s">
        <v>1281</v>
      </c>
      <c r="C427" s="2" t="s">
        <v>1282</v>
      </c>
      <c r="D427" s="2" t="s">
        <v>37</v>
      </c>
      <c r="E427" s="2" t="s">
        <v>14</v>
      </c>
      <c r="F427" s="2" t="s">
        <v>15</v>
      </c>
      <c r="G427" s="2" t="s">
        <v>107</v>
      </c>
      <c r="H427" s="2" t="s">
        <v>107</v>
      </c>
      <c r="I427" s="2" t="str">
        <f>IFERROR(__xludf.DUMMYFUNCTION("GOOGLETRANSLATE(C427,""fr"",""en"")"),"I am satisfied with my insurance customer service is perfect, at the price levels I am nothing to complain about the services that are offered to meet my expectations")</f>
        <v>I am satisfied with my insurance customer service is perfect, at the price levels I am nothing to complain about the services that are offered to meet my expectations</v>
      </c>
    </row>
    <row r="428" ht="15.75" customHeight="1">
      <c r="A428" s="2">
        <v>5.0</v>
      </c>
      <c r="B428" s="2" t="s">
        <v>1283</v>
      </c>
      <c r="C428" s="2" t="s">
        <v>1284</v>
      </c>
      <c r="D428" s="2" t="s">
        <v>173</v>
      </c>
      <c r="E428" s="2" t="s">
        <v>32</v>
      </c>
      <c r="F428" s="2" t="s">
        <v>15</v>
      </c>
      <c r="G428" s="2" t="s">
        <v>1285</v>
      </c>
      <c r="H428" s="2" t="s">
        <v>565</v>
      </c>
      <c r="I428" s="2" t="str">
        <f>IFERROR(__xludf.DUMMYFUNCTION("GOOGLETRANSLATE(C428,""fr"",""en"")"),"Services up to the expectations and the available and attentive contract. electronic platform. Adaptation of the contract if necessary")</f>
        <v>Services up to the expectations and the available and attentive contract. electronic platform. Adaptation of the contract if necessary</v>
      </c>
    </row>
    <row r="429" ht="15.75" customHeight="1">
      <c r="A429" s="2">
        <v>4.0</v>
      </c>
      <c r="B429" s="2" t="s">
        <v>1286</v>
      </c>
      <c r="C429" s="2" t="s">
        <v>1287</v>
      </c>
      <c r="D429" s="2" t="s">
        <v>37</v>
      </c>
      <c r="E429" s="2" t="s">
        <v>14</v>
      </c>
      <c r="F429" s="2" t="s">
        <v>15</v>
      </c>
      <c r="G429" s="2" t="s">
        <v>1288</v>
      </c>
      <c r="H429" s="2" t="s">
        <v>86</v>
      </c>
      <c r="I429" s="2" t="str">
        <f>IFERROR(__xludf.DUMMYFUNCTION("GOOGLETRANSLATE(C429,""fr"",""en"")"),"The prices are very competitive.
Nothing to do with my old insurer.
I hope to obtain satisfaction with your company.
For the moment, I have nothing to report negative because the online interlocutor has been very clear.")</f>
        <v>The prices are very competitive.
Nothing to do with my old insurer.
I hope to obtain satisfaction with your company.
For the moment, I have nothing to report negative because the online interlocutor has been very clear.</v>
      </c>
    </row>
    <row r="430" ht="15.75" customHeight="1">
      <c r="A430" s="2">
        <v>1.0</v>
      </c>
      <c r="B430" s="2" t="s">
        <v>1289</v>
      </c>
      <c r="C430" s="2" t="s">
        <v>1290</v>
      </c>
      <c r="D430" s="2" t="s">
        <v>242</v>
      </c>
      <c r="E430" s="2" t="s">
        <v>14</v>
      </c>
      <c r="F430" s="2" t="s">
        <v>15</v>
      </c>
      <c r="G430" s="2" t="s">
        <v>1291</v>
      </c>
      <c r="H430" s="2" t="s">
        <v>406</v>
      </c>
      <c r="I430" s="2" t="str">
        <f>IFERROR(__xludf.DUMMYFUNCTION("GOOGLETRANSLATE(C430,""fr"",""en"")"),"Be careful, do not subscribe to them, they are liars and not professional, I asked for a quote to ensure my sax, their quote was suitable, I accepted my quote and pay 200 euros, I sent my documents, And there I send me a second quote with an increase of 6"&amp;"0 euros, I refuse and send them a LRAR, I have been within the period of 14 days of reflection, and for more new ones, I have no longer accessed my space Customer, still not reimburse as the law provides, so I will assign them to the court, I are non -pro"&amp;"ffessional.")</f>
        <v>Be careful, do not subscribe to them, they are liars and not professional, I asked for a quote to ensure my sax, their quote was suitable, I accepted my quote and pay 200 euros, I sent my documents, And there I send me a second quote with an increase of 60 euros, I refuse and send them a LRAR, I have been within the period of 14 days of reflection, and for more new ones, I have no longer accessed my space Customer, still not reimburse as the law provides, so I will assign them to the court, I are non -proffessional.</v>
      </c>
    </row>
    <row r="431" ht="15.75" customHeight="1">
      <c r="A431" s="2">
        <v>5.0</v>
      </c>
      <c r="B431" s="2" t="s">
        <v>1292</v>
      </c>
      <c r="C431" s="2" t="s">
        <v>1293</v>
      </c>
      <c r="D431" s="2" t="s">
        <v>75</v>
      </c>
      <c r="E431" s="2" t="s">
        <v>14</v>
      </c>
      <c r="F431" s="2" t="s">
        <v>15</v>
      </c>
      <c r="G431" s="2" t="s">
        <v>1294</v>
      </c>
      <c r="H431" s="2" t="s">
        <v>107</v>
      </c>
      <c r="I431" s="2" t="str">
        <f>IFERROR(__xludf.DUMMYFUNCTION("GOOGLETRANSLATE(C431,""fr"",""en"")"),"Satisfied, good price, fast and efficient. Very happy to be able to insure my car so quickly and easily! Thanks again ! Good work !!!!!!!")</f>
        <v>Satisfied, good price, fast and efficient. Very happy to be able to insure my car so quickly and easily! Thanks again ! Good work !!!!!!!</v>
      </c>
    </row>
    <row r="432" ht="15.75" customHeight="1">
      <c r="A432" s="2">
        <v>1.0</v>
      </c>
      <c r="B432" s="2" t="s">
        <v>1295</v>
      </c>
      <c r="C432" s="2" t="s">
        <v>1296</v>
      </c>
      <c r="D432" s="2" t="s">
        <v>13</v>
      </c>
      <c r="E432" s="2" t="s">
        <v>21</v>
      </c>
      <c r="F432" s="2" t="s">
        <v>15</v>
      </c>
      <c r="G432" s="2" t="s">
        <v>347</v>
      </c>
      <c r="H432" s="2" t="s">
        <v>34</v>
      </c>
      <c r="I432" s="2" t="str">
        <f>IFERROR(__xludf.DUMMYFUNCTION("GOOGLETRANSLATE(C432,""fr"",""en"")"),"For more than 25 years at Macif, a heating pipe for the building has exploded, therefore in no way responsible for the damage caused, which forced the plumber to break my bathroom to move and replace my bathtub, the Macif refused all taking In charge (€ 1"&amp;",200 repair) of my pocket while for 25 years the Macif has collected insurance premiums without ever having to indicate me. And when I insist, the Macif declares to me: See with the Guarantee Fund !!!! Basically go ..... See elsewhere (it is when we reall"&amp;"y need them that we can know if insurance is useful), yet no claims for years for my part vis -à -vis macif")</f>
        <v>For more than 25 years at Macif, a heating pipe for the building has exploded, therefore in no way responsible for the damage caused, which forced the plumber to break my bathroom to move and replace my bathtub, the Macif refused all taking In charge (€ 1,200 repair) of my pocket while for 25 years the Macif has collected insurance premiums without ever having to indicate me. And when I insist, the Macif declares to me: See with the Guarantee Fund !!!! Basically go ..... See elsewhere (it is when we really need them that we can know if insurance is useful), yet no claims for years for my part vis -à -vis macif</v>
      </c>
    </row>
    <row r="433" ht="15.75" customHeight="1">
      <c r="A433" s="2">
        <v>2.0</v>
      </c>
      <c r="B433" s="2" t="s">
        <v>1297</v>
      </c>
      <c r="C433" s="2" t="s">
        <v>1298</v>
      </c>
      <c r="D433" s="2" t="s">
        <v>846</v>
      </c>
      <c r="E433" s="2" t="s">
        <v>153</v>
      </c>
      <c r="F433" s="2" t="s">
        <v>15</v>
      </c>
      <c r="G433" s="2" t="s">
        <v>205</v>
      </c>
      <c r="H433" s="2" t="s">
        <v>206</v>
      </c>
      <c r="I433" s="2" t="str">
        <f>IFERROR(__xludf.DUMMYFUNCTION("GOOGLETRANSLATE(C433,""fr"",""en"")"),"Super allowed me to obtain a 75%reduction from my banker from my banker. Then in accordance with the legislation I wanted to terminate the Zen Up contract.")</f>
        <v>Super allowed me to obtain a 75%reduction from my banker from my banker. Then in accordance with the legislation I wanted to terminate the Zen Up contract.</v>
      </c>
    </row>
    <row r="434" ht="15.75" customHeight="1">
      <c r="A434" s="2">
        <v>2.0</v>
      </c>
      <c r="B434" s="2" t="s">
        <v>1299</v>
      </c>
      <c r="C434" s="2" t="s">
        <v>1300</v>
      </c>
      <c r="D434" s="2" t="s">
        <v>31</v>
      </c>
      <c r="E434" s="2" t="s">
        <v>32</v>
      </c>
      <c r="F434" s="2" t="s">
        <v>15</v>
      </c>
      <c r="G434" s="2" t="s">
        <v>193</v>
      </c>
      <c r="H434" s="2" t="s">
        <v>193</v>
      </c>
      <c r="I434" s="2" t="str">
        <f>IFERROR(__xludf.DUMMYFUNCTION("GOOGLETRANSLATE(C434,""fr"",""en"")"),"Hello Mutual is too expensive compared to other private mutuals level of low reimbursement compared to the contribution premium. Best regards")</f>
        <v>Hello Mutual is too expensive compared to other private mutuals level of low reimbursement compared to the contribution premium. Best regards</v>
      </c>
    </row>
    <row r="435" ht="15.75" customHeight="1">
      <c r="A435" s="2">
        <v>1.0</v>
      </c>
      <c r="B435" s="2" t="s">
        <v>1301</v>
      </c>
      <c r="C435" s="2" t="s">
        <v>1302</v>
      </c>
      <c r="D435" s="2" t="s">
        <v>158</v>
      </c>
      <c r="E435" s="2" t="s">
        <v>14</v>
      </c>
      <c r="F435" s="2" t="s">
        <v>15</v>
      </c>
      <c r="G435" s="2" t="s">
        <v>800</v>
      </c>
      <c r="H435" s="2" t="s">
        <v>206</v>
      </c>
      <c r="I435" s="2" t="str">
        <f>IFERROR(__xludf.DUMMYFUNCTION("GOOGLETRANSLATE(C435,""fr"",""en"")"),"I have been a maif member for 44 years and I will leave this mutual insurance following the treatment of my last change of vehicle. The quotes that had been offered to me, although much higher than those of competition for a retired insured at 50% bonus f"&amp;"or over 35 years, had agreed to me but on the delivery of my vehicle I am surprised To note that the price exceeds by € 200 the initial quote with a deductible of € 770 for a fullness contract. I went to the agency near my home to try to obtain explanatio"&amp;"ns and a particularly unhappy young man explained to me ""it's the price"" ..... a point that's all. Having had high -end vehicles throughout my insured life without any responsible disaster, I feel betrayed by a mutual that has never been able to reward "&amp;"the loyalty of its members and which practices much higher rates than the competing mutuals.")</f>
        <v>I have been a maif member for 44 years and I will leave this mutual insurance following the treatment of my last change of vehicle. The quotes that had been offered to me, although much higher than those of competition for a retired insured at 50% bonus for over 35 years, had agreed to me but on the delivery of my vehicle I am surprised To note that the price exceeds by € 200 the initial quote with a deductible of € 770 for a fullness contract. I went to the agency near my home to try to obtain explanations and a particularly unhappy young man explained to me "it's the price" ..... a point that's all. Having had high -end vehicles throughout my insured life without any responsible disaster, I feel betrayed by a mutual that has never been able to reward the loyalty of its members and which practices much higher rates than the competing mutuals.</v>
      </c>
    </row>
    <row r="436" ht="15.75" customHeight="1">
      <c r="A436" s="2">
        <v>1.0</v>
      </c>
      <c r="B436" s="2" t="s">
        <v>1303</v>
      </c>
      <c r="C436" s="2" t="s">
        <v>1304</v>
      </c>
      <c r="D436" s="2" t="s">
        <v>37</v>
      </c>
      <c r="E436" s="2" t="s">
        <v>14</v>
      </c>
      <c r="F436" s="2" t="s">
        <v>15</v>
      </c>
      <c r="G436" s="2" t="s">
        <v>1305</v>
      </c>
      <c r="H436" s="2" t="s">
        <v>804</v>
      </c>
      <c r="I436" s="2" t="str">
        <f>IFERROR(__xludf.DUMMYFUNCTION("GOOGLETRANSLATE(C436,""fr"",""en"")"),"I received my maturity notice: increase of 60% (I go from € 650/year to € 1035/year) !!! Who says better ? For information, I have had no claim in recent years, I have 50% of bonuses for a very long time, no change in guarantees, in fact absolutely nothin"&amp;"g that justifies an increase in contribution so exorbitant.
After calling for customer service, I am told that it is due to a recalculation of my guarantees (however unchanged!). I retort that it is unacceptable, I am told that ... it's like that! He agr"&amp;"eed to give me a 10%discount. Obviously, I tell him to send me an information statement in order to contract insurance with a competitor more respectful of his insured.
Bye bye l'Olivier! Termination in progress ...")</f>
        <v>I received my maturity notice: increase of 60% (I go from € 650/year to € 1035/year) !!! Who says better ? For information, I have had no claim in recent years, I have 50% of bonuses for a very long time, no change in guarantees, in fact absolutely nothing that justifies an increase in contribution so exorbitant.
After calling for customer service, I am told that it is due to a recalculation of my guarantees (however unchanged!). I retort that it is unacceptable, I am told that ... it's like that! He agreed to give me a 10%discount. Obviously, I tell him to send me an information statement in order to contract insurance with a competitor more respectful of his insured.
Bye bye l'Olivier! Termination in progress ...</v>
      </c>
    </row>
    <row r="437" ht="15.75" customHeight="1">
      <c r="A437" s="2">
        <v>4.0</v>
      </c>
      <c r="B437" s="2" t="s">
        <v>1306</v>
      </c>
      <c r="C437" s="2" t="s">
        <v>1307</v>
      </c>
      <c r="D437" s="2" t="s">
        <v>55</v>
      </c>
      <c r="E437" s="2" t="s">
        <v>14</v>
      </c>
      <c r="F437" s="2" t="s">
        <v>15</v>
      </c>
      <c r="G437" s="2" t="s">
        <v>1308</v>
      </c>
      <c r="H437" s="2" t="s">
        <v>784</v>
      </c>
      <c r="I437" s="2" t="str">
        <f>IFERROR(__xludf.DUMMYFUNCTION("GOOGLETRANSLATE(C437,""fr"",""en"")"),"Excellent support, both in terms of repairs and vehicle loan. PA SDE ""PINABILABLE"" with experts. Repairs set to the Rubis garage on the nail.")</f>
        <v>Excellent support, both in terms of repairs and vehicle loan. PA SDE "PINABILABLE" with experts. Repairs set to the Rubis garage on the nail.</v>
      </c>
    </row>
    <row r="438" ht="15.75" customHeight="1">
      <c r="A438" s="2">
        <v>1.0</v>
      </c>
      <c r="B438" s="2" t="s">
        <v>1309</v>
      </c>
      <c r="C438" s="2" t="s">
        <v>1310</v>
      </c>
      <c r="D438" s="2" t="s">
        <v>152</v>
      </c>
      <c r="E438" s="2" t="s">
        <v>65</v>
      </c>
      <c r="F438" s="2" t="s">
        <v>15</v>
      </c>
      <c r="G438" s="2" t="s">
        <v>1311</v>
      </c>
      <c r="H438" s="2" t="s">
        <v>275</v>
      </c>
      <c r="I438" s="2" t="str">
        <f>IFERROR(__xludf.DUMMYFUNCTION("GOOGLETRANSLATE(C438,""fr"",""en"")"),"Hello, I have been trying to enter an arbitration via Hello Bank for 5 months and it does not work. I had an online advisor which was also blocked computer, I sent an arbitration form in hand, it was not processed. Possible to do something please? I would"&amp;" have liked not to have to get there to attract your attention.")</f>
        <v>Hello, I have been trying to enter an arbitration via Hello Bank for 5 months and it does not work. I had an online advisor which was also blocked computer, I sent an arbitration form in hand, it was not processed. Possible to do something please? I would have liked not to have to get there to attract your attention.</v>
      </c>
    </row>
    <row r="439" ht="15.75" customHeight="1">
      <c r="A439" s="2">
        <v>5.0</v>
      </c>
      <c r="B439" s="2" t="s">
        <v>1312</v>
      </c>
      <c r="C439" s="2" t="s">
        <v>1313</v>
      </c>
      <c r="D439" s="2" t="s">
        <v>75</v>
      </c>
      <c r="E439" s="2" t="s">
        <v>14</v>
      </c>
      <c r="F439" s="2" t="s">
        <v>15</v>
      </c>
      <c r="G439" s="2" t="s">
        <v>810</v>
      </c>
      <c r="H439" s="2" t="s">
        <v>107</v>
      </c>
      <c r="I439" s="2" t="str">
        <f>IFERROR(__xludf.DUMMYFUNCTION("GOOGLETRANSLATE(C439,""fr"",""en"")"),"I am super satisfied with your services as well as your very attractive prices compared to other insurer who are super expensive and are not very kind and I am sure that I will not be disappointed by your insurance for my car")</f>
        <v>I am super satisfied with your services as well as your very attractive prices compared to other insurer who are super expensive and are not very kind and I am sure that I will not be disappointed by your insurance for my car</v>
      </c>
    </row>
    <row r="440" ht="15.75" customHeight="1">
      <c r="A440" s="2">
        <v>1.0</v>
      </c>
      <c r="B440" s="2" t="s">
        <v>1314</v>
      </c>
      <c r="C440" s="2" t="s">
        <v>1315</v>
      </c>
      <c r="D440" s="2" t="s">
        <v>247</v>
      </c>
      <c r="E440" s="2" t="s">
        <v>32</v>
      </c>
      <c r="F440" s="2" t="s">
        <v>15</v>
      </c>
      <c r="G440" s="2" t="s">
        <v>1316</v>
      </c>
      <c r="H440" s="2" t="s">
        <v>286</v>
      </c>
      <c r="I440" s="2" t="str">
        <f>IFERROR(__xludf.DUMMYFUNCTION("GOOGLETRANSLATE(C440,""fr"",""en"")"),"A year ago a year ago of the complete termination of my contract when I left this mutual insurance company for a compulsory business mutual.
Today I am faced with a refusal to terminate a guarantee while I am the beneficiary of the CMU-C.
The possib"&amp;"ility of terminating a mutual before the date of contract renewal under the two conditions mentioned above is however inscribed in the law. This information is available on public service sites, but Harmonie Mutuelle seems to believe to be above the laws "&amp;"and they do not hesitate to lie to you by phone!")</f>
        <v>A year ago a year ago of the complete termination of my contract when I left this mutual insurance company for a compulsory business mutual.
Today I am faced with a refusal to terminate a guarantee while I am the beneficiary of the CMU-C.
The possibility of terminating a mutual before the date of contract renewal under the two conditions mentioned above is however inscribed in the law. This information is available on public service sites, but Harmonie Mutuelle seems to believe to be above the laws and they do not hesitate to lie to you by phone!</v>
      </c>
    </row>
    <row r="441" ht="15.75" customHeight="1">
      <c r="A441" s="2">
        <v>1.0</v>
      </c>
      <c r="B441" s="2" t="s">
        <v>1317</v>
      </c>
      <c r="C441" s="2" t="s">
        <v>1318</v>
      </c>
      <c r="D441" s="2" t="s">
        <v>1319</v>
      </c>
      <c r="E441" s="2" t="s">
        <v>96</v>
      </c>
      <c r="F441" s="2" t="s">
        <v>15</v>
      </c>
      <c r="G441" s="2" t="s">
        <v>1320</v>
      </c>
      <c r="H441" s="2" t="s">
        <v>83</v>
      </c>
      <c r="I441" s="2" t="str">
        <f>IFERROR(__xludf.DUMMYFUNCTION("GOOGLETRANSLATE(C441,""fr"",""en"")"),"To flee.
They are only brokers .... Treat only with AXA
 which is to be the real insurer
Internet insurance, despite their attractive price, are to be fleeled very quickly ......")</f>
        <v>To flee.
They are only brokers .... Treat only with AXA
 which is to be the real insurer
Internet insurance, despite their attractive price, are to be fleeled very quickly ......</v>
      </c>
    </row>
    <row r="442" ht="15.75" customHeight="1">
      <c r="A442" s="2">
        <v>2.0</v>
      </c>
      <c r="B442" s="2" t="s">
        <v>1321</v>
      </c>
      <c r="C442" s="2" t="s">
        <v>1322</v>
      </c>
      <c r="D442" s="2" t="s">
        <v>247</v>
      </c>
      <c r="E442" s="2" t="s">
        <v>32</v>
      </c>
      <c r="F442" s="2" t="s">
        <v>15</v>
      </c>
      <c r="G442" s="2" t="s">
        <v>1323</v>
      </c>
      <c r="H442" s="2" t="s">
        <v>335</v>
      </c>
      <c r="I442" s="2" t="str">
        <f>IFERROR(__xludf.DUMMYFUNCTION("GOOGLETRANSLATE(C442,""fr"",""en"")"),"Very disappointed with this mutual insurance company, I terminated in December 2019, because increase of 35%, or 700 euros more for the year without explanation. I phone several times, the people I have online, actually answer me that this is enormous, bu"&amp;"t they don't know why.
After several emails and phone calls, a person tells me that it is normal, cars I changed the age group and that my contract is old (my old mutual was bought by mutual harmony)
January 2020, a levy of 220 euros this this present, "&amp;"(having terminated on December 16 in letter with AR received at home on December 18) I therefore oppose my bank, I phone Harmonie, the person tells me that they are n 'did not receive my request for termination, while I have proof of the accused of recept"&amp;"ion, fortunately,
So be careful the retirees, when changing age group")</f>
        <v>Very disappointed with this mutual insurance company, I terminated in December 2019, because increase of 35%, or 700 euros more for the year without explanation. I phone several times, the people I have online, actually answer me that this is enormous, but they don't know why.
After several emails and phone calls, a person tells me that it is normal, cars I changed the age group and that my contract is old (my old mutual was bought by mutual harmony)
January 2020, a levy of 220 euros this this present, (having terminated on December 16 in letter with AR received at home on December 18) I therefore oppose my bank, I phone Harmonie, the person tells me that they are n 'did not receive my request for termination, while I have proof of the accused of reception, fortunately,
So be careful the retirees, when changing age group</v>
      </c>
    </row>
    <row r="443" ht="15.75" customHeight="1">
      <c r="A443" s="2">
        <v>5.0</v>
      </c>
      <c r="B443" s="2" t="s">
        <v>1324</v>
      </c>
      <c r="C443" s="2" t="s">
        <v>1325</v>
      </c>
      <c r="D443" s="2" t="s">
        <v>229</v>
      </c>
      <c r="E443" s="2" t="s">
        <v>96</v>
      </c>
      <c r="F443" s="2" t="s">
        <v>15</v>
      </c>
      <c r="G443" s="2" t="s">
        <v>149</v>
      </c>
      <c r="H443" s="2" t="s">
        <v>77</v>
      </c>
      <c r="I443" s="2" t="str">
        <f>IFERROR(__xludf.DUMMYFUNCTION("GOOGLETRANSLATE(C443,""fr"",""en"")"),"Supre AMV insurance for bikers I order it
Even when you have problems
They are reactive in all the walking and the loading")</f>
        <v>Supre AMV insurance for bikers I order it
Even when you have problems
They are reactive in all the walking and the loading</v>
      </c>
    </row>
    <row r="444" ht="15.75" customHeight="1">
      <c r="A444" s="2">
        <v>1.0</v>
      </c>
      <c r="B444" s="2" t="s">
        <v>1326</v>
      </c>
      <c r="C444" s="2" t="s">
        <v>1327</v>
      </c>
      <c r="D444" s="2" t="s">
        <v>242</v>
      </c>
      <c r="E444" s="2" t="s">
        <v>14</v>
      </c>
      <c r="F444" s="2" t="s">
        <v>15</v>
      </c>
      <c r="G444" s="2" t="s">
        <v>417</v>
      </c>
      <c r="H444" s="2" t="s">
        <v>155</v>
      </c>
      <c r="I444" s="2" t="str">
        <f>IFERROR(__xludf.DUMMYFUNCTION("GOOGLETRANSLATE(C444,""fr"",""en"")"),"Hello I was insured with them for a year and I terminated before my anniversary date, he not taken into account my request supposedly that the right law is not and asks me to pay the premium for the year 2018 of 260, my current advisor in phone and told t"&amp;"hem that I was on time and refuses they sent a registered letter that I have refused and today I received a letter from a collection service")</f>
        <v>Hello I was insured with them for a year and I terminated before my anniversary date, he not taken into account my request supposedly that the right law is not and asks me to pay the premium for the year 2018 of 260, my current advisor in phone and told them that I was on time and refuses they sent a registered letter that I have refused and today I received a letter from a collection service</v>
      </c>
    </row>
    <row r="445" ht="15.75" customHeight="1">
      <c r="A445" s="2">
        <v>1.0</v>
      </c>
      <c r="B445" s="2" t="s">
        <v>1328</v>
      </c>
      <c r="C445" s="2" t="s">
        <v>1329</v>
      </c>
      <c r="D445" s="2" t="s">
        <v>37</v>
      </c>
      <c r="E445" s="2" t="s">
        <v>14</v>
      </c>
      <c r="F445" s="2" t="s">
        <v>15</v>
      </c>
      <c r="G445" s="2" t="s">
        <v>1330</v>
      </c>
      <c r="H445" s="2" t="s">
        <v>467</v>
      </c>
      <c r="I445" s="2" t="str">
        <f>IFERROR(__xludf.DUMMYFUNCTION("GOOGLETRANSLATE(C445,""fr"",""en"")"),"ineffective insurance.
Garage network approved without availability, slowness and no solution is looking to solve the problem.
Here are three days that I underwent a non -responsible disaster. My vehicle is immobilized at my home I can no longer circula"&amp;"te with (rear view mirror) I am told to wait 15 days for a place this libert in one of their so-called garage, and no solution of my proposed waiting. I feel car with three children impossible to go to the work.
I strongly advise against this insurance
"&amp;"FYI I follow all risk for a new vehicle.")</f>
        <v>ineffective insurance.
Garage network approved without availability, slowness and no solution is looking to solve the problem.
Here are three days that I underwent a non -responsible disaster. My vehicle is immobilized at my home I can no longer circulate with (rear view mirror) I am told to wait 15 days for a place this libert in one of their so-called garage, and no solution of my proposed waiting. I feel car with three children impossible to go to the work.
I strongly advise against this insurance
FYI I follow all risk for a new vehicle.</v>
      </c>
    </row>
    <row r="446" ht="15.75" customHeight="1">
      <c r="A446" s="2">
        <v>1.0</v>
      </c>
      <c r="B446" s="2" t="s">
        <v>1331</v>
      </c>
      <c r="C446" s="2" t="s">
        <v>1332</v>
      </c>
      <c r="D446" s="2" t="s">
        <v>830</v>
      </c>
      <c r="E446" s="2" t="s">
        <v>153</v>
      </c>
      <c r="F446" s="2" t="s">
        <v>15</v>
      </c>
      <c r="G446" s="2" t="s">
        <v>1333</v>
      </c>
      <c r="H446" s="2" t="s">
        <v>83</v>
      </c>
      <c r="I446" s="2" t="str">
        <f>IFERROR(__xludf.DUMMYFUNCTION("GOOGLETRANSLATE(C446,""fr"",""en"")"),"I have been a client for several years.
I regret it today.
I advise you to be very young and in excellent health to ask them for a price.
Otherwise avoid wasting time.
The telephone reception is deplorable.")</f>
        <v>I have been a client for several years.
I regret it today.
I advise you to be very young and in excellent health to ask them for a price.
Otherwise avoid wasting time.
The telephone reception is deplorable.</v>
      </c>
    </row>
    <row r="447" ht="15.75" customHeight="1">
      <c r="A447" s="2">
        <v>2.0</v>
      </c>
      <c r="B447" s="2" t="s">
        <v>1334</v>
      </c>
      <c r="C447" s="2" t="s">
        <v>1335</v>
      </c>
      <c r="D447" s="2" t="s">
        <v>221</v>
      </c>
      <c r="E447" s="2" t="s">
        <v>21</v>
      </c>
      <c r="F447" s="2" t="s">
        <v>15</v>
      </c>
      <c r="G447" s="2" t="s">
        <v>1336</v>
      </c>
      <c r="H447" s="2" t="s">
        <v>282</v>
      </c>
      <c r="I447" s="2" t="str">
        <f>IFERROR(__xludf.DUMMYFUNCTION("GOOGLETRANSLATE(C447,""fr"",""en"")"),"Difficulty joining a reposable: the concept of the service is absent:")</f>
        <v>Difficulty joining a reposable: the concept of the service is absent:</v>
      </c>
    </row>
    <row r="448" ht="15.75" customHeight="1">
      <c r="A448" s="2">
        <v>2.0</v>
      </c>
      <c r="B448" s="2" t="s">
        <v>1337</v>
      </c>
      <c r="C448" s="2" t="s">
        <v>1338</v>
      </c>
      <c r="D448" s="2" t="s">
        <v>75</v>
      </c>
      <c r="E448" s="2" t="s">
        <v>14</v>
      </c>
      <c r="F448" s="2" t="s">
        <v>15</v>
      </c>
      <c r="G448" s="2" t="s">
        <v>159</v>
      </c>
      <c r="H448" s="2" t="s">
        <v>39</v>
      </c>
      <c r="I448" s="2" t="str">
        <f>IFERROR(__xludf.DUMMYFUNCTION("GOOGLETRANSLATE(C448,""fr"",""en"")"),"Apparently cheaper, but after the first year increase by 24.1%, then 8.98% the second year and, yet, without any accident or declared incident ...")</f>
        <v>Apparently cheaper, but after the first year increase by 24.1%, then 8.98% the second year and, yet, without any accident or declared incident ...</v>
      </c>
    </row>
    <row r="449" ht="15.75" customHeight="1">
      <c r="A449" s="2">
        <v>3.0</v>
      </c>
      <c r="B449" s="2" t="s">
        <v>1339</v>
      </c>
      <c r="C449" s="2" t="s">
        <v>1340</v>
      </c>
      <c r="D449" s="2" t="s">
        <v>13</v>
      </c>
      <c r="E449" s="2" t="s">
        <v>21</v>
      </c>
      <c r="F449" s="2" t="s">
        <v>15</v>
      </c>
      <c r="G449" s="2" t="s">
        <v>1341</v>
      </c>
      <c r="H449" s="2" t="s">
        <v>926</v>
      </c>
      <c r="I449" s="2" t="str">
        <f>IFERROR(__xludf.DUMMYFUNCTION("GOOGLETRANSLATE(C449,""fr"",""en"")"),"Following the explosion of our glass table, we called the Macif in Niort head office, an interlocutor answers us, we must pick it up, despite everything we receive urgently after 10 days the file of the declaration of the claim, We note that on this file "&amp;"was mentioned ""a pair of telescope"" that we had to keep the mount.")</f>
        <v>Following the explosion of our glass table, we called the Macif in Niort head office, an interlocutor answers us, we must pick it up, despite everything we receive urgently after 10 days the file of the declaration of the claim, We note that on this file was mentioned "a pair of telescope" that we had to keep the mount.</v>
      </c>
    </row>
    <row r="450" ht="15.75" customHeight="1">
      <c r="A450" s="2">
        <v>3.0</v>
      </c>
      <c r="B450" s="2" t="s">
        <v>1342</v>
      </c>
      <c r="C450" s="2" t="s">
        <v>1343</v>
      </c>
      <c r="D450" s="2" t="s">
        <v>487</v>
      </c>
      <c r="E450" s="2" t="s">
        <v>65</v>
      </c>
      <c r="F450" s="2" t="s">
        <v>15</v>
      </c>
      <c r="G450" s="2" t="s">
        <v>72</v>
      </c>
      <c r="H450" s="2" t="s">
        <v>72</v>
      </c>
      <c r="I450" s="2" t="str">
        <f>IFERROR(__xludf.DUMMYFUNCTION("GOOGLETRANSLATE(C450,""fr"",""en"")"),"I am in the process of the total rahat of my life insurance which is to the term, and I encounter a problem not badly the advisor who send me documents one by one and who does not explain anything since I became non-tax tax .Mon access to my accounts also"&amp;" blocked follows a technical and service CLIENTELLE CERVICE DIT ESSEYE weekend, last the word pass which is very old it does not work either. The evolving of the dosusiér or on our economy. I find all this very bizarre and distress that a large comport in"&amp;"surance like that.")</f>
        <v>I am in the process of the total rahat of my life insurance which is to the term, and I encounter a problem not badly the advisor who send me documents one by one and who does not explain anything since I became non-tax tax .Mon access to my accounts also blocked follows a technical and service CLIENTELLE CERVICE DIT ESSEYE weekend, last the word pass which is very old it does not work either. The evolving of the dosusiér or on our economy. I find all this very bizarre and distress that a large comport insurance like that.</v>
      </c>
    </row>
    <row r="451" ht="15.75" customHeight="1">
      <c r="A451" s="2">
        <v>5.0</v>
      </c>
      <c r="B451" s="2" t="s">
        <v>1344</v>
      </c>
      <c r="C451" s="2" t="s">
        <v>1345</v>
      </c>
      <c r="D451" s="2" t="s">
        <v>846</v>
      </c>
      <c r="E451" s="2" t="s">
        <v>153</v>
      </c>
      <c r="F451" s="2" t="s">
        <v>15</v>
      </c>
      <c r="G451" s="2" t="s">
        <v>193</v>
      </c>
      <c r="H451" s="2" t="s">
        <v>193</v>
      </c>
      <c r="I451" s="2" t="str">
        <f>IFERROR(__xludf.DUMMYFUNCTION("GOOGLETRANSLATE(C451,""fr"",""en"")"),"I am satisfied with what was offered to me, the advisor is very receptive, the price as well as the guarantees answer well to my attants and I find that we can reach you quite easily.")</f>
        <v>I am satisfied with what was offered to me, the advisor is very receptive, the price as well as the guarantees answer well to my attants and I find that we can reach you quite easily.</v>
      </c>
    </row>
    <row r="452" ht="15.75" customHeight="1">
      <c r="A452" s="2">
        <v>2.0</v>
      </c>
      <c r="B452" s="2" t="s">
        <v>1346</v>
      </c>
      <c r="C452" s="2" t="s">
        <v>1347</v>
      </c>
      <c r="D452" s="2" t="s">
        <v>55</v>
      </c>
      <c r="E452" s="2" t="s">
        <v>14</v>
      </c>
      <c r="F452" s="2" t="s">
        <v>15</v>
      </c>
      <c r="G452" s="2" t="s">
        <v>1348</v>
      </c>
      <c r="H452" s="2" t="s">
        <v>175</v>
      </c>
      <c r="I452" s="2" t="str">
        <f>IFERROR(__xludf.DUMMYFUNCTION("GOOGLETRANSLATE(C452,""fr"",""en"")"),"Having had 2 claims responsible during the year 2019 and benefiting from the life bonus, the MAAF refuses to ensure my new vehicle.
However, they gave me an online quote for this same vehicle but once for validation of the change, the agency director had"&amp;" left a note in the file in order to refuse any insurance for a new vehicle.
All of course without informing the customer.
I was a customer for over 30 years .. and indeed, it is no longer the maaf that I prefer.
")</f>
        <v>Having had 2 claims responsible during the year 2019 and benefiting from the life bonus, the MAAF refuses to ensure my new vehicle.
However, they gave me an online quote for this same vehicle but once for validation of the change, the agency director had left a note in the file in order to refuse any insurance for a new vehicle.
All of course without informing the customer.
I was a customer for over 30 years .. and indeed, it is no longer the maaf that I prefer.
</v>
      </c>
    </row>
    <row r="453" ht="15.75" customHeight="1">
      <c r="A453" s="2">
        <v>3.0</v>
      </c>
      <c r="B453" s="2" t="s">
        <v>1349</v>
      </c>
      <c r="C453" s="2" t="s">
        <v>1350</v>
      </c>
      <c r="D453" s="2" t="s">
        <v>37</v>
      </c>
      <c r="E453" s="2" t="s">
        <v>14</v>
      </c>
      <c r="F453" s="2" t="s">
        <v>15</v>
      </c>
      <c r="G453" s="2" t="s">
        <v>1351</v>
      </c>
      <c r="H453" s="2" t="s">
        <v>804</v>
      </c>
      <c r="I453" s="2" t="str">
        <f>IFERROR(__xludf.DUMMYFUNCTION("GOOGLETRANSLATE(C453,""fr"",""en"")"),"A year without incident: award, an increase of 35% (yes!) With the sole explanation of a bad year for their company. Result: bye bye l'Olivier ...")</f>
        <v>A year without incident: award, an increase of 35% (yes!) With the sole explanation of a bad year for their company. Result: bye bye l'Olivier ...</v>
      </c>
    </row>
    <row r="454" ht="15.75" customHeight="1">
      <c r="A454" s="2">
        <v>4.0</v>
      </c>
      <c r="B454" s="2" t="s">
        <v>1352</v>
      </c>
      <c r="C454" s="2" t="s">
        <v>1353</v>
      </c>
      <c r="D454" s="2" t="s">
        <v>31</v>
      </c>
      <c r="E454" s="2" t="s">
        <v>32</v>
      </c>
      <c r="F454" s="2" t="s">
        <v>15</v>
      </c>
      <c r="G454" s="2" t="s">
        <v>193</v>
      </c>
      <c r="H454" s="2" t="s">
        <v>193</v>
      </c>
      <c r="I454" s="2" t="str">
        <f>IFERROR(__xludf.DUMMYFUNCTION("GOOGLETRANSLATE(C454,""fr"",""en"")"),"Satisfied, I am members since the 1978 MGP I have never had any problems with this mutual. Very professional telephone reception especially during this pandemic period.")</f>
        <v>Satisfied, I am members since the 1978 MGP I have never had any problems with this mutual. Very professional telephone reception especially during this pandemic period.</v>
      </c>
    </row>
    <row r="455" ht="15.75" customHeight="1">
      <c r="A455" s="2">
        <v>1.0</v>
      </c>
      <c r="B455" s="2" t="s">
        <v>1354</v>
      </c>
      <c r="C455" s="2" t="s">
        <v>1355</v>
      </c>
      <c r="D455" s="2" t="s">
        <v>221</v>
      </c>
      <c r="E455" s="2" t="s">
        <v>21</v>
      </c>
      <c r="F455" s="2" t="s">
        <v>15</v>
      </c>
      <c r="G455" s="2" t="s">
        <v>1356</v>
      </c>
      <c r="H455" s="2" t="s">
        <v>72</v>
      </c>
      <c r="I455" s="2" t="str">
        <f>IFERROR(__xludf.DUMMYFUNCTION("GOOGLETRANSLATE(C455,""fr"",""en"")"),"Unhappy because the 2 people I had on the phone for a sinister minor told me about bobards and my legal advice told me that they were lying.")</f>
        <v>Unhappy because the 2 people I had on the phone for a sinister minor told me about bobards and my legal advice told me that they were lying.</v>
      </c>
    </row>
    <row r="456" ht="15.75" customHeight="1">
      <c r="A456" s="2">
        <v>1.0</v>
      </c>
      <c r="B456" s="2" t="s">
        <v>1357</v>
      </c>
      <c r="C456" s="2" t="s">
        <v>1358</v>
      </c>
      <c r="D456" s="2" t="s">
        <v>199</v>
      </c>
      <c r="E456" s="2" t="s">
        <v>32</v>
      </c>
      <c r="F456" s="2" t="s">
        <v>15</v>
      </c>
      <c r="G456" s="2" t="s">
        <v>1140</v>
      </c>
      <c r="H456" s="2" t="s">
        <v>39</v>
      </c>
      <c r="I456" s="2" t="str">
        <f>IFERROR(__xludf.DUMMYFUNCTION("GOOGLETRANSLATE(C456,""fr"",""en"")"),"I have been a member of this mutual since last May and I have only had problems since then. One month to be connected to my social security after many reminders, impossibility of transmitting online refund requests, one month to respond to messages and/or"&amp;" requests. I will therefore leave this pseudo mutual health as quickly as possible.")</f>
        <v>I have been a member of this mutual since last May and I have only had problems since then. One month to be connected to my social security after many reminders, impossibility of transmitting online refund requests, one month to respond to messages and/or requests. I will therefore leave this pseudo mutual health as quickly as possible.</v>
      </c>
    </row>
    <row r="457" ht="15.75" customHeight="1">
      <c r="A457" s="2">
        <v>1.0</v>
      </c>
      <c r="B457" s="2" t="s">
        <v>1359</v>
      </c>
      <c r="C457" s="2" t="s">
        <v>1360</v>
      </c>
      <c r="D457" s="2" t="s">
        <v>152</v>
      </c>
      <c r="E457" s="2" t="s">
        <v>153</v>
      </c>
      <c r="F457" s="2" t="s">
        <v>15</v>
      </c>
      <c r="G457" s="2" t="s">
        <v>1361</v>
      </c>
      <c r="H457" s="2" t="s">
        <v>275</v>
      </c>
      <c r="I457" s="2" t="str">
        <f>IFERROR(__xludf.DUMMYFUNCTION("GOOGLETRANSLATE(C457,""fr"",""en"")"),"To run away absolutely. I declared a claim because I lost my job on February 26, 2019 and today on April 20, 2020 no compensation. I am no you were not entitled after complaint he said to me: Ah yes you have it is a mistake on our part then after no. In s"&amp;"hort, it's more than 1 year and my file and still not treated.")</f>
        <v>To run away absolutely. I declared a claim because I lost my job on February 26, 2019 and today on April 20, 2020 no compensation. I am no you were not entitled after complaint he said to me: Ah yes you have it is a mistake on our part then after no. In short, it's more than 1 year and my file and still not treated.</v>
      </c>
    </row>
    <row r="458" ht="15.75" customHeight="1">
      <c r="A458" s="2">
        <v>3.0</v>
      </c>
      <c r="B458" s="2" t="s">
        <v>1362</v>
      </c>
      <c r="C458" s="2" t="s">
        <v>1363</v>
      </c>
      <c r="D458" s="2" t="s">
        <v>173</v>
      </c>
      <c r="E458" s="2" t="s">
        <v>32</v>
      </c>
      <c r="F458" s="2" t="s">
        <v>15</v>
      </c>
      <c r="G458" s="2" t="s">
        <v>1364</v>
      </c>
      <c r="H458" s="2" t="s">
        <v>694</v>
      </c>
      <c r="I458" s="2" t="str">
        <f>IFERROR(__xludf.DUMMYFUNCTION("GOOGLETRANSLATE(C458,""fr"",""en"")"),"My Lamia advisor was very pleasant, very efficient and very responsive. A real pleasure! I was able to ask all of my questions, she knew how to react with speed and kindness.")</f>
        <v>My Lamia advisor was very pleasant, very efficient and very responsive. A real pleasure! I was able to ask all of my questions, she knew how to react with speed and kindness.</v>
      </c>
    </row>
    <row r="459" ht="15.75" customHeight="1">
      <c r="A459" s="2">
        <v>4.0</v>
      </c>
      <c r="B459" s="2" t="s">
        <v>1365</v>
      </c>
      <c r="C459" s="2" t="s">
        <v>1366</v>
      </c>
      <c r="D459" s="2" t="s">
        <v>75</v>
      </c>
      <c r="E459" s="2" t="s">
        <v>14</v>
      </c>
      <c r="F459" s="2" t="s">
        <v>15</v>
      </c>
      <c r="G459" s="2" t="s">
        <v>725</v>
      </c>
      <c r="H459" s="2" t="s">
        <v>86</v>
      </c>
      <c r="I459" s="2" t="str">
        <f>IFERROR(__xludf.DUMMYFUNCTION("GOOGLETRANSLATE(C459,""fr"",""en"")"),"Good insurance, affordable price, well -maintained customer service, I recommend to all people looking for insurance by dear and well, ideal also for young drivers")</f>
        <v>Good insurance, affordable price, well -maintained customer service, I recommend to all people looking for insurance by dear and well, ideal also for young drivers</v>
      </c>
    </row>
    <row r="460" ht="15.75" customHeight="1">
      <c r="A460" s="2">
        <v>4.0</v>
      </c>
      <c r="B460" s="2" t="s">
        <v>1367</v>
      </c>
      <c r="C460" s="2" t="s">
        <v>1368</v>
      </c>
      <c r="D460" s="2" t="s">
        <v>37</v>
      </c>
      <c r="E460" s="2" t="s">
        <v>14</v>
      </c>
      <c r="F460" s="2" t="s">
        <v>15</v>
      </c>
      <c r="G460" s="2" t="s">
        <v>118</v>
      </c>
      <c r="H460" s="2" t="s">
        <v>77</v>
      </c>
      <c r="I460" s="2" t="str">
        <f>IFERROR(__xludf.DUMMYFUNCTION("GOOGLETRANSLATE(C460,""fr"",""en"")"),"I am satisfied with the service
I had the answers expected to all my requests
Prices suit me as a young driver
Simple and fast
Very courteous interlocutor")</f>
        <v>I am satisfied with the service
I had the answers expected to all my requests
Prices suit me as a young driver
Simple and fast
Very courteous interlocutor</v>
      </c>
    </row>
    <row r="461" ht="15.75" customHeight="1">
      <c r="A461" s="2">
        <v>2.0</v>
      </c>
      <c r="B461" s="2" t="s">
        <v>1369</v>
      </c>
      <c r="C461" s="2" t="s">
        <v>1370</v>
      </c>
      <c r="D461" s="2" t="s">
        <v>1371</v>
      </c>
      <c r="E461" s="2" t="s">
        <v>96</v>
      </c>
      <c r="F461" s="2" t="s">
        <v>15</v>
      </c>
      <c r="G461" s="2" t="s">
        <v>1372</v>
      </c>
      <c r="H461" s="2" t="s">
        <v>565</v>
      </c>
      <c r="I461" s="2" t="str">
        <f>IFERROR(__xludf.DUMMYFUNCTION("GOOGLETRANSLATE(C461,""fr"",""en"")"),"Customer for 1 year at all risk, I have my exhaust and my mirrors stolen. After complaining, my insurer tells me that no, these parts are not supported. In the end, all risks insurance, very far from covering ""all"" the risks.
Everything is going well w"&amp;"hen the contract is established, but the first problem that occurs, it's for your apple.")</f>
        <v>Customer for 1 year at all risk, I have my exhaust and my mirrors stolen. After complaining, my insurer tells me that no, these parts are not supported. In the end, all risks insurance, very far from covering "all" the risks.
Everything is going well when the contract is established, but the first problem that occurs, it's for your apple.</v>
      </c>
    </row>
    <row r="462" ht="15.75" customHeight="1">
      <c r="A462" s="2">
        <v>1.0</v>
      </c>
      <c r="B462" s="2" t="s">
        <v>1373</v>
      </c>
      <c r="C462" s="2" t="s">
        <v>1374</v>
      </c>
      <c r="D462" s="2" t="s">
        <v>75</v>
      </c>
      <c r="E462" s="2" t="s">
        <v>14</v>
      </c>
      <c r="F462" s="2" t="s">
        <v>15</v>
      </c>
      <c r="G462" s="2" t="s">
        <v>1375</v>
      </c>
      <c r="H462" s="2" t="s">
        <v>48</v>
      </c>
      <c r="I462" s="2" t="str">
        <f>IFERROR(__xludf.DUMMYFUNCTION("GOOGLETRANSLATE(C462,""fr"",""en"")"),"Refused insurance termination for lack of object in the mail. Instead, to call me for correction, the company refused the termination for this reason. In the corps of mail was well written the request for termination.")</f>
        <v>Refused insurance termination for lack of object in the mail. Instead, to call me for correction, the company refused the termination for this reason. In the corps of mail was well written the request for termination.</v>
      </c>
    </row>
    <row r="463" ht="15.75" customHeight="1">
      <c r="A463" s="2">
        <v>2.0</v>
      </c>
      <c r="B463" s="2" t="s">
        <v>1376</v>
      </c>
      <c r="C463" s="2" t="s">
        <v>1377</v>
      </c>
      <c r="D463" s="2" t="s">
        <v>37</v>
      </c>
      <c r="E463" s="2" t="s">
        <v>14</v>
      </c>
      <c r="F463" s="2" t="s">
        <v>15</v>
      </c>
      <c r="G463" s="2" t="s">
        <v>380</v>
      </c>
      <c r="H463" s="2" t="s">
        <v>77</v>
      </c>
      <c r="I463" s="2" t="str">
        <f>IFERROR(__xludf.DUMMYFUNCTION("GOOGLETRANSLATE(C463,""fr"",""en"")"),"Very expensive for depending on that I am already a customer at home, it deserves to have a privileged price, I hope you will do what is necessary to improve the prices for young people.")</f>
        <v>Very expensive for depending on that I am already a customer at home, it deserves to have a privileged price, I hope you will do what is necessary to improve the prices for young people.</v>
      </c>
    </row>
    <row r="464" ht="15.75" customHeight="1">
      <c r="A464" s="2">
        <v>2.0</v>
      </c>
      <c r="B464" s="2" t="s">
        <v>1378</v>
      </c>
      <c r="C464" s="2" t="s">
        <v>1379</v>
      </c>
      <c r="D464" s="2" t="s">
        <v>26</v>
      </c>
      <c r="E464" s="2" t="s">
        <v>21</v>
      </c>
      <c r="F464" s="2" t="s">
        <v>15</v>
      </c>
      <c r="G464" s="2" t="s">
        <v>640</v>
      </c>
      <c r="H464" s="2" t="s">
        <v>501</v>
      </c>
      <c r="I464" s="2" t="str">
        <f>IFERROR(__xludf.DUMMYFUNCTION("GOOGLETRANSLATE(C464,""fr"",""en"")"),"Following a degradation, the building lock does not work. Repairs are back to 1,200 euros. I call the insurance, make an observation to the police, send the invoice. AXA's expert revives the bill down. I also learn that the franchise is 700 euros (I advis"&amp;"e you to read the unclear contract well on this subject: 0.89 times a clue). Suddenly Axa reimburses me only 165 euros out of the 1200 euros in the invoice. However, I paid 1000 euros in insurance per year for the insurance of the commons of the building.")</f>
        <v>Following a degradation, the building lock does not work. Repairs are back to 1,200 euros. I call the insurance, make an observation to the police, send the invoice. AXA's expert revives the bill down. I also learn that the franchise is 700 euros (I advise you to read the unclear contract well on this subject: 0.89 times a clue). Suddenly Axa reimburses me only 165 euros out of the 1200 euros in the invoice. However, I paid 1000 euros in insurance per year for the insurance of the commons of the building.</v>
      </c>
    </row>
    <row r="465" ht="15.75" customHeight="1">
      <c r="A465" s="2">
        <v>1.0</v>
      </c>
      <c r="B465" s="2" t="s">
        <v>1380</v>
      </c>
      <c r="C465" s="2" t="s">
        <v>1381</v>
      </c>
      <c r="D465" s="2" t="s">
        <v>324</v>
      </c>
      <c r="E465" s="2" t="s">
        <v>81</v>
      </c>
      <c r="F465" s="2" t="s">
        <v>15</v>
      </c>
      <c r="G465" s="2" t="s">
        <v>1382</v>
      </c>
      <c r="H465" s="2" t="s">
        <v>286</v>
      </c>
      <c r="I465" s="2" t="str">
        <f>IFERROR(__xludf.DUMMYFUNCTION("GOOGLETRANSLATE(C465,""fr"",""en"")"),"A shame. Unreachable advisers. Customer service of a platform (difficult to reach also) of unrivaled arrogance. Immeasurable delays. What a pleasure to see that I don't alone be so dissatisfied. I do not recommend it.")</f>
        <v>A shame. Unreachable advisers. Customer service of a platform (difficult to reach also) of unrivaled arrogance. Immeasurable delays. What a pleasure to see that I don't alone be so dissatisfied. I do not recommend it.</v>
      </c>
    </row>
    <row r="466" ht="15.75" customHeight="1">
      <c r="A466" s="2">
        <v>1.0</v>
      </c>
      <c r="B466" s="2" t="s">
        <v>1383</v>
      </c>
      <c r="C466" s="2" t="s">
        <v>1384</v>
      </c>
      <c r="D466" s="2" t="s">
        <v>247</v>
      </c>
      <c r="E466" s="2" t="s">
        <v>32</v>
      </c>
      <c r="F466" s="2" t="s">
        <v>15</v>
      </c>
      <c r="G466" s="2" t="s">
        <v>1385</v>
      </c>
      <c r="H466" s="2" t="s">
        <v>694</v>
      </c>
      <c r="I466" s="2" t="str">
        <f>IFERROR(__xludf.DUMMYFUNCTION("GOOGLETRANSLATE(C466,""fr"",""en"")"),"2 emails sent, one with a telephone RV request that remained unanswered after 6 days. Call on my part to know the reason. I am given a telephone RV, but the person does not remind me at the fixed time. I call back in the same day; And I have this appallin"&amp;"g standard again, with the declination, name, first name, address, etc. while I had previously composed my member number. I refuse to harm all this information once again. The online person passes his manager who after a few words, just hangs up on the no"&amp;"se !!!!")</f>
        <v>2 emails sent, one with a telephone RV request that remained unanswered after 6 days. Call on my part to know the reason. I am given a telephone RV, but the person does not remind me at the fixed time. I call back in the same day; And I have this appalling standard again, with the declination, name, first name, address, etc. while I had previously composed my member number. I refuse to harm all this information once again. The online person passes his manager who after a few words, just hangs up on the nose !!!!</v>
      </c>
    </row>
    <row r="467" ht="15.75" customHeight="1">
      <c r="A467" s="2">
        <v>5.0</v>
      </c>
      <c r="B467" s="2" t="s">
        <v>1386</v>
      </c>
      <c r="C467" s="2" t="s">
        <v>1387</v>
      </c>
      <c r="D467" s="2" t="s">
        <v>37</v>
      </c>
      <c r="E467" s="2" t="s">
        <v>14</v>
      </c>
      <c r="F467" s="2" t="s">
        <v>15</v>
      </c>
      <c r="G467" s="2" t="s">
        <v>1388</v>
      </c>
      <c r="H467" s="2" t="s">
        <v>86</v>
      </c>
      <c r="I467" s="2" t="str">
        <f>IFERROR(__xludf.DUMMYFUNCTION("GOOGLETRANSLATE(C467,""fr"",""en"")"),"Top, fast and efficient, nothing to add, insurance for a car made in 15 minutes with very good conditions, customer service at the height, top!")</f>
        <v>Top, fast and efficient, nothing to add, insurance for a car made in 15 minutes with very good conditions, customer service at the height, top!</v>
      </c>
    </row>
    <row r="468" ht="15.75" customHeight="1">
      <c r="A468" s="2">
        <v>1.0</v>
      </c>
      <c r="B468" s="2" t="s">
        <v>1389</v>
      </c>
      <c r="C468" s="2" t="s">
        <v>1390</v>
      </c>
      <c r="D468" s="2" t="s">
        <v>273</v>
      </c>
      <c r="E468" s="2" t="s">
        <v>153</v>
      </c>
      <c r="F468" s="2" t="s">
        <v>15</v>
      </c>
      <c r="G468" s="2" t="s">
        <v>1391</v>
      </c>
      <c r="H468" s="2" t="s">
        <v>1392</v>
      </c>
      <c r="I468" s="2" t="str">
        <f>IFERROR(__xludf.DUMMYFUNCTION("GOOGLETRANSLATE(C468,""fr"",""en"")"),"Incompetent !! My bank asks me for a simple certificate with my information on it and no way !!! Weeks to respond to emails and unable to note the right information on the certificate therefore a file to start again in a short time because of their incomp"&amp;"etence and the response times !!! Flee if you are offered this insurer! This is what I will do as soon as possible !!")</f>
        <v>Incompetent !! My bank asks me for a simple certificate with my information on it and no way !!! Weeks to respond to emails and unable to note the right information on the certificate therefore a file to start again in a short time because of their incompetence and the response times !!! Flee if you are offered this insurer! This is what I will do as soon as possible !!</v>
      </c>
    </row>
    <row r="469" ht="15.75" customHeight="1">
      <c r="A469" s="2">
        <v>1.0</v>
      </c>
      <c r="B469" s="2" t="s">
        <v>1393</v>
      </c>
      <c r="C469" s="2" t="s">
        <v>1394</v>
      </c>
      <c r="D469" s="2" t="s">
        <v>242</v>
      </c>
      <c r="E469" s="2" t="s">
        <v>14</v>
      </c>
      <c r="F469" s="2" t="s">
        <v>15</v>
      </c>
      <c r="G469" s="2" t="s">
        <v>1395</v>
      </c>
      <c r="H469" s="2" t="s">
        <v>142</v>
      </c>
      <c r="I469" s="2" t="str">
        <f>IFERROR(__xludf.DUMMYFUNCTION("GOOGLETRANSLATE(C469,""fr"",""en"")"),"Be careful if you want to lose your money for nothing go to them!
After subscription I was asked to provide additional documents
that I sent each time but strangely they never rear them.
In fact you have to go through the surcharged number to have a re"&amp;"ception confirmation
I call for my green card and I am told that I have to send a RIB and a certificate of non -insurance that I send on the field and still no green card.
I just called I am told that my contract is terminated because they have not rece"&amp;"ived my rib
On the other hand I would not be reimbursed for the 100 euros that I gave because it is the termination fees the problem is that I did not terminate anything it is the ones who are price this decision.
 They are made to pay for 6 months with"&amp;"out making sure. I strongly advise you not to go to their homes
Moreover in the event of a problem alone the surcharged number (which will not advance you more) is sincerely available I do not think that these are real insurer nothing serious in all that"&amp;" go your way
")</f>
        <v>Be careful if you want to lose your money for nothing go to them!
After subscription I was asked to provide additional documents
that I sent each time but strangely they never rear them.
In fact you have to go through the surcharged number to have a reception confirmation
I call for my green card and I am told that I have to send a RIB and a certificate of non -insurance that I send on the field and still no green card.
I just called I am told that my contract is terminated because they have not received my rib
On the other hand I would not be reimbursed for the 100 euros that I gave because it is the termination fees the problem is that I did not terminate anything it is the ones who are price this decision.
 They are made to pay for 6 months without making sure. I strongly advise you not to go to their homes
Moreover in the event of a problem alone the surcharged number (which will not advance you more) is sincerely available I do not think that these are real insurer nothing serious in all that go your way
</v>
      </c>
    </row>
    <row r="470" ht="15.75" customHeight="1">
      <c r="A470" s="2">
        <v>1.0</v>
      </c>
      <c r="B470" s="2" t="s">
        <v>1396</v>
      </c>
      <c r="C470" s="2" t="s">
        <v>1397</v>
      </c>
      <c r="D470" s="2" t="s">
        <v>70</v>
      </c>
      <c r="E470" s="2" t="s">
        <v>14</v>
      </c>
      <c r="F470" s="2" t="s">
        <v>15</v>
      </c>
      <c r="G470" s="2" t="s">
        <v>1398</v>
      </c>
      <c r="H470" s="2" t="s">
        <v>98</v>
      </c>
      <c r="I470" s="2" t="str">
        <f>IFERROR(__xludf.DUMMYFUNCTION("GOOGLETRANSLATE(C470,""fr"",""en"")"),"Hello
I have never asked to get my certificate in dematerialization it's not smart I drive without a certificate aboard my vehicle
You could have warned me because I did not cancel
thank you
")</f>
        <v>Hello
I have never asked to get my certificate in dematerialization it's not smart I drive without a certificate aboard my vehicle
You could have warned me because I did not cancel
thank you
</v>
      </c>
    </row>
    <row r="471" ht="15.75" customHeight="1">
      <c r="A471" s="2">
        <v>5.0</v>
      </c>
      <c r="B471" s="2" t="s">
        <v>1399</v>
      </c>
      <c r="C471" s="2" t="s">
        <v>1400</v>
      </c>
      <c r="D471" s="2" t="s">
        <v>37</v>
      </c>
      <c r="E471" s="2" t="s">
        <v>14</v>
      </c>
      <c r="F471" s="2" t="s">
        <v>15</v>
      </c>
      <c r="G471" s="2" t="s">
        <v>77</v>
      </c>
      <c r="H471" s="2" t="s">
        <v>77</v>
      </c>
      <c r="I471" s="2" t="str">
        <f>IFERROR(__xludf.DUMMYFUNCTION("GOOGLETRANSLATE(C471,""fr"",""en"")"),"For the moment I am satisfied with responsiveness and efficiency and especially the prices and the guarantees proposed, I say well for the moment because as I have subscribed my contract that for a few minutes I will see, but later .")</f>
        <v>For the moment I am satisfied with responsiveness and efficiency and especially the prices and the guarantees proposed, I say well for the moment because as I have subscribed my contract that for a few minutes I will see, but later .</v>
      </c>
    </row>
    <row r="472" ht="15.75" customHeight="1">
      <c r="A472" s="2">
        <v>3.0</v>
      </c>
      <c r="B472" s="2" t="s">
        <v>1401</v>
      </c>
      <c r="C472" s="2" t="s">
        <v>1402</v>
      </c>
      <c r="D472" s="2" t="s">
        <v>75</v>
      </c>
      <c r="E472" s="2" t="s">
        <v>14</v>
      </c>
      <c r="F472" s="2" t="s">
        <v>15</v>
      </c>
      <c r="G472" s="2" t="s">
        <v>1403</v>
      </c>
      <c r="H472" s="2" t="s">
        <v>86</v>
      </c>
      <c r="I472" s="2" t="str">
        <f>IFERROR(__xludf.DUMMYFUNCTION("GOOGLETRANSLATE(C472,""fr"",""en"")"),"Being a driver for 10 years I have not experienced an insurance capable of giving me an offer any risk in serenity for my vehicle at SI taken 44 € per month as well as a tranquility offered. I would just like to know how to contact you in the event of a c"&amp;"laim and know which supporting documents are to be provided and to send on which email address. Cordially")</f>
        <v>Being a driver for 10 years I have not experienced an insurance capable of giving me an offer any risk in serenity for my vehicle at SI taken 44 € per month as well as a tranquility offered. I would just like to know how to contact you in the event of a claim and know which supporting documents are to be provided and to send on which email address. Cordially</v>
      </c>
    </row>
    <row r="473" ht="15.75" customHeight="1">
      <c r="A473" s="2">
        <v>5.0</v>
      </c>
      <c r="B473" s="2" t="s">
        <v>1404</v>
      </c>
      <c r="C473" s="2" t="s">
        <v>1405</v>
      </c>
      <c r="D473" s="2" t="s">
        <v>75</v>
      </c>
      <c r="E473" s="2" t="s">
        <v>14</v>
      </c>
      <c r="F473" s="2" t="s">
        <v>15</v>
      </c>
      <c r="G473" s="2" t="s">
        <v>1269</v>
      </c>
      <c r="H473" s="2" t="s">
        <v>98</v>
      </c>
      <c r="I473" s="2" t="str">
        <f>IFERROR(__xludf.DUMMYFUNCTION("GOOGLETRANSLATE(C473,""fr"",""en"")"),"Quality service and excellent value for money.
Super I am ready to recommend your services to those around me.
Excellent on the process processing time is top")</f>
        <v>Quality service and excellent value for money.
Super I am ready to recommend your services to those around me.
Excellent on the process processing time is top</v>
      </c>
    </row>
    <row r="474" ht="15.75" customHeight="1">
      <c r="A474" s="2">
        <v>1.0</v>
      </c>
      <c r="B474" s="2" t="s">
        <v>1406</v>
      </c>
      <c r="C474" s="2" t="s">
        <v>1407</v>
      </c>
      <c r="D474" s="2" t="s">
        <v>75</v>
      </c>
      <c r="E474" s="2" t="s">
        <v>14</v>
      </c>
      <c r="F474" s="2" t="s">
        <v>15</v>
      </c>
      <c r="G474" s="2" t="s">
        <v>1408</v>
      </c>
      <c r="H474" s="2" t="s">
        <v>735</v>
      </c>
      <c r="I474" s="2" t="str">
        <f>IFERROR(__xludf.DUMMYFUNCTION("GOOGLETRANSLATE(C474,""fr"",""en"")"),"Direct Insurance is good car insurance provided you never have an accident. I did not agree with the conclusions of their experts and despite 2 independent expert opinions which give me reason so they find nothing better than terminated me.")</f>
        <v>Direct Insurance is good car insurance provided you never have an accident. I did not agree with the conclusions of their experts and despite 2 independent expert opinions which give me reason so they find nothing better than terminated me.</v>
      </c>
    </row>
    <row r="475" ht="15.75" customHeight="1">
      <c r="A475" s="2">
        <v>5.0</v>
      </c>
      <c r="B475" s="2" t="s">
        <v>1409</v>
      </c>
      <c r="C475" s="2" t="s">
        <v>1410</v>
      </c>
      <c r="D475" s="2" t="s">
        <v>37</v>
      </c>
      <c r="E475" s="2" t="s">
        <v>14</v>
      </c>
      <c r="F475" s="2" t="s">
        <v>15</v>
      </c>
      <c r="G475" s="2" t="s">
        <v>868</v>
      </c>
      <c r="H475" s="2" t="s">
        <v>107</v>
      </c>
      <c r="I475" s="2" t="str">
        <f>IFERROR(__xludf.DUMMYFUNCTION("GOOGLETRANSLATE(C475,""fr"",""en"")"),"Nickel My vehicle is insured fast and simple after consulting several I chose Olivine.fr which 50% cheaper than these competitors
P.Clement")</f>
        <v>Nickel My vehicle is insured fast and simple after consulting several I chose Olivine.fr which 50% cheaper than these competitors
P.Clement</v>
      </c>
    </row>
    <row r="476" ht="15.75" customHeight="1">
      <c r="A476" s="2">
        <v>1.0</v>
      </c>
      <c r="B476" s="2" t="s">
        <v>1411</v>
      </c>
      <c r="C476" s="2" t="s">
        <v>1412</v>
      </c>
      <c r="D476" s="2" t="s">
        <v>42</v>
      </c>
      <c r="E476" s="2" t="s">
        <v>32</v>
      </c>
      <c r="F476" s="2" t="s">
        <v>15</v>
      </c>
      <c r="G476" s="2" t="s">
        <v>1333</v>
      </c>
      <c r="H476" s="2" t="s">
        <v>83</v>
      </c>
      <c r="I476" s="2" t="str">
        <f>IFERROR(__xludf.DUMMYFUNCTION("GOOGLETRANSLATE(C476,""fr"",""en"")"),"It has been more than a month and a half since I sent a membership file for this mutual and I have no progress on my file.
I regularly call their service to be informed of the state of my file, they tell me to have received my file and that they will p"&amp;"rocess it during the week each time but no, still nothing!")</f>
        <v>It has been more than a month and a half since I sent a membership file for this mutual and I have no progress on my file.
I regularly call their service to be informed of the state of my file, they tell me to have received my file and that they will process it during the week each time but no, still nothing!</v>
      </c>
    </row>
    <row r="477" ht="15.75" customHeight="1">
      <c r="A477" s="2">
        <v>1.0</v>
      </c>
      <c r="B477" s="2" t="s">
        <v>1413</v>
      </c>
      <c r="C477" s="2" t="s">
        <v>1414</v>
      </c>
      <c r="D477" s="2" t="s">
        <v>101</v>
      </c>
      <c r="E477" s="2" t="s">
        <v>14</v>
      </c>
      <c r="F477" s="2" t="s">
        <v>15</v>
      </c>
      <c r="G477" s="2" t="s">
        <v>1415</v>
      </c>
      <c r="H477" s="2" t="s">
        <v>52</v>
      </c>
      <c r="I477" s="2" t="str">
        <f>IFERROR(__xludf.DUMMYFUNCTION("GOOGLETRANSLATE(C477,""fr"",""en"")"),"Concerns Eallianz of the Allianz group; I give you a very revealing anecdote. As part of the new Hamon law, my new insurer has terminated my car contract by sending them the registered letter. More than 6 weeks later, despite reminders, he still had not r"&amp;"eceived the information statement and on my side the samples continue on the account; I then decide to contact the customer service who first replies not having received a mail then changes version when I give them the number of the acknowledgment of rece"&amp;"ipt that my new insurer provided me to then hear me ""ah well no, we refuse the termination for reason .... ""not to identify the company"" without comment")</f>
        <v>Concerns Eallianz of the Allianz group; I give you a very revealing anecdote. As part of the new Hamon law, my new insurer has terminated my car contract by sending them the registered letter. More than 6 weeks later, despite reminders, he still had not received the information statement and on my side the samples continue on the account; I then decide to contact the customer service who first replies not having received a mail then changes version when I give them the number of the acknowledgment of receipt that my new insurer provided me to then hear me "ah well no, we refuse the termination for reason .... "not to identify the company" without comment</v>
      </c>
    </row>
    <row r="478" ht="15.75" customHeight="1">
      <c r="A478" s="2">
        <v>4.0</v>
      </c>
      <c r="B478" s="2" t="s">
        <v>1416</v>
      </c>
      <c r="C478" s="2" t="s">
        <v>1417</v>
      </c>
      <c r="D478" s="2" t="s">
        <v>31</v>
      </c>
      <c r="E478" s="2" t="s">
        <v>32</v>
      </c>
      <c r="F478" s="2" t="s">
        <v>15</v>
      </c>
      <c r="G478" s="2" t="s">
        <v>810</v>
      </c>
      <c r="H478" s="2" t="s">
        <v>107</v>
      </c>
      <c r="I478" s="2" t="str">
        <f>IFERROR(__xludf.DUMMYFUNCTION("GOOGLETRANSLATE(C478,""fr"",""en"")"),"No problem concerning me in the functioning of the mutual health insurance. Maybe the amount of the subscription which could be revised a little down or not increase.")</f>
        <v>No problem concerning me in the functioning of the mutual health insurance. Maybe the amount of the subscription which could be revised a little down or not increase.</v>
      </c>
    </row>
    <row r="479" ht="15.75" customHeight="1">
      <c r="A479" s="2">
        <v>1.0</v>
      </c>
      <c r="B479" s="2" t="s">
        <v>1418</v>
      </c>
      <c r="C479" s="2" t="s">
        <v>1419</v>
      </c>
      <c r="D479" s="2" t="s">
        <v>487</v>
      </c>
      <c r="E479" s="2" t="s">
        <v>65</v>
      </c>
      <c r="F479" s="2" t="s">
        <v>15</v>
      </c>
      <c r="G479" s="2" t="s">
        <v>377</v>
      </c>
      <c r="H479" s="2" t="s">
        <v>111</v>
      </c>
      <c r="I479" s="2" t="str">
        <f>IFERROR(__xludf.DUMMYFUNCTION("GOOGLETRANSLATE(C479,""fr"",""en"")"),"No way to join anyone. Telephone standards make you wait 10 min in music before telling you that all advisers are online. Do not be impressed by their commercial pads. The reality is much less beautiful. They do not respect their commitments yet written b"&amp;"lack on white. There are cheaper and closer and clients elsewhere.")</f>
        <v>No way to join anyone. Telephone standards make you wait 10 min in music before telling you that all advisers are online. Do not be impressed by their commercial pads. The reality is much less beautiful. They do not respect their commitments yet written black on white. There are cheaper and closer and clients elsewhere.</v>
      </c>
    </row>
    <row r="480" ht="15.75" customHeight="1">
      <c r="A480" s="2">
        <v>4.0</v>
      </c>
      <c r="B480" s="2" t="s">
        <v>1420</v>
      </c>
      <c r="C480" s="2" t="s">
        <v>1421</v>
      </c>
      <c r="D480" s="2" t="s">
        <v>95</v>
      </c>
      <c r="E480" s="2" t="s">
        <v>96</v>
      </c>
      <c r="F480" s="2" t="s">
        <v>15</v>
      </c>
      <c r="G480" s="2" t="s">
        <v>1422</v>
      </c>
      <c r="H480" s="2" t="s">
        <v>77</v>
      </c>
      <c r="I480" s="2" t="str">
        <f>IFERROR(__xludf.DUMMYFUNCTION("GOOGLETRANSLATE(C480,""fr"",""en"")"),"Hello
I spent a lot of time joining someone and almost abandoned, after a long time I had a person who advised me very well.")</f>
        <v>Hello
I spent a lot of time joining someone and almost abandoned, after a long time I had a person who advised me very well.</v>
      </c>
    </row>
    <row r="481" ht="15.75" customHeight="1">
      <c r="A481" s="2">
        <v>5.0</v>
      </c>
      <c r="B481" s="2" t="s">
        <v>1423</v>
      </c>
      <c r="C481" s="2" t="s">
        <v>1424</v>
      </c>
      <c r="D481" s="2" t="s">
        <v>37</v>
      </c>
      <c r="E481" s="2" t="s">
        <v>14</v>
      </c>
      <c r="F481" s="2" t="s">
        <v>15</v>
      </c>
      <c r="G481" s="2" t="s">
        <v>261</v>
      </c>
      <c r="H481" s="2" t="s">
        <v>61</v>
      </c>
      <c r="I481" s="2" t="str">
        <f>IFERROR(__xludf.DUMMYFUNCTION("GOOGLETRANSLATE(C481,""fr"",""en"")"),"Everything is done online. Easy to use site, great ease to send documents from the personal space. Response by email very fast and sending final documents by mail upon receipt and control of supporting documents. Attractive price. I recommend.")</f>
        <v>Everything is done online. Easy to use site, great ease to send documents from the personal space. Response by email very fast and sending final documents by mail upon receipt and control of supporting documents. Attractive price. I recommend.</v>
      </c>
    </row>
    <row r="482" ht="15.75" customHeight="1">
      <c r="A482" s="2">
        <v>3.0</v>
      </c>
      <c r="B482" s="2" t="s">
        <v>1425</v>
      </c>
      <c r="C482" s="2" t="s">
        <v>1426</v>
      </c>
      <c r="D482" s="2" t="s">
        <v>173</v>
      </c>
      <c r="E482" s="2" t="s">
        <v>32</v>
      </c>
      <c r="F482" s="2" t="s">
        <v>15</v>
      </c>
      <c r="G482" s="2" t="s">
        <v>1427</v>
      </c>
      <c r="H482" s="2" t="s">
        <v>694</v>
      </c>
      <c r="I482" s="2" t="str">
        <f>IFERROR(__xludf.DUMMYFUNCTION("GOOGLETRANSLATE(C482,""fr"",""en"")"),"I have just had contact with one of your customer advisor, Alicia, about a request for teletransmission Noemie from the Mgen des Yvelines. Fully satisfactory contact. Thank you !")</f>
        <v>I have just had contact with one of your customer advisor, Alicia, about a request for teletransmission Noemie from the Mgen des Yvelines. Fully satisfactory contact. Thank you !</v>
      </c>
    </row>
    <row r="483" ht="15.75" customHeight="1">
      <c r="A483" s="2">
        <v>3.0</v>
      </c>
      <c r="B483" s="2" t="s">
        <v>1428</v>
      </c>
      <c r="C483" s="2" t="s">
        <v>1429</v>
      </c>
      <c r="D483" s="2" t="s">
        <v>75</v>
      </c>
      <c r="E483" s="2" t="s">
        <v>14</v>
      </c>
      <c r="F483" s="2" t="s">
        <v>15</v>
      </c>
      <c r="G483" s="2" t="s">
        <v>1430</v>
      </c>
      <c r="H483" s="2" t="s">
        <v>98</v>
      </c>
      <c r="I483" s="2" t="str">
        <f>IFERROR(__xludf.DUMMYFUNCTION("GOOGLETRANSLATE(C483,""fr"",""en"")"),"Fast and very practical service, with very competitive prices I recommend direct insurance to many people and my family. Access to the very easy to use site,
")</f>
        <v>Fast and very practical service, with very competitive prices I recommend direct insurance to many people and my family. Access to the very easy to use site,
</v>
      </c>
    </row>
    <row r="484" ht="15.75" customHeight="1">
      <c r="A484" s="2">
        <v>2.0</v>
      </c>
      <c r="B484" s="2" t="s">
        <v>1431</v>
      </c>
      <c r="C484" s="2" t="s">
        <v>1432</v>
      </c>
      <c r="D484" s="2" t="s">
        <v>830</v>
      </c>
      <c r="E484" s="2" t="s">
        <v>153</v>
      </c>
      <c r="F484" s="2" t="s">
        <v>15</v>
      </c>
      <c r="G484" s="2" t="s">
        <v>1433</v>
      </c>
      <c r="H484" s="2" t="s">
        <v>357</v>
      </c>
      <c r="I484" s="2" t="str">
        <f>IFERROR(__xludf.DUMMYFUNCTION("GOOGLETRANSLATE(C484,""fr"",""en"")"),"To flee urgently, service to sell the service that harass you ... Then I wanted to cancel because my bank proposed to line up and I have been fighting for 6 months to obtain the termination, and April puts me in notice to pay. However, on the general cond"&amp;"itions, it seems very simple to terminate. It is not so ! The processing times are extremely long (one and a half month between two steps to obtain an answer) and the collection service does not communicate with the termination service, hence a formal not"&amp;"ice!")</f>
        <v>To flee urgently, service to sell the service that harass you ... Then I wanted to cancel because my bank proposed to line up and I have been fighting for 6 months to obtain the termination, and April puts me in notice to pay. However, on the general conditions, it seems very simple to terminate. It is not so ! The processing times are extremely long (one and a half month between two steps to obtain an answer) and the collection service does not communicate with the termination service, hence a formal notice!</v>
      </c>
    </row>
    <row r="485" ht="15.75" customHeight="1">
      <c r="A485" s="2">
        <v>5.0</v>
      </c>
      <c r="B485" s="2" t="s">
        <v>1434</v>
      </c>
      <c r="C485" s="2" t="s">
        <v>1435</v>
      </c>
      <c r="D485" s="2" t="s">
        <v>75</v>
      </c>
      <c r="E485" s="2" t="s">
        <v>14</v>
      </c>
      <c r="F485" s="2" t="s">
        <v>15</v>
      </c>
      <c r="G485" s="2" t="s">
        <v>488</v>
      </c>
      <c r="H485" s="2" t="s">
        <v>98</v>
      </c>
      <c r="I485" s="2" t="str">
        <f>IFERROR(__xludf.DUMMYFUNCTION("GOOGLETRANSLATE(C485,""fr"",""en"")"),"At the top excellent insurance collaborator listens strongly to recommend I am a burial satisfied with the pre -professional who knows how to do their iOB")</f>
        <v>At the top excellent insurance collaborator listens strongly to recommend I am a burial satisfied with the pre -professional who knows how to do their iOB</v>
      </c>
    </row>
    <row r="486" ht="15.75" customHeight="1">
      <c r="A486" s="2">
        <v>5.0</v>
      </c>
      <c r="B486" s="2" t="s">
        <v>1436</v>
      </c>
      <c r="C486" s="2" t="s">
        <v>1437</v>
      </c>
      <c r="D486" s="2" t="s">
        <v>95</v>
      </c>
      <c r="E486" s="2" t="s">
        <v>96</v>
      </c>
      <c r="F486" s="2" t="s">
        <v>15</v>
      </c>
      <c r="G486" s="2" t="s">
        <v>821</v>
      </c>
      <c r="H486" s="2" t="s">
        <v>98</v>
      </c>
      <c r="I486" s="2" t="str">
        <f>IFERROR(__xludf.DUMMYFUNCTION("GOOGLETRANSLATE(C486,""fr"",""en"")"),"Very practical service, price seem reasonable, to see the CG service very practical, price seem reasonable, to see the CG service very practical, price seem reasonable, to see the CG")</f>
        <v>Very practical service, price seem reasonable, to see the CG service very practical, price seem reasonable, to see the CG service very practical, price seem reasonable, to see the CG</v>
      </c>
    </row>
    <row r="487" ht="15.75" customHeight="1">
      <c r="A487" s="2">
        <v>4.0</v>
      </c>
      <c r="B487" s="2" t="s">
        <v>1438</v>
      </c>
      <c r="C487" s="2" t="s">
        <v>1439</v>
      </c>
      <c r="D487" s="2" t="s">
        <v>37</v>
      </c>
      <c r="E487" s="2" t="s">
        <v>14</v>
      </c>
      <c r="F487" s="2" t="s">
        <v>15</v>
      </c>
      <c r="G487" s="2" t="s">
        <v>1261</v>
      </c>
      <c r="H487" s="2" t="s">
        <v>39</v>
      </c>
      <c r="I487" s="2" t="str">
        <f>IFERROR(__xludf.DUMMYFUNCTION("GOOGLETRANSLATE(C487,""fr"",""en"")"),"Very satisfied for communication and for services provided, guarantees and simplicity to transmit the requested documents online, it's perfect!")</f>
        <v>Very satisfied for communication and for services provided, guarantees and simplicity to transmit the requested documents online, it's perfect!</v>
      </c>
    </row>
    <row r="488" ht="15.75" customHeight="1">
      <c r="A488" s="2">
        <v>3.0</v>
      </c>
      <c r="B488" s="2" t="s">
        <v>1440</v>
      </c>
      <c r="C488" s="2" t="s">
        <v>1441</v>
      </c>
      <c r="D488" s="2" t="s">
        <v>75</v>
      </c>
      <c r="E488" s="2" t="s">
        <v>14</v>
      </c>
      <c r="F488" s="2" t="s">
        <v>15</v>
      </c>
      <c r="G488" s="2" t="s">
        <v>1280</v>
      </c>
      <c r="H488" s="2" t="s">
        <v>77</v>
      </c>
      <c r="I488" s="2" t="str">
        <f>IFERROR(__xludf.DUMMYFUNCTION("GOOGLETRANSLATE(C488,""fr"",""en"")"),"Hello,
I find that when we have a claim the procedure is not consistent.
Experts are not rigorous enough and it is difficult to have a follow -up with answers.
In addition Direct Insurance wants to close a disaster without questioning the insured to fi"&amp;"nd out if everything is well finished. I received my refund before my repairs are properly evaluated.")</f>
        <v>Hello,
I find that when we have a claim the procedure is not consistent.
Experts are not rigorous enough and it is difficult to have a follow -up with answers.
In addition Direct Insurance wants to close a disaster without questioning the insured to find out if everything is well finished. I received my refund before my repairs are properly evaluated.</v>
      </c>
    </row>
    <row r="489" ht="15.75" customHeight="1">
      <c r="A489" s="2">
        <v>2.0</v>
      </c>
      <c r="B489" s="2" t="s">
        <v>1442</v>
      </c>
      <c r="C489" s="2" t="s">
        <v>1443</v>
      </c>
      <c r="D489" s="2" t="s">
        <v>26</v>
      </c>
      <c r="E489" s="2" t="s">
        <v>21</v>
      </c>
      <c r="F489" s="2" t="s">
        <v>15</v>
      </c>
      <c r="G489" s="2" t="s">
        <v>1444</v>
      </c>
      <c r="H489" s="2" t="s">
        <v>193</v>
      </c>
      <c r="I489" s="2" t="str">
        <f>IFERROR(__xludf.DUMMYFUNCTION("GOOGLETRANSLATE(C489,""fr"",""en"")"),"Catastrophic fire loss management, more than a month. No rehousing, no pre -compensation, no follow -up, housed in the family by spite. No prospects to find my accommodation. Where is help, support, respect?")</f>
        <v>Catastrophic fire loss management, more than a month. No rehousing, no pre -compensation, no follow -up, housed in the family by spite. No prospects to find my accommodation. Where is help, support, respect?</v>
      </c>
    </row>
    <row r="490" ht="15.75" customHeight="1">
      <c r="A490" s="2">
        <v>5.0</v>
      </c>
      <c r="B490" s="2" t="s">
        <v>1445</v>
      </c>
      <c r="C490" s="2" t="s">
        <v>1446</v>
      </c>
      <c r="D490" s="2" t="s">
        <v>37</v>
      </c>
      <c r="E490" s="2" t="s">
        <v>14</v>
      </c>
      <c r="F490" s="2" t="s">
        <v>15</v>
      </c>
      <c r="G490" s="2" t="s">
        <v>434</v>
      </c>
      <c r="H490" s="2" t="s">
        <v>39</v>
      </c>
      <c r="I490" s="2" t="str">
        <f>IFERROR(__xludf.DUMMYFUNCTION("GOOGLETRANSLATE(C490,""fr"",""en"")"),"Satisfied for the moment hoping to be for a moment thank you very much for your listening and all my most sincere good evenings")</f>
        <v>Satisfied for the moment hoping to be for a moment thank you very much for your listening and all my most sincere good evenings</v>
      </c>
    </row>
    <row r="491" ht="15.75" customHeight="1">
      <c r="A491" s="2">
        <v>4.0</v>
      </c>
      <c r="B491" s="2" t="s">
        <v>1447</v>
      </c>
      <c r="C491" s="2" t="s">
        <v>1448</v>
      </c>
      <c r="D491" s="2" t="s">
        <v>70</v>
      </c>
      <c r="E491" s="2" t="s">
        <v>14</v>
      </c>
      <c r="F491" s="2" t="s">
        <v>15</v>
      </c>
      <c r="G491" s="2" t="s">
        <v>1449</v>
      </c>
      <c r="H491" s="2" t="s">
        <v>77</v>
      </c>
      <c r="I491" s="2" t="str">
        <f>IFERROR(__xludf.DUMMYFUNCTION("GOOGLETRANSLATE(C491,""fr"",""en"")"),"In the event of a sinister (very rare for us for sixty ten years ...), lump sum compensation is so fast that we do not have time to assess and note the extent of damage and flights (burglary in Ardon in 2018 .. observation of the missing values ​​and obje"&amp;"cts noted several weeks after declaration of a claim ... It is our case .. it is true that we are wrong to be too active, less reactive and too honest) thank you anyway. ..")</f>
        <v>In the event of a sinister (very rare for us for sixty ten years ...), lump sum compensation is so fast that we do not have time to assess and note the extent of damage and flights (burglary in Ardon in 2018 .. observation of the missing values ​​and objects noted several weeks after declaration of a claim ... It is our case .. it is true that we are wrong to be too active, less reactive and too honest) thank you anyway. ..</v>
      </c>
    </row>
    <row r="492" ht="15.75" customHeight="1">
      <c r="A492" s="2">
        <v>2.0</v>
      </c>
      <c r="B492" s="2" t="s">
        <v>1450</v>
      </c>
      <c r="C492" s="2" t="s">
        <v>1451</v>
      </c>
      <c r="D492" s="2" t="s">
        <v>75</v>
      </c>
      <c r="E492" s="2" t="s">
        <v>14</v>
      </c>
      <c r="F492" s="2" t="s">
        <v>15</v>
      </c>
      <c r="G492" s="2" t="s">
        <v>1452</v>
      </c>
      <c r="H492" s="2" t="s">
        <v>186</v>
      </c>
      <c r="I492" s="2" t="str">
        <f>IFERROR(__xludf.DUMMYFUNCTION("GOOGLETRANSLATE(C492,""fr"",""en"")"),"I have been insured at DA since 2013 Housing and Auto but I will do you with my bad experience with this insurance.
I have never had an accident since but my nightmare started since my claim on July 24 in which my responsibility was engaged.
I took an i"&amp;"nsurance all risk + option of tranquility pack but this option is powder in the eyes.
The Pennage assistance service put 72 after the accident to deposit my vehicle in a partner garage.
To have this garage, I have fought and do research myself by asking"&amp;" for a list of their partner garages because they were unable to find a garage for my vehicle.
After 2 weeks of waiting, the expert passes and evaluates the repair period at 2 days.
The height is that the tranquility pack option does not mean that you w"&amp;"ill have a replacement vehicle throughout the immobilization of your car but only the repair duration in my case is 2 days.
The mechanic will start repairing my vehicle only from September 4 so during this time I will not have a loan vehicle.
So I wil"&amp;"l wait until September 4 to have a loan vehicle but for only 2 days.
As soon as my vehicle is repaired I will terminate all my insurance at home
 ")</f>
        <v>I have been insured at DA since 2013 Housing and Auto but I will do you with my bad experience with this insurance.
I have never had an accident since but my nightmare started since my claim on July 24 in which my responsibility was engaged.
I took an insurance all risk + option of tranquility pack but this option is powder in the eyes.
The Pennage assistance service put 72 after the accident to deposit my vehicle in a partner garage.
To have this garage, I have fought and do research myself by asking for a list of their partner garages because they were unable to find a garage for my vehicle.
After 2 weeks of waiting, the expert passes and evaluates the repair period at 2 days.
The height is that the tranquility pack option does not mean that you will have a replacement vehicle throughout the immobilization of your car but only the repair duration in my case is 2 days.
The mechanic will start repairing my vehicle only from September 4 so during this time I will not have a loan vehicle.
So I will wait until September 4 to have a loan vehicle but for only 2 days.
As soon as my vehicle is repaired I will terminate all my insurance at home
 </v>
      </c>
    </row>
    <row r="493" ht="15.75" customHeight="1">
      <c r="A493" s="2">
        <v>1.0</v>
      </c>
      <c r="B493" s="2" t="s">
        <v>1453</v>
      </c>
      <c r="C493" s="2" t="s">
        <v>1454</v>
      </c>
      <c r="D493" s="2" t="s">
        <v>579</v>
      </c>
      <c r="E493" s="2" t="s">
        <v>14</v>
      </c>
      <c r="F493" s="2" t="s">
        <v>15</v>
      </c>
      <c r="G493" s="2" t="s">
        <v>1069</v>
      </c>
      <c r="H493" s="2" t="s">
        <v>86</v>
      </c>
      <c r="I493" s="2" t="str">
        <f>IFERROR(__xludf.DUMMYFUNCTION("GOOGLETRANSLATE(C493,""fr"",""en"")"),"Eurofil to flee absolutely to terminate your contract as soon as you have a disaster even if you are not responsible attention, if you do not have a claim everything will go well on you. To flee at all prices and to .Prix.Prix. Strong the membership but c"&amp;"heck the deadline of the next year, they really increase a lot! Do not get fooled. Example of price for a BMW 316D of 2012 The so -called EUROFIL risk 800 euros per year with direct insurance 550 euros and more friendly and above all more pro")</f>
        <v>Eurofil to flee absolutely to terminate your contract as soon as you have a disaster even if you are not responsible attention, if you do not have a claim everything will go well on you. To flee at all prices and to .Prix.Prix. Strong the membership but check the deadline of the next year, they really increase a lot! Do not get fooled. Example of price for a BMW 316D of 2012 The so -called EUROFIL risk 800 euros per year with direct insurance 550 euros and more friendly and above all more pro</v>
      </c>
    </row>
    <row r="494" ht="15.75" customHeight="1">
      <c r="A494" s="2">
        <v>5.0</v>
      </c>
      <c r="B494" s="2" t="s">
        <v>1455</v>
      </c>
      <c r="C494" s="2" t="s">
        <v>1456</v>
      </c>
      <c r="D494" s="2" t="s">
        <v>75</v>
      </c>
      <c r="E494" s="2" t="s">
        <v>14</v>
      </c>
      <c r="F494" s="2" t="s">
        <v>15</v>
      </c>
      <c r="G494" s="2" t="s">
        <v>455</v>
      </c>
      <c r="H494" s="2" t="s">
        <v>86</v>
      </c>
      <c r="I494" s="2" t="str">
        <f>IFERROR(__xludf.DUMMYFUNCTION("GOOGLETRANSLATE(C494,""fr"",""en"")"),"Very satisfied with the friendly and listening person service has really taken all his time to help me thank you for your very attractive kindness price")</f>
        <v>Very satisfied with the friendly and listening person service has really taken all his time to help me thank you for your very attractive kindness price</v>
      </c>
    </row>
    <row r="495" ht="15.75" customHeight="1">
      <c r="A495" s="2">
        <v>2.0</v>
      </c>
      <c r="B495" s="2" t="s">
        <v>1457</v>
      </c>
      <c r="C495" s="2" t="s">
        <v>1458</v>
      </c>
      <c r="D495" s="2" t="s">
        <v>26</v>
      </c>
      <c r="E495" s="2" t="s">
        <v>14</v>
      </c>
      <c r="F495" s="2" t="s">
        <v>15</v>
      </c>
      <c r="G495" s="2" t="s">
        <v>1459</v>
      </c>
      <c r="H495" s="2" t="s">
        <v>286</v>
      </c>
      <c r="I495" s="2" t="str">
        <f>IFERROR(__xludf.DUMMYFUNCTION("GOOGLETRANSLATE(C495,""fr"",""en"")"),"I was trapped by a 50% life bonus with my own name ""even in the event of an accident (s) responsible -Sic-
Following the
Do not fracture the arm, more than 3 years ago, my gestures became less skillful and I caused 3 almost insignificant material accid"&amp;"ents by guaranteeing my car. Forter of my right, I even had decency and stupidity to leave my contact details on the very slightly damaged vehicle (some black traces)
Following what, after 30 years of insurance without accident at AXA, my bonus fell to 3"&amp;"0%!!
It's false advertising!")</f>
        <v>I was trapped by a 50% life bonus with my own name "even in the event of an accident (s) responsible -Sic-
Following the
Do not fracture the arm, more than 3 years ago, my gestures became less skillful and I caused 3 almost insignificant material accidents by guaranteeing my car. Forter of my right, I even had decency and stupidity to leave my contact details on the very slightly damaged vehicle (some black traces)
Following what, after 30 years of insurance without accident at AXA, my bonus fell to 30%!!
It's false advertising!</v>
      </c>
    </row>
    <row r="496" ht="15.75" customHeight="1">
      <c r="A496" s="2">
        <v>2.0</v>
      </c>
      <c r="B496" s="2" t="s">
        <v>1460</v>
      </c>
      <c r="C496" s="2" t="s">
        <v>1461</v>
      </c>
      <c r="D496" s="2" t="s">
        <v>75</v>
      </c>
      <c r="E496" s="2" t="s">
        <v>14</v>
      </c>
      <c r="F496" s="2" t="s">
        <v>15</v>
      </c>
      <c r="G496" s="2" t="s">
        <v>1462</v>
      </c>
      <c r="H496" s="2" t="s">
        <v>521</v>
      </c>
      <c r="I496" s="2" t="str">
        <f>IFERROR(__xludf.DUMMYFUNCTION("GOOGLETRANSLATE(C496,""fr"",""en"")"),"The price is still expensive for a 60hp vehicle, especially since Pr Moroccan who has had to drive for years in his country, his driving experience is put in the trash")</f>
        <v>The price is still expensive for a 60hp vehicle, especially since Pr Moroccan who has had to drive for years in his country, his driving experience is put in the trash</v>
      </c>
    </row>
    <row r="497" ht="15.75" customHeight="1">
      <c r="A497" s="2">
        <v>3.0</v>
      </c>
      <c r="B497" s="2" t="s">
        <v>1463</v>
      </c>
      <c r="C497" s="2" t="s">
        <v>1464</v>
      </c>
      <c r="D497" s="2" t="s">
        <v>233</v>
      </c>
      <c r="E497" s="2" t="s">
        <v>32</v>
      </c>
      <c r="F497" s="2" t="s">
        <v>15</v>
      </c>
      <c r="G497" s="2" t="s">
        <v>1465</v>
      </c>
      <c r="H497" s="2" t="s">
        <v>39</v>
      </c>
      <c r="I497" s="2" t="str">
        <f>IFERROR(__xludf.DUMMYFUNCTION("GOOGLETRANSLATE(C497,""fr"",""en"")"),"We are always very well informed and if necessary if difficulties they take the time to understand to solve the problem.
............")</f>
        <v>We are always very well informed and if necessary if difficulties they take the time to understand to solve the problem.
............</v>
      </c>
    </row>
    <row r="498" ht="15.75" customHeight="1">
      <c r="A498" s="2">
        <v>1.0</v>
      </c>
      <c r="B498" s="2" t="s">
        <v>1466</v>
      </c>
      <c r="C498" s="2" t="s">
        <v>1467</v>
      </c>
      <c r="D498" s="2" t="s">
        <v>152</v>
      </c>
      <c r="E498" s="2" t="s">
        <v>153</v>
      </c>
      <c r="F498" s="2" t="s">
        <v>15</v>
      </c>
      <c r="G498" s="2" t="s">
        <v>1468</v>
      </c>
      <c r="H498" s="2" t="s">
        <v>406</v>
      </c>
      <c r="I498" s="2" t="str">
        <f>IFERROR(__xludf.DUMMYFUNCTION("GOOGLETRANSLATE(C498,""fr"",""en"")"),"Borrowing in January 2016 with temporary incapacitated work insurance
March 2018 asked to benefit from this care because long -term work stop for wrist intervention
July 2018 notification of refusal of care because I take a medical treatment for the lev"&amp;"othyrox thyroid
While no medical questionnaire was requested when I subscribe to my loan")</f>
        <v>Borrowing in January 2016 with temporary incapacitated work insurance
March 2018 asked to benefit from this care because long -term work stop for wrist intervention
July 2018 notification of refusal of care because I take a medical treatment for the levothyrox thyroid
While no medical questionnaire was requested when I subscribe to my loan</v>
      </c>
    </row>
    <row r="499" ht="15.75" customHeight="1">
      <c r="A499" s="2">
        <v>1.0</v>
      </c>
      <c r="B499" s="2" t="s">
        <v>1469</v>
      </c>
      <c r="C499" s="2" t="s">
        <v>1470</v>
      </c>
      <c r="D499" s="2" t="s">
        <v>394</v>
      </c>
      <c r="E499" s="2" t="s">
        <v>32</v>
      </c>
      <c r="F499" s="2" t="s">
        <v>15</v>
      </c>
      <c r="G499" s="2" t="s">
        <v>1471</v>
      </c>
      <c r="H499" s="2" t="s">
        <v>23</v>
      </c>
      <c r="I499" s="2" t="str">
        <f>IFERROR(__xludf.DUMMYFUNCTION("GOOGLETRANSLATE(C499,""fr"",""en"")"),"A word: catastrophic. I have never seen such a hoax. No response regarding my refund requests, never received my paid third -party card after making 4 requests. I tried to terminate this scandalous mutual in vain since 2017. I am told that a paper is stil"&amp;"l missing or that the date is not good. It is not possible to treat people in this way. No answer, never and you are always taken from the insurance that leaves I don't know wherever you are asked to reimburse quickly. When you no longer respond to this h"&amp;"oax. We harass you telephone.")</f>
        <v>A word: catastrophic. I have never seen such a hoax. No response regarding my refund requests, never received my paid third -party card after making 4 requests. I tried to terminate this scandalous mutual in vain since 2017. I am told that a paper is still missing or that the date is not good. It is not possible to treat people in this way. No answer, never and you are always taken from the insurance that leaves I don't know wherever you are asked to reimburse quickly. When you no longer respond to this hoax. We harass you telephone.</v>
      </c>
    </row>
    <row r="500" ht="15.75" customHeight="1">
      <c r="A500" s="2">
        <v>1.0</v>
      </c>
      <c r="B500" s="2" t="s">
        <v>1472</v>
      </c>
      <c r="C500" s="2" t="s">
        <v>1473</v>
      </c>
      <c r="D500" s="2" t="s">
        <v>221</v>
      </c>
      <c r="E500" s="2" t="s">
        <v>14</v>
      </c>
      <c r="F500" s="2" t="s">
        <v>15</v>
      </c>
      <c r="G500" s="2" t="s">
        <v>1474</v>
      </c>
      <c r="H500" s="2" t="s">
        <v>1151</v>
      </c>
      <c r="I500" s="2" t="str">
        <f>IFERROR(__xludf.DUMMYFUNCTION("GOOGLETRANSLATE(C500,""fr"",""en"")"),"Insurance far too expensive and when we go to the AXA competition and he takes care of all the papers to have Pacificica terminated and that Pacifica refuses termination I find myself paying two insurance per month and Pacifica must be the dead and do not"&amp;" do the necessary to reimburse me and to end my contract with them really very disappointed")</f>
        <v>Insurance far too expensive and when we go to the AXA competition and he takes care of all the papers to have Pacificica terminated and that Pacifica refuses termination I find myself paying two insurance per month and Pacifica must be the dead and do not do the necessary to reimburse me and to end my contract with them really very disappointed</v>
      </c>
    </row>
    <row r="501" ht="15.75" customHeight="1">
      <c r="A501" s="2">
        <v>5.0</v>
      </c>
      <c r="B501" s="2" t="s">
        <v>1475</v>
      </c>
      <c r="C501" s="2" t="s">
        <v>1476</v>
      </c>
      <c r="D501" s="2" t="s">
        <v>37</v>
      </c>
      <c r="E501" s="2" t="s">
        <v>14</v>
      </c>
      <c r="F501" s="2" t="s">
        <v>15</v>
      </c>
      <c r="G501" s="2" t="s">
        <v>619</v>
      </c>
      <c r="H501" s="2" t="s">
        <v>28</v>
      </c>
      <c r="I501" s="2" t="str">
        <f>IFERROR(__xludf.DUMMYFUNCTION("GOOGLETRANSLATE(C501,""fr"",""en"")"),"Very satisfied with the price and very happy with the kindness of the two people I had on the phone, very professional! Great thank you very much !!!!!")</f>
        <v>Very satisfied with the price and very happy with the kindness of the two people I had on the phone, very professional! Great thank you very much !!!!!</v>
      </c>
    </row>
    <row r="502" ht="15.75" customHeight="1">
      <c r="A502" s="2">
        <v>4.0</v>
      </c>
      <c r="B502" s="2" t="s">
        <v>1477</v>
      </c>
      <c r="C502" s="2" t="s">
        <v>1478</v>
      </c>
      <c r="D502" s="2" t="s">
        <v>394</v>
      </c>
      <c r="E502" s="2" t="s">
        <v>32</v>
      </c>
      <c r="F502" s="2" t="s">
        <v>15</v>
      </c>
      <c r="G502" s="2" t="s">
        <v>1479</v>
      </c>
      <c r="H502" s="2" t="s">
        <v>926</v>
      </c>
      <c r="I502" s="2" t="str">
        <f>IFERROR(__xludf.DUMMYFUNCTION("GOOGLETRANSLATE(C502,""fr"",""en"")"),"I have been very satisfied since 2012 of this mutual and I very much appreciate the new products that I am offered")</f>
        <v>I have been very satisfied since 2012 of this mutual and I very much appreciate the new products that I am offered</v>
      </c>
    </row>
    <row r="503" ht="15.75" customHeight="1">
      <c r="A503" s="2">
        <v>4.0</v>
      </c>
      <c r="B503" s="2" t="s">
        <v>1480</v>
      </c>
      <c r="C503" s="2" t="s">
        <v>1481</v>
      </c>
      <c r="D503" s="2" t="s">
        <v>31</v>
      </c>
      <c r="E503" s="2" t="s">
        <v>32</v>
      </c>
      <c r="F503" s="2" t="s">
        <v>15</v>
      </c>
      <c r="G503" s="2" t="s">
        <v>391</v>
      </c>
      <c r="H503" s="2" t="s">
        <v>341</v>
      </c>
      <c r="I503" s="2" t="str">
        <f>IFERROR(__xludf.DUMMYFUNCTION("GOOGLETRANSLATE(C503,""fr"",""en"")"),"Mutual fairly expensive but competent. Adding to the MGP since 1968 I learned today the seat in Toulon has been firm for some time a letter has been returned to this day.")</f>
        <v>Mutual fairly expensive but competent. Adding to the MGP since 1968 I learned today the seat in Toulon has been firm for some time a letter has been returned to this day.</v>
      </c>
    </row>
    <row r="504" ht="15.75" customHeight="1">
      <c r="A504" s="2">
        <v>1.0</v>
      </c>
      <c r="B504" s="2" t="s">
        <v>1482</v>
      </c>
      <c r="C504" s="2" t="s">
        <v>1483</v>
      </c>
      <c r="D504" s="2" t="s">
        <v>560</v>
      </c>
      <c r="E504" s="2" t="s">
        <v>32</v>
      </c>
      <c r="F504" s="2" t="s">
        <v>15</v>
      </c>
      <c r="G504" s="2" t="s">
        <v>497</v>
      </c>
      <c r="H504" s="2" t="s">
        <v>331</v>
      </c>
      <c r="I504" s="2" t="str">
        <f>IFERROR(__xludf.DUMMYFUNCTION("GOOGLETRANSLATE(C504,""fr"",""en"")"),"Poor service, no follow -up.
I had to call at least 30 times to perceive my reimbursement is lamentable ...
They hang up on me !!! When I remind you I have to wait at least 20 min and to fill all advise them do not know how to solve the problem
")</f>
        <v>Poor service, no follow -up.
I had to call at least 30 times to perceive my reimbursement is lamentable ...
They hang up on me !!! When I remind you I have to wait at least 20 min and to fill all advise them do not know how to solve the problem
</v>
      </c>
    </row>
    <row r="505" ht="15.75" customHeight="1">
      <c r="A505" s="2">
        <v>4.0</v>
      </c>
      <c r="B505" s="2" t="s">
        <v>1484</v>
      </c>
      <c r="C505" s="2" t="s">
        <v>1485</v>
      </c>
      <c r="D505" s="2" t="s">
        <v>1486</v>
      </c>
      <c r="E505" s="2" t="s">
        <v>81</v>
      </c>
      <c r="F505" s="2" t="s">
        <v>15</v>
      </c>
      <c r="G505" s="2" t="s">
        <v>1004</v>
      </c>
      <c r="H505" s="2" t="s">
        <v>39</v>
      </c>
      <c r="I505" s="2" t="str">
        <f>IFERROR(__xludf.DUMMYFUNCTION("GOOGLETRANSLATE(C505,""fr"",""en"")"),"A little crawl to set the appointment, but the advisor took the time necessary to meet my expectations despite the modité of my placement.")</f>
        <v>A little crawl to set the appointment, but the advisor took the time necessary to meet my expectations despite the modité of my placement.</v>
      </c>
    </row>
    <row r="506" ht="15.75" customHeight="1">
      <c r="A506" s="2">
        <v>4.0</v>
      </c>
      <c r="B506" s="2" t="s">
        <v>1487</v>
      </c>
      <c r="C506" s="2" t="s">
        <v>1488</v>
      </c>
      <c r="D506" s="2" t="s">
        <v>37</v>
      </c>
      <c r="E506" s="2" t="s">
        <v>14</v>
      </c>
      <c r="F506" s="2" t="s">
        <v>15</v>
      </c>
      <c r="G506" s="2" t="s">
        <v>1489</v>
      </c>
      <c r="H506" s="2" t="s">
        <v>111</v>
      </c>
      <c r="I506" s="2" t="str">
        <f>IFERROR(__xludf.DUMMYFUNCTION("GOOGLETRANSLATE(C506,""fr"",""en"")"),"The price and the service are goods, a new driver's attractive driver. However, I cannot give a final opinion because I have just signed a contract, to be seen over time.")</f>
        <v>The price and the service are goods, a new driver's attractive driver. However, I cannot give a final opinion because I have just signed a contract, to be seen over time.</v>
      </c>
    </row>
    <row r="507" ht="15.75" customHeight="1">
      <c r="A507" s="2">
        <v>1.0</v>
      </c>
      <c r="B507" s="2" t="s">
        <v>1490</v>
      </c>
      <c r="C507" s="2" t="s">
        <v>1491</v>
      </c>
      <c r="D507" s="2" t="s">
        <v>37</v>
      </c>
      <c r="E507" s="2" t="s">
        <v>14</v>
      </c>
      <c r="F507" s="2" t="s">
        <v>15</v>
      </c>
      <c r="G507" s="2" t="s">
        <v>1492</v>
      </c>
      <c r="H507" s="2" t="s">
        <v>61</v>
      </c>
      <c r="I507" s="2" t="str">
        <f>IFERROR(__xludf.DUMMYFUNCTION("GOOGLETRANSLATE(C507,""fr"",""en"")"),"It is a shame the price increases for a reason by 10 euros per month when I had no claim. No refund following the COVID. Do not subscribe!
")</f>
        <v>It is a shame the price increases for a reason by 10 euros per month when I had no claim. No refund following the COVID. Do not subscribe!
</v>
      </c>
    </row>
    <row r="508" ht="15.75" customHeight="1">
      <c r="A508" s="2">
        <v>3.0</v>
      </c>
      <c r="B508" s="2" t="s">
        <v>1493</v>
      </c>
      <c r="C508" s="2" t="s">
        <v>1494</v>
      </c>
      <c r="D508" s="2" t="s">
        <v>75</v>
      </c>
      <c r="E508" s="2" t="s">
        <v>14</v>
      </c>
      <c r="F508" s="2" t="s">
        <v>15</v>
      </c>
      <c r="G508" s="2" t="s">
        <v>1495</v>
      </c>
      <c r="H508" s="2" t="s">
        <v>98</v>
      </c>
      <c r="I508" s="2" t="str">
        <f>IFERROR(__xludf.DUMMYFUNCTION("GOOGLETRANSLATE(C508,""fr"",""en"")"),"Very good when you are concerned! But I moved a year ago and my departure reported, however, was not taken into account !!! it's infernal !!!
Constance przybyszewski")</f>
        <v>Very good when you are concerned! But I moved a year ago and my departure reported, however, was not taken into account !!! it's infernal !!!
Constance przybyszewski</v>
      </c>
    </row>
    <row r="509" ht="15.75" customHeight="1">
      <c r="A509" s="2">
        <v>2.0</v>
      </c>
      <c r="B509" s="2" t="s">
        <v>1496</v>
      </c>
      <c r="C509" s="2" t="s">
        <v>1497</v>
      </c>
      <c r="D509" s="2" t="s">
        <v>37</v>
      </c>
      <c r="E509" s="2" t="s">
        <v>14</v>
      </c>
      <c r="F509" s="2" t="s">
        <v>15</v>
      </c>
      <c r="G509" s="2" t="s">
        <v>1498</v>
      </c>
      <c r="H509" s="2" t="s">
        <v>244</v>
      </c>
      <c r="I509" s="2" t="str">
        <f>IFERROR(__xludf.DUMMYFUNCTION("GOOGLETRANSLATE(C509,""fr"",""en"")"),"I wish to tell you about my experience: Friday November 10 at 6:20 p.m. I borrow the A 86 in Vélizy Villacoublay in the direction of Chatenay-Malabry, Verrières le Buisson ... The traffic was dense, I was at the 'Stop, like all the other vehicles, when I "&amp;"see that the gentleman in front of me does not brake (sloping road) and retreats on my vehicle. I hide then a long time but the gentleman being very old (about 80 years) did not have the reflex to brake. The gentleman does not stop to see the material dam"&amp;"age. He's going back. I start running at his height and I ask him to put himself on the side, but he does not want so I hang on to his car and he has no choice. I park my vehicle on the insertion track after Bièvres at Vélizy Villacoublay. I inform the ge"&amp;"ntleman of my wish to establish an amicable observation. He tells me that he won't sign anything. I call the police who tell me to take the gentleman's plate well and establish the amicable observation alone on my side. I try once again to convince this g"&amp;"entleman but he stays on his positions and swears that he did nothing !!! I tell him ok if it's like that follow me we are going to go to the nearest police station in Chatenay-Malabry. He does not want and starts to speed up with his car I hang on to his"&amp;" vehicle. A lady stops to help me. Gives me his business card and takes a photo of the gentleman's registration because I was still grabbed the Renault Clio of this gentleman to prevent him from leaving. I finally manage to resonate the gentleman so that "&amp;"he follows me at the police station and there he takes the chatenay-malabry outing well and at the level of the large round point of the Quick he wines. I waited for him at the Chatenay-Malabry police station, thinking he would come. I ask to file a compl"&amp;"aint with the police for a flight offense but the policeman tells me that I stopped him suddenly it is no longer a flight offense and I managed to recover (his license plate CM090cq, His green card number Maif 039710n and chatting he told me that he lived"&amp;" in Montrouge). We are looking in the registration plates with the police officer and the registration corresponds well to the Renault Clio in question and the gentleman lives well Montrouge. I could not have his name because the professional secrecy of t"&amp;"his policeman does not allow him to give it to me. Yesterday I receive a return from my advisor after the month of waiting for a return of the other party telling me: Madam, sir,
We confirm the reception of the elements of your file, and thank you"&amp;".
The circumstances of the accident as described in the two declarations are contradictory. Indeed, the third party indicates that you struck it from the rear and you stipulate in your declaration that the third party struck you by retreating.
"&amp;" 
In the absence of a witness who saw the scene from start to finish and having no admissible testimony we regret informing that these elements partly engage your responsibility.
Consequently we will support the amount of repairs of your vehicl"&amp;"e, capped up to its replacement value, after deduction of the franchise of € 187.00.
In accordance with the regulations in force, your bonus/penalty is likely to be increased at the next contractual deadline.
We ask you to accept, madam, s"&amp;"ir, our sincere greetings.
I have the impression of dreaming I made myself the observation the gentleman did not want to sign him and it is I who am at fault no but I dream !!!
I sent to the witness the return of my insurance and she told me to change"&amp;" quickly because it is rotten insurance. I will do this because all are well when there is no problem but otherwise in the event of a glitch there is no one left !!! I am shocked by this injustice ...")</f>
        <v>I wish to tell you about my experience: Friday November 10 at 6:20 p.m. I borrow the A 86 in Vélizy Villacoublay in the direction of Chatenay-Malabry, Verrières le Buisson ... The traffic was dense, I was at the 'Stop, like all the other vehicles, when I see that the gentleman in front of me does not brake (sloping road) and retreats on my vehicle. I hide then a long time but the gentleman being very old (about 80 years) did not have the reflex to brake. The gentleman does not stop to see the material damage. He's going back. I start running at his height and I ask him to put himself on the side, but he does not want so I hang on to his car and he has no choice. I park my vehicle on the insertion track after Bièvres at Vélizy Villacoublay. I inform the gentleman of my wish to establish an amicable observation. He tells me that he won't sign anything. I call the police who tell me to take the gentleman's plate well and establish the amicable observation alone on my side. I try once again to convince this gentleman but he stays on his positions and swears that he did nothing !!! I tell him ok if it's like that follow me we are going to go to the nearest police station in Chatenay-Malabry. He does not want and starts to speed up with his car I hang on to his vehicle. A lady stops to help me. Gives me his business card and takes a photo of the gentleman's registration because I was still grabbed the Renault Clio of this gentleman to prevent him from leaving. I finally manage to resonate the gentleman so that he follows me at the police station and there he takes the chatenay-malabry outing well and at the level of the large round point of the Quick he wines. I waited for him at the Chatenay-Malabry police station, thinking he would come. I ask to file a complaint with the police for a flight offense but the policeman tells me that I stopped him suddenly it is no longer a flight offense and I managed to recover (his license plate CM090cq, His green card number Maif 039710n and chatting he told me that he lived in Montrouge). We are looking in the registration plates with the police officer and the registration corresponds well to the Renault Clio in question and the gentleman lives well Montrouge. I could not have his name because the professional secrecy of this policeman does not allow him to give it to me. Yesterday I receive a return from my advisor after the month of waiting for a return of the other party telling me: Madam, sir,
We confirm the reception of the elements of your file, and thank you.
The circumstances of the accident as described in the two declarations are contradictory. Indeed, the third party indicates that you struck it from the rear and you stipulate in your declaration that the third party struck you by retreating.
In the absence of a witness who saw the scene from start to finish and having no admissible testimony we regret informing that these elements partly engage your responsibility.
Consequently we will support the amount of repairs of your vehicle, capped up to its replacement value, after deduction of the franchise of € 187.00.
In accordance with the regulations in force, your bonus/penalty is likely to be increased at the next contractual deadline.
We ask you to accept, madam, sir, our sincere greetings.
I have the impression of dreaming I made myself the observation the gentleman did not want to sign him and it is I who am at fault no but I dream !!!
I sent to the witness the return of my insurance and she told me to change quickly because it is rotten insurance. I will do this because all are well when there is no problem but otherwise in the event of a glitch there is no one left !!! I am shocked by this injustice ...</v>
      </c>
    </row>
    <row r="510" ht="15.75" customHeight="1">
      <c r="A510" s="2">
        <v>4.0</v>
      </c>
      <c r="B510" s="2" t="s">
        <v>1499</v>
      </c>
      <c r="C510" s="2" t="s">
        <v>1500</v>
      </c>
      <c r="D510" s="2" t="s">
        <v>95</v>
      </c>
      <c r="E510" s="2" t="s">
        <v>96</v>
      </c>
      <c r="F510" s="2" t="s">
        <v>15</v>
      </c>
      <c r="G510" s="2" t="s">
        <v>1501</v>
      </c>
      <c r="H510" s="2" t="s">
        <v>77</v>
      </c>
      <c r="I510" s="2" t="str">
        <f>IFERROR(__xludf.DUMMYFUNCTION("GOOGLETRANSLATE(C510,""fr"",""en"")"),"Correct price is what made me go to April to see in time for customer service so easy to reach
I am happy with the annual savings")</f>
        <v>Correct price is what made me go to April to see in time for customer service so easy to reach
I am happy with the annual savings</v>
      </c>
    </row>
    <row r="511" ht="15.75" customHeight="1">
      <c r="A511" s="2">
        <v>5.0</v>
      </c>
      <c r="B511" s="2" t="s">
        <v>1502</v>
      </c>
      <c r="C511" s="2" t="s">
        <v>1503</v>
      </c>
      <c r="D511" s="2" t="s">
        <v>75</v>
      </c>
      <c r="E511" s="2" t="s">
        <v>14</v>
      </c>
      <c r="F511" s="2" t="s">
        <v>15</v>
      </c>
      <c r="G511" s="2" t="s">
        <v>1504</v>
      </c>
      <c r="H511" s="2" t="s">
        <v>77</v>
      </c>
      <c r="I511" s="2" t="str">
        <f>IFERROR(__xludf.DUMMYFUNCTION("GOOGLETRANSLATE(C511,""fr"",""en"")"),"I am satisfied with the service, fast and efficient, the prices are largely affordable for any type of vehicle. The options remain correct! good value for money")</f>
        <v>I am satisfied with the service, fast and efficient, the prices are largely affordable for any type of vehicle. The options remain correct! good value for money</v>
      </c>
    </row>
    <row r="512" ht="15.75" customHeight="1">
      <c r="A512" s="2">
        <v>1.0</v>
      </c>
      <c r="B512" s="2" t="s">
        <v>1505</v>
      </c>
      <c r="C512" s="2" t="s">
        <v>1506</v>
      </c>
      <c r="D512" s="2" t="s">
        <v>75</v>
      </c>
      <c r="E512" s="2" t="s">
        <v>14</v>
      </c>
      <c r="F512" s="2" t="s">
        <v>15</v>
      </c>
      <c r="G512" s="2" t="s">
        <v>716</v>
      </c>
      <c r="H512" s="2" t="s">
        <v>77</v>
      </c>
      <c r="I512" s="2" t="str">
        <f>IFERROR(__xludf.DUMMYFUNCTION("GOOGLETRANSLATE(C512,""fr"",""en"")"),"No monitoring of the sinister-5 months of claim and nothing is made-up proposal for a lesser-a dozen calls for customer service that never contacted us")</f>
        <v>No monitoring of the sinister-5 months of claim and nothing is made-up proposal for a lesser-a dozen calls for customer service that never contacted us</v>
      </c>
    </row>
    <row r="513" ht="15.75" customHeight="1">
      <c r="A513" s="2">
        <v>1.0</v>
      </c>
      <c r="B513" s="2" t="s">
        <v>1507</v>
      </c>
      <c r="C513" s="2" t="s">
        <v>1508</v>
      </c>
      <c r="D513" s="2" t="s">
        <v>37</v>
      </c>
      <c r="E513" s="2" t="s">
        <v>14</v>
      </c>
      <c r="F513" s="2" t="s">
        <v>15</v>
      </c>
      <c r="G513" s="2" t="s">
        <v>1509</v>
      </c>
      <c r="H513" s="2" t="s">
        <v>77</v>
      </c>
      <c r="I513" s="2" t="str">
        <f>IFERROR(__xludf.DUMMYFUNCTION("GOOGLETRANSLATE(C513,""fr"",""en"")"),"I am satisfied with the price and car and home services, and I recommend the olive tree to my entourage for these reasons. My son also adhere since he even has his automotive contract")</f>
        <v>I am satisfied with the price and car and home services, and I recommend the olive tree to my entourage for these reasons. My son also adhere since he even has his automotive contract</v>
      </c>
    </row>
    <row r="514" ht="15.75" customHeight="1">
      <c r="A514" s="2">
        <v>4.0</v>
      </c>
      <c r="B514" s="2" t="s">
        <v>1510</v>
      </c>
      <c r="C514" s="2" t="s">
        <v>1511</v>
      </c>
      <c r="D514" s="2" t="s">
        <v>37</v>
      </c>
      <c r="E514" s="2" t="s">
        <v>14</v>
      </c>
      <c r="F514" s="2" t="s">
        <v>15</v>
      </c>
      <c r="G514" s="2" t="s">
        <v>1512</v>
      </c>
      <c r="H514" s="2" t="s">
        <v>193</v>
      </c>
      <c r="I514" s="2" t="str">
        <f>IFERROR(__xludf.DUMMYFUNCTION("GOOGLETRANSLATE(C514,""fr"",""en"")"),"
I find that it is an insurance that offers a good quality price and which is very professional and which has a good monitoring service to its customers thank you
")</f>
        <v>
I find that it is an insurance that offers a good quality price and which is very professional and which has a good monitoring service to its customers thank you
</v>
      </c>
    </row>
    <row r="515" ht="15.75" customHeight="1">
      <c r="A515" s="2">
        <v>2.0</v>
      </c>
      <c r="B515" s="2" t="s">
        <v>1513</v>
      </c>
      <c r="C515" s="2" t="s">
        <v>1514</v>
      </c>
      <c r="D515" s="2" t="s">
        <v>579</v>
      </c>
      <c r="E515" s="2" t="s">
        <v>14</v>
      </c>
      <c r="F515" s="2" t="s">
        <v>15</v>
      </c>
      <c r="G515" s="2" t="s">
        <v>1515</v>
      </c>
      <c r="H515" s="2" t="s">
        <v>402</v>
      </c>
      <c r="I515" s="2" t="str">
        <f>IFERROR(__xludf.DUMMYFUNCTION("GOOGLETRANSLATE(C515,""fr"",""en"")"),"Deplorable, refuses SEPA withdrawals from an account in euros from months of fights on the phone! I entrusted the dossier to the DGCCRF is frankly inmissible!")</f>
        <v>Deplorable, refuses SEPA withdrawals from an account in euros from months of fights on the phone! I entrusted the dossier to the DGCCRF is frankly inmissible!</v>
      </c>
    </row>
    <row r="516" ht="15.75" customHeight="1">
      <c r="A516" s="2">
        <v>2.0</v>
      </c>
      <c r="B516" s="2" t="s">
        <v>1516</v>
      </c>
      <c r="C516" s="2" t="s">
        <v>1517</v>
      </c>
      <c r="D516" s="2" t="s">
        <v>101</v>
      </c>
      <c r="E516" s="2" t="s">
        <v>14</v>
      </c>
      <c r="F516" s="2" t="s">
        <v>15</v>
      </c>
      <c r="G516" s="2" t="s">
        <v>1518</v>
      </c>
      <c r="H516" s="2" t="s">
        <v>34</v>
      </c>
      <c r="I516" s="2" t="str">
        <f>IFERROR(__xludf.DUMMYFUNCTION("GOOGLETRANSLATE(C516,""fr"",""en"")"),"Insurer who never responds to emails and mail, I have been insured since November 2020 and I still haven't received my green card, and obviously nobody answers my request, extremely disappointed with this company, I would leave it without regret on date a"&amp;"nniversary From my contract, I strongly denote this insurer")</f>
        <v>Insurer who never responds to emails and mail, I have been insured since November 2020 and I still haven't received my green card, and obviously nobody answers my request, extremely disappointed with this company, I would leave it without regret on date anniversary From my contract, I strongly denote this insurer</v>
      </c>
    </row>
    <row r="517" ht="15.75" customHeight="1">
      <c r="A517" s="2">
        <v>5.0</v>
      </c>
      <c r="B517" s="2" t="s">
        <v>1519</v>
      </c>
      <c r="C517" s="2" t="s">
        <v>1520</v>
      </c>
      <c r="D517" s="2" t="s">
        <v>37</v>
      </c>
      <c r="E517" s="2" t="s">
        <v>14</v>
      </c>
      <c r="F517" s="2" t="s">
        <v>15</v>
      </c>
      <c r="G517" s="2" t="s">
        <v>460</v>
      </c>
      <c r="H517" s="2" t="s">
        <v>39</v>
      </c>
      <c r="I517" s="2" t="str">
        <f>IFERROR(__xludf.DUMMYFUNCTION("GOOGLETRANSLATE(C517,""fr"",""en"")"),"I did not know the Olivier Insurance before seeing the advertisements on television.
I am fully satisfied with their services and highly recommend them.")</f>
        <v>I did not know the Olivier Insurance before seeing the advertisements on television.
I am fully satisfied with their services and highly recommend them.</v>
      </c>
    </row>
    <row r="518" ht="15.75" customHeight="1">
      <c r="A518" s="2">
        <v>1.0</v>
      </c>
      <c r="B518" s="2" t="s">
        <v>1521</v>
      </c>
      <c r="C518" s="2" t="s">
        <v>1522</v>
      </c>
      <c r="D518" s="2" t="s">
        <v>20</v>
      </c>
      <c r="E518" s="2" t="s">
        <v>21</v>
      </c>
      <c r="F518" s="2" t="s">
        <v>15</v>
      </c>
      <c r="G518" s="2" t="s">
        <v>1523</v>
      </c>
      <c r="H518" s="2" t="s">
        <v>565</v>
      </c>
      <c r="I518" s="2" t="str">
        <f>IFERROR(__xludf.DUMMYFUNCTION("GOOGLETRANSLATE(C518,""fr"",""en"")"),"On the death of my 97 -year -old mother we realized that she paid € 773/year for basic guarantees for her home insurance. During the meeting made for explanations, having found that the amount was unjustified and that it was scandalous, he was answered: y"&amp;"our mom signed the contract we did not hold the pen, it was up to you to take care of her
What a lack of tact and correction! Customer relationship service to review! Whether this young woman is set out of customers or go to training!
But where did the "&amp;"icing go from which we are rebuilt on the advertising ears every day? As for terminating the contract after the death I use it but it is very very complicated! What time and energy lost for lies")</f>
        <v>On the death of my 97 -year -old mother we realized that she paid € 773/year for basic guarantees for her home insurance. During the meeting made for explanations, having found that the amount was unjustified and that it was scandalous, he was answered: your mom signed the contract we did not hold the pen, it was up to you to take care of her
What a lack of tact and correction! Customer relationship service to review! Whether this young woman is set out of customers or go to training!
But where did the icing go from which we are rebuilt on the advertising ears every day? As for terminating the contract after the death I use it but it is very very complicated! What time and energy lost for lies</v>
      </c>
    </row>
    <row r="519" ht="15.75" customHeight="1">
      <c r="A519" s="2">
        <v>3.0</v>
      </c>
      <c r="B519" s="2" t="s">
        <v>1524</v>
      </c>
      <c r="C519" s="2" t="s">
        <v>1525</v>
      </c>
      <c r="D519" s="2" t="s">
        <v>75</v>
      </c>
      <c r="E519" s="2" t="s">
        <v>14</v>
      </c>
      <c r="F519" s="2" t="s">
        <v>15</v>
      </c>
      <c r="G519" s="2" t="s">
        <v>1526</v>
      </c>
      <c r="H519" s="2" t="s">
        <v>98</v>
      </c>
      <c r="I519" s="2" t="str">
        <f>IFERROR(__xludf.DUMMYFUNCTION("GOOGLETRANSLATE(C519,""fr"",""en"")"),"Too bad we are forced to take an approved repairer. It was already done in the past and I had to take care of the franchise, not to mention the impact on my subscription.")</f>
        <v>Too bad we are forced to take an approved repairer. It was already done in the past and I had to take care of the franchise, not to mention the impact on my subscription.</v>
      </c>
    </row>
    <row r="520" ht="15.75" customHeight="1">
      <c r="A520" s="2">
        <v>2.0</v>
      </c>
      <c r="B520" s="2" t="s">
        <v>1527</v>
      </c>
      <c r="C520" s="2" t="s">
        <v>1528</v>
      </c>
      <c r="D520" s="2" t="s">
        <v>75</v>
      </c>
      <c r="E520" s="2" t="s">
        <v>14</v>
      </c>
      <c r="F520" s="2" t="s">
        <v>15</v>
      </c>
      <c r="G520" s="2" t="s">
        <v>1529</v>
      </c>
      <c r="H520" s="2" t="s">
        <v>508</v>
      </c>
      <c r="I520" s="2" t="str">
        <f>IFERROR(__xludf.DUMMYFUNCTION("GOOGLETRANSLATE(C520,""fr"",""en"")"),"Here is my experience ...
BREAK BMW insured any risk + option 0km breakdown + replacement vehicle option, to be quiet.
Flight attempt, a lock, a door, a dentoring on another door.
Here are the facts:
Direct Insurance does not have a replacement vehicl"&amp;"e to provide me. He cannot take my vehicle before 48 hours, this one no longer has a lock and the thieves were seen by the gendarmerie with the computer connected on it ... Impossible to leave it outside otherwise it will be stolen within 48 hours, c 'is "&amp;"certain ...
In summary, I manage to bring my car in their partner garage, their ""expert"" makes his report, takes only part of the dependent damage, arriving at a total of € 449.92 with € 450 franchise. (No no, it's not a joke ...)
I am offered 10 €/d "&amp;"compensation because the repairs are made according to their expert in 1J, while the vehicle will be immobilized between 10 and 20 days to receive the parts ...
In the meantime I remain pedestrian, 7 days from vacation, I managed to save my vehicle, and "&amp;"I will pay € 449.92 and direct insurance 0 €.
If I had gone through my garage without these people, I would have had the cheaper and faster.
In short nothing to keep in this box, I contact the insurance mediator and I hurry to send my letter of breach o"&amp;"f contract!
Above all, do not go there !!!
")</f>
        <v>Here is my experience ...
BREAK BMW insured any risk + option 0km breakdown + replacement vehicle option, to be quiet.
Flight attempt, a lock, a door, a dentoring on another door.
Here are the facts:
Direct Insurance does not have a replacement vehicle to provide me. He cannot take my vehicle before 48 hours, this one no longer has a lock and the thieves were seen by the gendarmerie with the computer connected on it ... Impossible to leave it outside otherwise it will be stolen within 48 hours, c 'is certain ...
In summary, I manage to bring my car in their partner garage, their "expert" makes his report, takes only part of the dependent damage, arriving at a total of € 449.92 with € 450 franchise. (No no, it's not a joke ...)
I am offered 10 €/d compensation because the repairs are made according to their expert in 1J, while the vehicle will be immobilized between 10 and 20 days to receive the parts ...
In the meantime I remain pedestrian, 7 days from vacation, I managed to save my vehicle, and I will pay € 449.92 and direct insurance 0 €.
If I had gone through my garage without these people, I would have had the cheaper and faster.
In short nothing to keep in this box, I contact the insurance mediator and I hurry to send my letter of breach of contract!
Above all, do not go there !!!
</v>
      </c>
    </row>
    <row r="521" ht="15.75" customHeight="1">
      <c r="A521" s="2">
        <v>2.0</v>
      </c>
      <c r="B521" s="2" t="s">
        <v>1530</v>
      </c>
      <c r="C521" s="2" t="s">
        <v>1531</v>
      </c>
      <c r="D521" s="2" t="s">
        <v>101</v>
      </c>
      <c r="E521" s="2" t="s">
        <v>14</v>
      </c>
      <c r="F521" s="2" t="s">
        <v>15</v>
      </c>
      <c r="G521" s="2" t="s">
        <v>1532</v>
      </c>
      <c r="H521" s="2" t="s">
        <v>175</v>
      </c>
      <c r="I521" s="2" t="str">
        <f>IFERROR(__xludf.DUMMYFUNCTION("GOOGLETRANSLATE(C521,""fr"",""en"")"),"Insured at a reasonable price and especially without deductible in November 2017, I had the unpleasant surprise to see myself applying in November 2018 an increase of 20.4% without being able to obtain an explanation from Allianz; In fact I had declared 2"&amp;" non -responsible accidents during the year; they wanted to recover the sums spent because of my absence of a franchise; They hoped to see me go but I stayed when me, it is very difficult to find insurance with 0 de franchise. !!")</f>
        <v>Insured at a reasonable price and especially without deductible in November 2017, I had the unpleasant surprise to see myself applying in November 2018 an increase of 20.4% without being able to obtain an explanation from Allianz; In fact I had declared 2 non -responsible accidents during the year; they wanted to recover the sums spent because of my absence of a franchise; They hoped to see me go but I stayed when me, it is very difficult to find insurance with 0 de franchise. !!</v>
      </c>
    </row>
    <row r="522" ht="15.75" customHeight="1">
      <c r="A522" s="2">
        <v>2.0</v>
      </c>
      <c r="B522" s="2" t="s">
        <v>1533</v>
      </c>
      <c r="C522" s="2" t="s">
        <v>1534</v>
      </c>
      <c r="D522" s="2" t="s">
        <v>70</v>
      </c>
      <c r="E522" s="2" t="s">
        <v>14</v>
      </c>
      <c r="F522" s="2" t="s">
        <v>15</v>
      </c>
      <c r="G522" s="2" t="s">
        <v>222</v>
      </c>
      <c r="H522" s="2" t="s">
        <v>223</v>
      </c>
      <c r="I522" s="2" t="str">
        <f>IFERROR(__xludf.DUMMYFUNCTION("GOOGLETRANSLATE(C522,""fr"",""en"")"),"The GMF has just canceled my contract for two small booms in reverse in 2016 which did not cost them at all dear !!!! While I have been insured at home since 2008. I have resilled the Ass.Habitat.")</f>
        <v>The GMF has just canceled my contract for two small booms in reverse in 2016 which did not cost them at all dear !!!! While I have been insured at home since 2008. I have resilled the Ass.Habitat.</v>
      </c>
    </row>
    <row r="523" ht="15.75" customHeight="1">
      <c r="A523" s="2">
        <v>5.0</v>
      </c>
      <c r="B523" s="2" t="s">
        <v>1535</v>
      </c>
      <c r="C523" s="2" t="s">
        <v>1536</v>
      </c>
      <c r="D523" s="2" t="s">
        <v>37</v>
      </c>
      <c r="E523" s="2" t="s">
        <v>14</v>
      </c>
      <c r="F523" s="2" t="s">
        <v>15</v>
      </c>
      <c r="G523" s="2" t="s">
        <v>107</v>
      </c>
      <c r="H523" s="2" t="s">
        <v>107</v>
      </c>
      <c r="I523" s="2" t="str">
        <f>IFERROR(__xludf.DUMMYFUNCTION("GOOGLETRANSLATE(C523,""fr"",""en"")"),"Impeccable, fast, efficient. A call and here I am insured, for a rather interesting pricing.
Very kind advisor, speed of execution.")</f>
        <v>Impeccable, fast, efficient. A call and here I am insured, for a rather interesting pricing.
Very kind advisor, speed of execution.</v>
      </c>
    </row>
    <row r="524" ht="15.75" customHeight="1">
      <c r="A524" s="2">
        <v>5.0</v>
      </c>
      <c r="B524" s="2" t="s">
        <v>1537</v>
      </c>
      <c r="C524" s="2" t="s">
        <v>1538</v>
      </c>
      <c r="D524" s="2" t="s">
        <v>173</v>
      </c>
      <c r="E524" s="2" t="s">
        <v>32</v>
      </c>
      <c r="F524" s="2" t="s">
        <v>15</v>
      </c>
      <c r="G524" s="2" t="s">
        <v>1539</v>
      </c>
      <c r="H524" s="2" t="s">
        <v>193</v>
      </c>
      <c r="I524" s="2" t="str">
        <f>IFERROR(__xludf.DUMMYFUNCTION("GOOGLETRANSLATE(C524,""fr"",""en"")"),"Aminata responded with competence, patience and kindness to my questions and the problem, which I could not solve via the Mutual website, was solved.")</f>
        <v>Aminata responded with competence, patience and kindness to my questions and the problem, which I could not solve via the Mutual website, was solved.</v>
      </c>
    </row>
    <row r="525" ht="15.75" customHeight="1">
      <c r="A525" s="2">
        <v>1.0</v>
      </c>
      <c r="B525" s="2" t="s">
        <v>1540</v>
      </c>
      <c r="C525" s="2" t="s">
        <v>1541</v>
      </c>
      <c r="D525" s="2" t="s">
        <v>394</v>
      </c>
      <c r="E525" s="2" t="s">
        <v>32</v>
      </c>
      <c r="F525" s="2" t="s">
        <v>15</v>
      </c>
      <c r="G525" s="2" t="s">
        <v>1542</v>
      </c>
      <c r="H525" s="2" t="s">
        <v>17</v>
      </c>
      <c r="I525" s="2" t="str">
        <f>IFERROR(__xludf.DUMMYFUNCTION("GOOGLETRANSLATE(C525,""fr"",""en"")"),"In October 2017 I had a charming Santian advisor who sold me an attractive mutual health. City care + hospitalization. at 39.90 euros. With, you are going to be happy, she said to me a ""bonus"" 'of 150 euros per day for 6 days in the event of an accident"&amp;".) I do not receive an email from the contract she tells me that will be done, don't worry Not, you can withdraw if you change my mind .... confident, I sign electronically without having any details of what I signed. Santiane tells me that it is impossib"&amp;"le. But if !
I found myself with a mutual insurance company only ensuring hospitalization and ""the bonus"" which is in fact an ""accident prevention"" (I already have one at my insurer.)
After around twenty shots and 19 emails I finally obtained by ema"&amp;"il the withdrawal of the mutual but I have been taken since January 05 of this accident prevention that I never wanted and which was sold to me fraudulently.
An advisor said to me. What I have done.
Another advisor told me ah no, especially not.
I sh"&amp;"are my misadventure from you and it's not over .. with Santian so that you do not make the same mistake.
")</f>
        <v>In October 2017 I had a charming Santian advisor who sold me an attractive mutual health. City care + hospitalization. at 39.90 euros. With, you are going to be happy, she said to me a "bonus" 'of 150 euros per day for 6 days in the event of an accident.) I do not receive an email from the contract she tells me that will be done, don't worry Not, you can withdraw if you change my mind .... confident, I sign electronically without having any details of what I signed. Santiane tells me that it is impossible. But if !
I found myself with a mutual insurance company only ensuring hospitalization and "the bonus" which is in fact an "accident prevention" (I already have one at my insurer.)
After around twenty shots and 19 emails I finally obtained by email the withdrawal of the mutual but I have been taken since January 05 of this accident prevention that I never wanted and which was sold to me fraudulently.
An advisor said to me. What I have done.
Another advisor told me ah no, especially not.
I share my misadventure from you and it's not over .. with Santian so that you do not make the same mistake.
</v>
      </c>
    </row>
    <row r="526" ht="15.75" customHeight="1">
      <c r="A526" s="2">
        <v>2.0</v>
      </c>
      <c r="B526" s="2" t="s">
        <v>1543</v>
      </c>
      <c r="C526" s="2" t="s">
        <v>1544</v>
      </c>
      <c r="D526" s="2" t="s">
        <v>101</v>
      </c>
      <c r="E526" s="2" t="s">
        <v>81</v>
      </c>
      <c r="F526" s="2" t="s">
        <v>15</v>
      </c>
      <c r="G526" s="2" t="s">
        <v>48</v>
      </c>
      <c r="H526" s="2" t="s">
        <v>48</v>
      </c>
      <c r="I526" s="2" t="str">
        <f>IFERROR(__xludf.DUMMYFUNCTION("GOOGLETRANSLATE(C526,""fr"",""en"")"),"I perceive compensation in provident insurance which normally had to make my life easier. I have multiple sclerosis. The payments are more and more late and it still often happens that I am forgotten and that I am not paid or then after many blows. So I h"&amp;"ave fees from my bank and harassment of creditors because I am in the Bank of France.")</f>
        <v>I perceive compensation in provident insurance which normally had to make my life easier. I have multiple sclerosis. The payments are more and more late and it still often happens that I am forgotten and that I am not paid or then after many blows. So I have fees from my bank and harassment of creditors because I am in the Bank of France.</v>
      </c>
    </row>
    <row r="527" ht="15.75" customHeight="1">
      <c r="A527" s="2">
        <v>1.0</v>
      </c>
      <c r="B527" s="2" t="s">
        <v>1545</v>
      </c>
      <c r="C527" s="2" t="s">
        <v>1546</v>
      </c>
      <c r="D527" s="2" t="s">
        <v>173</v>
      </c>
      <c r="E527" s="2" t="s">
        <v>32</v>
      </c>
      <c r="F527" s="2" t="s">
        <v>15</v>
      </c>
      <c r="G527" s="2" t="s">
        <v>295</v>
      </c>
      <c r="H527" s="2" t="s">
        <v>28</v>
      </c>
      <c r="I527" s="2" t="str">
        <f>IFERROR(__xludf.DUMMYFUNCTION("GOOGLETRANSLATE(C527,""fr"",""en"")"),"I have been a Santian customer since March, to my great regret. During the canvassing telephone prospecting, close to harassment, the very sympathetic advisor had told me that the reimbursements would occur within 48 hours. To date, the Noémie connection "&amp;"between my previous complementary health and the CPAM has been interrupted. Santiane would have made the connection request so that the reimbursements are made. Santiane has no return since April 21, pending, without reaction, I have to scan and transmit "&amp;"all the invoices of the various practitioners (even during a simple visit to the Generalist doctor) to be reimbursed . Santiane does not respond either or hard, see late to the quotes sent by professionals (ex optics), saying that they receive nothing. I "&amp;"can't wait for the year to end to terminate my contract. For my experienced mutual broker to flee. I will also have an appeal to the commercial court. No confidence to date. TO AVOID  !!!!!!!!!!!!!!")</f>
        <v>I have been a Santian customer since March, to my great regret. During the canvassing telephone prospecting, close to harassment, the very sympathetic advisor had told me that the reimbursements would occur within 48 hours. To date, the Noémie connection between my previous complementary health and the CPAM has been interrupted. Santiane would have made the connection request so that the reimbursements are made. Santiane has no return since April 21, pending, without reaction, I have to scan and transmit all the invoices of the various practitioners (even during a simple visit to the Generalist doctor) to be reimbursed . Santiane does not respond either or hard, see late to the quotes sent by professionals (ex optics), saying that they receive nothing. I can't wait for the year to end to terminate my contract. For my experienced mutual broker to flee. I will also have an appeal to the commercial court. No confidence to date. TO AVOID  !!!!!!!!!!!!!!</v>
      </c>
    </row>
    <row r="528" ht="15.75" customHeight="1">
      <c r="A528" s="2">
        <v>1.0</v>
      </c>
      <c r="B528" s="2" t="s">
        <v>1547</v>
      </c>
      <c r="C528" s="2" t="s">
        <v>1548</v>
      </c>
      <c r="D528" s="2" t="s">
        <v>152</v>
      </c>
      <c r="E528" s="2" t="s">
        <v>65</v>
      </c>
      <c r="F528" s="2" t="s">
        <v>15</v>
      </c>
      <c r="G528" s="2" t="s">
        <v>1549</v>
      </c>
      <c r="H528" s="2" t="s">
        <v>186</v>
      </c>
      <c r="I528" s="2" t="str">
        <f>IFERROR(__xludf.DUMMYFUNCTION("GOOGLETRANSLATE(C528,""fr"",""en"")"),"For months I have been trying to obtain the acquisition of two capitalization vouchers subscribed by my father who died on January 3, 2017. I come to nothing, Cardif sssied on the funds. No response to MELS. Advisers who give plot and inaccurate informati"&amp;"on. In short, no one a real scandal")</f>
        <v>For months I have been trying to obtain the acquisition of two capitalization vouchers subscribed by my father who died on January 3, 2017. I come to nothing, Cardif sssied on the funds. No response to MELS. Advisers who give plot and inaccurate information. In short, no one a real scandal</v>
      </c>
    </row>
    <row r="529" ht="15.75" customHeight="1">
      <c r="A529" s="2">
        <v>4.0</v>
      </c>
      <c r="B529" s="2" t="s">
        <v>1550</v>
      </c>
      <c r="C529" s="2" t="s">
        <v>1551</v>
      </c>
      <c r="D529" s="2" t="s">
        <v>95</v>
      </c>
      <c r="E529" s="2" t="s">
        <v>96</v>
      </c>
      <c r="F529" s="2" t="s">
        <v>15</v>
      </c>
      <c r="G529" s="2" t="s">
        <v>1552</v>
      </c>
      <c r="H529" s="2" t="s">
        <v>98</v>
      </c>
      <c r="I529" s="2" t="str">
        <f>IFERROR(__xludf.DUMMYFUNCTION("GOOGLETRANSLATE(C529,""fr"",""en"")"),"I am satisfied with the service, the site is easy to use. Best price for my two red. Well oriented in the filling of the documents. Thank you")</f>
        <v>I am satisfied with the service, the site is easy to use. Best price for my two red. Well oriented in the filling of the documents. Thank you</v>
      </c>
    </row>
    <row r="530" ht="15.75" customHeight="1">
      <c r="A530" s="2">
        <v>1.0</v>
      </c>
      <c r="B530" s="2" t="s">
        <v>1553</v>
      </c>
      <c r="C530" s="2" t="s">
        <v>1554</v>
      </c>
      <c r="D530" s="2" t="s">
        <v>247</v>
      </c>
      <c r="E530" s="2" t="s">
        <v>32</v>
      </c>
      <c r="F530" s="2" t="s">
        <v>15</v>
      </c>
      <c r="G530" s="2" t="s">
        <v>755</v>
      </c>
      <c r="H530" s="2" t="s">
        <v>77</v>
      </c>
      <c r="I530" s="2" t="str">
        <f>IFERROR(__xludf.DUMMYFUNCTION("GOOGLETRANSLATE(C530,""fr"",""en"")"),"I have been delegate for long years for this mutual (therefore as a volunteer). Unfortunately, she did not keep the starting values. An example: I was a member for over 30 years. I terminated the end of 2020 for lack of means with regard to the amount, an"&amp;"d my means. Recommended on my part and termination attested by mail from the mutual for the end of 2020. I had a too paid that I have been asking them since. No return. Worse: they claim contributions 2021 although the termination has been attested by the"&amp;"m. Threats of bailiff. No respect for members and lack of consistency between services. Fortunately, I had recorded telephone exchanges! ....")</f>
        <v>I have been delegate for long years for this mutual (therefore as a volunteer). Unfortunately, she did not keep the starting values. An example: I was a member for over 30 years. I terminated the end of 2020 for lack of means with regard to the amount, and my means. Recommended on my part and termination attested by mail from the mutual for the end of 2020. I had a too paid that I have been asking them since. No return. Worse: they claim contributions 2021 although the termination has been attested by them. Threats of bailiff. No respect for members and lack of consistency between services. Fortunately, I had recorded telephone exchanges! ....</v>
      </c>
    </row>
    <row r="531" ht="15.75" customHeight="1">
      <c r="A531" s="2">
        <v>2.0</v>
      </c>
      <c r="B531" s="2" t="s">
        <v>1555</v>
      </c>
      <c r="C531" s="2" t="s">
        <v>1556</v>
      </c>
      <c r="D531" s="2" t="s">
        <v>64</v>
      </c>
      <c r="E531" s="2" t="s">
        <v>65</v>
      </c>
      <c r="F531" s="2" t="s">
        <v>15</v>
      </c>
      <c r="G531" s="2" t="s">
        <v>1557</v>
      </c>
      <c r="H531" s="2" t="s">
        <v>23</v>
      </c>
      <c r="I531" s="2" t="str">
        <f>IFERROR(__xludf.DUMMYFUNCTION("GOOGLETRANSLATE(C531,""fr"",""en"")"),"Defective customer service
Very long redemptions
Unable to reach AFER on the phone
Choice of UC too limited")</f>
        <v>Defective customer service
Very long redemptions
Unable to reach AFER on the phone
Choice of UC too limited</v>
      </c>
    </row>
    <row r="532" ht="15.75" customHeight="1">
      <c r="A532" s="2">
        <v>3.0</v>
      </c>
      <c r="B532" s="2" t="s">
        <v>1558</v>
      </c>
      <c r="C532" s="2" t="s">
        <v>1559</v>
      </c>
      <c r="D532" s="2" t="s">
        <v>229</v>
      </c>
      <c r="E532" s="2" t="s">
        <v>96</v>
      </c>
      <c r="F532" s="2" t="s">
        <v>15</v>
      </c>
      <c r="G532" s="2" t="s">
        <v>1560</v>
      </c>
      <c r="H532" s="2" t="s">
        <v>86</v>
      </c>
      <c r="I532" s="2" t="str">
        <f>IFERROR(__xludf.DUMMYFUNCTION("GOOGLETRANSLATE(C532,""fr"",""en"")"),"I am satisfied with the prices and would recommend you if necessary for friends circulating in 2 wheels. But like many people I have known you with your television advertisement and I also know who is driving by being insured at home.")</f>
        <v>I am satisfied with the prices and would recommend you if necessary for friends circulating in 2 wheels. But like many people I have known you with your television advertisement and I also know who is driving by being insured at home.</v>
      </c>
    </row>
    <row r="533" ht="15.75" customHeight="1">
      <c r="A533" s="2">
        <v>1.0</v>
      </c>
      <c r="B533" s="2" t="s">
        <v>1561</v>
      </c>
      <c r="C533" s="2" t="s">
        <v>1562</v>
      </c>
      <c r="D533" s="2" t="s">
        <v>247</v>
      </c>
      <c r="E533" s="2" t="s">
        <v>32</v>
      </c>
      <c r="F533" s="2" t="s">
        <v>15</v>
      </c>
      <c r="G533" s="2" t="s">
        <v>1427</v>
      </c>
      <c r="H533" s="2" t="s">
        <v>694</v>
      </c>
      <c r="I533" s="2" t="str">
        <f>IFERROR(__xludf.DUMMYFUNCTION("GOOGLETRANSLATE(C533,""fr"",""en"")"),"Contract terminated since April 2019 because I went to my husband's work mutual insurance company. But, they continue to charge me another ""hospital protection"" contract subscribed since 2011. I therefore made a letter to terminate this other contract. "&amp;"I could not terminate before Oct 2019. But I did not use the right form a priori, I used the Hamon law form and not chatel law. So they continue to charge me until January 2020, and I have to redo a letter. I find that it is not Fair Play to delete that a"&amp;" contract in two and that the information I had at the start by email was not at all clear. Very disapointed!")</f>
        <v>Contract terminated since April 2019 because I went to my husband's work mutual insurance company. But, they continue to charge me another "hospital protection" contract subscribed since 2011. I therefore made a letter to terminate this other contract. I could not terminate before Oct 2019. But I did not use the right form a priori, I used the Hamon law form and not chatel law. So they continue to charge me until January 2020, and I have to redo a letter. I find that it is not Fair Play to delete that a contract in two and that the information I had at the start by email was not at all clear. Very disapointed!</v>
      </c>
    </row>
    <row r="534" ht="15.75" customHeight="1">
      <c r="A534" s="2">
        <v>3.0</v>
      </c>
      <c r="B534" s="2" t="s">
        <v>1563</v>
      </c>
      <c r="C534" s="2" t="s">
        <v>1564</v>
      </c>
      <c r="D534" s="2" t="s">
        <v>173</v>
      </c>
      <c r="E534" s="2" t="s">
        <v>32</v>
      </c>
      <c r="F534" s="2" t="s">
        <v>15</v>
      </c>
      <c r="G534" s="2" t="s">
        <v>1565</v>
      </c>
      <c r="H534" s="2" t="s">
        <v>335</v>
      </c>
      <c r="I534" s="2" t="str">
        <f>IFERROR(__xludf.DUMMYFUNCTION("GOOGLETRANSLATE(C534,""fr"",""en"")"),"I have just been in communication with Sara M, very professional, friendly, pleasant, smiling. Explain step by step how to send you the documents.")</f>
        <v>I have just been in communication with Sara M, very professional, friendly, pleasant, smiling. Explain step by step how to send you the documents.</v>
      </c>
    </row>
    <row r="535" ht="15.75" customHeight="1">
      <c r="A535" s="2">
        <v>5.0</v>
      </c>
      <c r="B535" s="2" t="s">
        <v>1566</v>
      </c>
      <c r="C535" s="2" t="s">
        <v>1567</v>
      </c>
      <c r="D535" s="2" t="s">
        <v>75</v>
      </c>
      <c r="E535" s="2" t="s">
        <v>14</v>
      </c>
      <c r="F535" s="2" t="s">
        <v>15</v>
      </c>
      <c r="G535" s="2" t="s">
        <v>755</v>
      </c>
      <c r="H535" s="2" t="s">
        <v>77</v>
      </c>
      <c r="I535" s="2" t="str">
        <f>IFERROR(__xludf.DUMMYFUNCTION("GOOGLETRANSLATE(C535,""fr"",""en"")"),"HELLO,
Demand and purchase of simple and quick insurance.
Addable and steeply removed option.
Option proposal in relation to the profile
THANK YOU")</f>
        <v>HELLO,
Demand and purchase of simple and quick insurance.
Addable and steeply removed option.
Option proposal in relation to the profile
THANK YOU</v>
      </c>
    </row>
    <row r="536" ht="15.75" customHeight="1">
      <c r="A536" s="2">
        <v>1.0</v>
      </c>
      <c r="B536" s="2" t="s">
        <v>1568</v>
      </c>
      <c r="C536" s="2" t="s">
        <v>1569</v>
      </c>
      <c r="D536" s="2" t="s">
        <v>101</v>
      </c>
      <c r="E536" s="2" t="s">
        <v>14</v>
      </c>
      <c r="F536" s="2" t="s">
        <v>15</v>
      </c>
      <c r="G536" s="2" t="s">
        <v>1570</v>
      </c>
      <c r="H536" s="2" t="s">
        <v>249</v>
      </c>
      <c r="I536" s="2" t="str">
        <f>IFERROR(__xludf.DUMMYFUNCTION("GOOGLETRANSLATE(C536,""fr"",""en"")"),"you declare accidents wrongly when you were not wrong without warning you
You do not realize it that the day you ask for an info statement and it is 2 years after no lean appeal the fact that you had no deductible during repairs, which is easy to find "&amp;"on their payment.
to flee !!!")</f>
        <v>you declare accidents wrongly when you were not wrong without warning you
You do not realize it that the day you ask for an info statement and it is 2 years after no lean appeal the fact that you had no deductible during repairs, which is easy to find on their payment.
to flee !!!</v>
      </c>
    </row>
    <row r="537" ht="15.75" customHeight="1">
      <c r="A537" s="2">
        <v>1.0</v>
      </c>
      <c r="B537" s="2" t="s">
        <v>1571</v>
      </c>
      <c r="C537" s="2" t="s">
        <v>1572</v>
      </c>
      <c r="D537" s="2" t="s">
        <v>1573</v>
      </c>
      <c r="E537" s="2" t="s">
        <v>81</v>
      </c>
      <c r="F537" s="2" t="s">
        <v>15</v>
      </c>
      <c r="G537" s="2" t="s">
        <v>1501</v>
      </c>
      <c r="H537" s="2" t="s">
        <v>77</v>
      </c>
      <c r="I537" s="2" t="str">
        <f>IFERROR(__xludf.DUMMYFUNCTION("GOOGLETRANSLATE(C537,""fr"",""en"")"),"Hello, 5 years ago that I was in conflict with Generali I subscribed in 2016 Insurance Illness Insurance accident, 177 days after the opening of the contract I fell ill I made my declaration to insurance, I passed an expertise with a medical doctor who re"&amp;"cognized my pathology so I did all the steps to compensate me, I received a letter from Generali who tell me that I had a deficiency on this contract 180 days !!! On my contract the disease is 30 days, nothing to do there remains on their positions they t"&amp;"ell me to see the general conditions, impossible! We never take out sickness provident insurance with a franchise 180 days especially since I am craftsmen it would be necessary to be crazy, so I take a lawyer and after four years of galley arrives the jud"&amp;"gment, the judge dismissed and meant me by Mail that the 180 -day franchise was to be applied while as I tell you my franchise was well stipulated in the special conditions of 30 days and in addition I must reimburse Generali for lawyers 2000 €. We really"&amp;" ask ourselves questions about justice one for the poor one for the rich surely!")</f>
        <v>Hello, 5 years ago that I was in conflict with Generali I subscribed in 2016 Insurance Illness Insurance accident, 177 days after the opening of the contract I fell ill I made my declaration to insurance, I passed an expertise with a medical doctor who recognized my pathology so I did all the steps to compensate me, I received a letter from Generali who tell me that I had a deficiency on this contract 180 days !!! On my contract the disease is 30 days, nothing to do there remains on their positions they tell me to see the general conditions, impossible! We never take out sickness provident insurance with a franchise 180 days especially since I am craftsmen it would be necessary to be crazy, so I take a lawyer and after four years of galley arrives the judgment, the judge dismissed and meant me by Mail that the 180 -day franchise was to be applied while as I tell you my franchise was well stipulated in the special conditions of 30 days and in addition I must reimburse Generali for lawyers 2000 €. We really ask ourselves questions about justice one for the poor one for the rich surely!</v>
      </c>
    </row>
    <row r="538" ht="15.75" customHeight="1">
      <c r="A538" s="2">
        <v>4.0</v>
      </c>
      <c r="B538" s="2" t="s">
        <v>1574</v>
      </c>
      <c r="C538" s="2" t="s">
        <v>1575</v>
      </c>
      <c r="D538" s="2" t="s">
        <v>75</v>
      </c>
      <c r="E538" s="2" t="s">
        <v>14</v>
      </c>
      <c r="F538" s="2" t="s">
        <v>15</v>
      </c>
      <c r="G538" s="2" t="s">
        <v>1576</v>
      </c>
      <c r="H538" s="2" t="s">
        <v>98</v>
      </c>
      <c r="I538" s="2" t="str">
        <f>IFERROR(__xludf.DUMMYFUNCTION("GOOGLETRANSLATE(C538,""fr"",""en"")"),"I am satisfied with prices and customer relations.
The people with whom I exchanged have always been able to answer my questions, I also appreciated the follow-up of my file with recovery emails on the evolution of it.
")</f>
        <v>I am satisfied with prices and customer relations.
The people with whom I exchanged have always been able to answer my questions, I also appreciated the follow-up of my file with recovery emails on the evolution of it.
</v>
      </c>
    </row>
    <row r="539" ht="15.75" customHeight="1">
      <c r="A539" s="2">
        <v>2.0</v>
      </c>
      <c r="B539" s="2" t="s">
        <v>1577</v>
      </c>
      <c r="C539" s="2" t="s">
        <v>1578</v>
      </c>
      <c r="D539" s="2" t="s">
        <v>80</v>
      </c>
      <c r="E539" s="2" t="s">
        <v>32</v>
      </c>
      <c r="F539" s="2" t="s">
        <v>15</v>
      </c>
      <c r="G539" s="2" t="s">
        <v>1579</v>
      </c>
      <c r="H539" s="2" t="s">
        <v>402</v>
      </c>
      <c r="I539" s="2" t="str">
        <f>IFERROR(__xludf.DUMMYFUNCTION("GOOGLETRANSLATE(C539,""fr"",""en"")"),"Impossible to reach by phone despite the requests for recall. Do not respond to messages from their site. I don't know what to do to get in touch with them. Very disappointed.")</f>
        <v>Impossible to reach by phone despite the requests for recall. Do not respond to messages from their site. I don't know what to do to get in touch with them. Very disappointed.</v>
      </c>
    </row>
    <row r="540" ht="15.75" customHeight="1">
      <c r="A540" s="2">
        <v>1.0</v>
      </c>
      <c r="B540" s="2" t="s">
        <v>1580</v>
      </c>
      <c r="C540" s="2" t="s">
        <v>1581</v>
      </c>
      <c r="D540" s="2" t="s">
        <v>199</v>
      </c>
      <c r="E540" s="2" t="s">
        <v>32</v>
      </c>
      <c r="F540" s="2" t="s">
        <v>15</v>
      </c>
      <c r="G540" s="2" t="s">
        <v>1582</v>
      </c>
      <c r="H540" s="2" t="s">
        <v>115</v>
      </c>
      <c r="I540" s="2" t="str">
        <f>IFERROR(__xludf.DUMMYFUNCTION("GOOGLETRANSLATE(C540,""fr"",""en"")"),"I strongly advise against. Low reimbursement amount, more, I have been repeatedly obliged to restart them to obtain a refund. Their tariff increases are shocking. At the moment, no reaction to my last request concerning a drug supposed to be fully reimbur"&amp;"sed, and for which I do not advance anything at the pharmacy. However, one of these pharmacies recently announced that Cegema had never paid it last June, despite complaints. Result, the pharmacy asked me to reimburse it (moreover, does it have the right?"&amp;") Is it scandalous!")</f>
        <v>I strongly advise against. Low reimbursement amount, more, I have been repeatedly obliged to restart them to obtain a refund. Their tariff increases are shocking. At the moment, no reaction to my last request concerning a drug supposed to be fully reimbursed, and for which I do not advance anything at the pharmacy. However, one of these pharmacies recently announced that Cegema had never paid it last June, despite complaints. Result, the pharmacy asked me to reimburse it (moreover, does it have the right?) Is it scandalous!</v>
      </c>
    </row>
    <row r="541" ht="15.75" customHeight="1">
      <c r="A541" s="2">
        <v>2.0</v>
      </c>
      <c r="B541" s="2" t="s">
        <v>1583</v>
      </c>
      <c r="C541" s="2" t="s">
        <v>1584</v>
      </c>
      <c r="D541" s="2" t="s">
        <v>42</v>
      </c>
      <c r="E541" s="2" t="s">
        <v>32</v>
      </c>
      <c r="F541" s="2" t="s">
        <v>15</v>
      </c>
      <c r="G541" s="2" t="s">
        <v>1570</v>
      </c>
      <c r="H541" s="2" t="s">
        <v>249</v>
      </c>
      <c r="I541" s="2" t="str">
        <f>IFERROR(__xludf.DUMMYFUNCTION("GOOGLETRANSLATE(C541,""fr"",""en"")"),"Monthly monthly payments for a weak return, especially for the teeth ... Six months to study a participation for implants however essential given my state of health, that's too much!")</f>
        <v>Monthly monthly payments for a weak return, especially for the teeth ... Six months to study a participation for implants however essential given my state of health, that's too much!</v>
      </c>
    </row>
    <row r="542" ht="15.75" customHeight="1">
      <c r="A542" s="2">
        <v>1.0</v>
      </c>
      <c r="B542" s="2" t="s">
        <v>1585</v>
      </c>
      <c r="C542" s="2" t="s">
        <v>1586</v>
      </c>
      <c r="D542" s="2" t="s">
        <v>26</v>
      </c>
      <c r="E542" s="2" t="s">
        <v>21</v>
      </c>
      <c r="F542" s="2" t="s">
        <v>15</v>
      </c>
      <c r="G542" s="2" t="s">
        <v>1587</v>
      </c>
      <c r="H542" s="2" t="s">
        <v>508</v>
      </c>
      <c r="I542" s="2" t="str">
        <f>IFERROR(__xludf.DUMMYFUNCTION("GOOGLETRANSLATE(C542,""fr"",""en"")"),"They paid 1 year insurance for an empty and vacant housing at the descendant when the occupant was deceased for 1 year, without having preoccupied anything.")</f>
        <v>They paid 1 year insurance for an empty and vacant housing at the descendant when the occupant was deceased for 1 year, without having preoccupied anything.</v>
      </c>
    </row>
    <row r="543" ht="15.75" customHeight="1">
      <c r="A543" s="2">
        <v>5.0</v>
      </c>
      <c r="B543" s="2" t="s">
        <v>1588</v>
      </c>
      <c r="C543" s="2" t="s">
        <v>1589</v>
      </c>
      <c r="D543" s="2" t="s">
        <v>75</v>
      </c>
      <c r="E543" s="2" t="s">
        <v>14</v>
      </c>
      <c r="F543" s="2" t="s">
        <v>15</v>
      </c>
      <c r="G543" s="2" t="s">
        <v>443</v>
      </c>
      <c r="H543" s="2" t="s">
        <v>193</v>
      </c>
      <c r="I543" s="2" t="str">
        <f>IFERROR(__xludf.DUMMYFUNCTION("GOOGLETRANSLATE(C543,""fr"",""en"")"),"We are very satisfied with this insurance. They are attentive, available and pleasant.
Prices remain correct compared to the market. I recommend !")</f>
        <v>We are very satisfied with this insurance. They are attentive, available and pleasant.
Prices remain correct compared to the market. I recommend !</v>
      </c>
    </row>
    <row r="544" ht="15.75" customHeight="1">
      <c r="A544" s="2">
        <v>1.0</v>
      </c>
      <c r="B544" s="2" t="s">
        <v>1590</v>
      </c>
      <c r="C544" s="2" t="s">
        <v>1591</v>
      </c>
      <c r="D544" s="2" t="s">
        <v>158</v>
      </c>
      <c r="E544" s="2" t="s">
        <v>14</v>
      </c>
      <c r="F544" s="2" t="s">
        <v>15</v>
      </c>
      <c r="G544" s="2" t="s">
        <v>1592</v>
      </c>
      <c r="H544" s="2" t="s">
        <v>115</v>
      </c>
      <c r="I544" s="2" t="str">
        <f>IFERROR(__xludf.DUMMYFUNCTION("GOOGLETRANSLATE(C544,""fr"",""en"")"),"hello
Maif member for many years I have been very disappointed with the way of acting Maif indeed my son was robbed of his vehicle and there !!! Refusal to reimburse the vehicle, however, ensures the maximum formula in fact instead of playing their insur"&amp;"er's role on whom we count if necessary they are just looking for a flaw so as not to reimburse impossible to speak to the people who deal with the Secretary Tampon file In short, I am very disappointed with the behavior of my insurer who, I have to see, "&amp;"apart from taking my contributions is useless.")</f>
        <v>hello
Maif member for many years I have been very disappointed with the way of acting Maif indeed my son was robbed of his vehicle and there !!! Refusal to reimburse the vehicle, however, ensures the maximum formula in fact instead of playing their insurer's role on whom we count if necessary they are just looking for a flaw so as not to reimburse impossible to speak to the people who deal with the Secretary Tampon file In short, I am very disappointed with the behavior of my insurer who, I have to see, apart from taking my contributions is useless.</v>
      </c>
    </row>
    <row r="545" ht="15.75" customHeight="1">
      <c r="A545" s="2">
        <v>1.0</v>
      </c>
      <c r="B545" s="2" t="s">
        <v>1593</v>
      </c>
      <c r="C545" s="2" t="s">
        <v>1594</v>
      </c>
      <c r="D545" s="2" t="s">
        <v>26</v>
      </c>
      <c r="E545" s="2" t="s">
        <v>21</v>
      </c>
      <c r="F545" s="2" t="s">
        <v>15</v>
      </c>
      <c r="G545" s="2" t="s">
        <v>281</v>
      </c>
      <c r="H545" s="2" t="s">
        <v>282</v>
      </c>
      <c r="I545" s="2" t="str">
        <f>IFERROR(__xludf.DUMMYFUNCTION("GOOGLETRANSLATE(C545,""fr"",""en"")"),"Accidentally deteriorated shower wall by a third party at the end of March. Received at the AXA headquarters at the end of April !!!
36 phone calls. Treaty as if it were me who had done the damage. Before explaining the disaster every time!
File still n"&amp;"ot settled, still no refund .... it looks like the operators are three to work and process the files !!!!
Hire if you can't do it !!! Or do not take new customers anymore.
Basically, lamentable service !!!")</f>
        <v>Accidentally deteriorated shower wall by a third party at the end of March. Received at the AXA headquarters at the end of April !!!
36 phone calls. Treaty as if it were me who had done the damage. Before explaining the disaster every time!
File still not settled, still no refund .... it looks like the operators are three to work and process the files !!!!
Hire if you can't do it !!! Or do not take new customers anymore.
Basically, lamentable service !!!</v>
      </c>
    </row>
    <row r="546" ht="15.75" customHeight="1">
      <c r="A546" s="2">
        <v>1.0</v>
      </c>
      <c r="B546" s="2" t="s">
        <v>1595</v>
      </c>
      <c r="C546" s="2" t="s">
        <v>1596</v>
      </c>
      <c r="D546" s="2" t="s">
        <v>394</v>
      </c>
      <c r="E546" s="2" t="s">
        <v>32</v>
      </c>
      <c r="F546" s="2" t="s">
        <v>15</v>
      </c>
      <c r="G546" s="2" t="s">
        <v>1597</v>
      </c>
      <c r="H546" s="2" t="s">
        <v>83</v>
      </c>
      <c r="I546" s="2" t="str">
        <f>IFERROR(__xludf.DUMMYFUNCTION("GOOGLETRANSLATE(C546,""fr"",""en"")"),"I am very disappointed with Néoliane. When you send them a receipt to be reimbursed for the mutual part either they do not reimburse you or they reimburse after a while. Too expensive for the can that she reimburses you, it's unacceptable !!!!")</f>
        <v>I am very disappointed with Néoliane. When you send them a receipt to be reimbursed for the mutual part either they do not reimburse you or they reimburse after a while. Too expensive for the can that she reimburses you, it's unacceptable !!!!</v>
      </c>
    </row>
    <row r="547" ht="15.75" customHeight="1">
      <c r="A547" s="2">
        <v>5.0</v>
      </c>
      <c r="B547" s="2" t="s">
        <v>1598</v>
      </c>
      <c r="C547" s="2" t="s">
        <v>1599</v>
      </c>
      <c r="D547" s="2" t="s">
        <v>158</v>
      </c>
      <c r="E547" s="2" t="s">
        <v>14</v>
      </c>
      <c r="F547" s="2" t="s">
        <v>15</v>
      </c>
      <c r="G547" s="2" t="s">
        <v>1600</v>
      </c>
      <c r="H547" s="2" t="s">
        <v>39</v>
      </c>
      <c r="I547" s="2" t="str">
        <f>IFERROR(__xludf.DUMMYFUNCTION("GOOGLETRANSLATE(C547,""fr"",""en"")"),"The top maif I had a fart with my old clio from 2003 I was wrong and in all risks my car was worth nothing to the argus because of the high mileage (347mkm) and well I recovered 2800 € they told me that ensuring in all risks I was entitled to a guaranteed"&amp;" value because the car was ensured for 5 years 10 days after I had the money on my account")</f>
        <v>The top maif I had a fart with my old clio from 2003 I was wrong and in all risks my car was worth nothing to the argus because of the high mileage (347mkm) and well I recovered 2800 € they told me that ensuring in all risks I was entitled to a guaranteed value because the car was ensured for 5 years 10 days after I had the money on my account</v>
      </c>
    </row>
    <row r="548" ht="15.75" customHeight="1">
      <c r="A548" s="2">
        <v>1.0</v>
      </c>
      <c r="B548" s="2" t="s">
        <v>1601</v>
      </c>
      <c r="C548" s="2" t="s">
        <v>1602</v>
      </c>
      <c r="D548" s="2" t="s">
        <v>70</v>
      </c>
      <c r="E548" s="2" t="s">
        <v>21</v>
      </c>
      <c r="F548" s="2" t="s">
        <v>15</v>
      </c>
      <c r="G548" s="2" t="s">
        <v>1603</v>
      </c>
      <c r="H548" s="2" t="s">
        <v>244</v>
      </c>
      <c r="I548" s="2" t="str">
        <f>IFERROR(__xludf.DUMMYFUNCTION("GOOGLETRANSLATE(C548,""fr"",""en"")"),"Problems following a claim reimburses in UM first time then refuses to be again accepted after a lively discussion with the GMF.Jer Make 3 Different quotes The GMF expert tells me that it is too expensive. I am forced to pay the difference From my pocket "&amp;"plus the franchise of 169 euros. to ban")</f>
        <v>Problems following a claim reimburses in UM first time then refuses to be again accepted after a lively discussion with the GMF.Jer Make 3 Different quotes The GMF expert tells me that it is too expensive. I am forced to pay the difference From my pocket plus the franchise of 169 euros. to ban</v>
      </c>
    </row>
    <row r="549" ht="15.75" customHeight="1">
      <c r="A549" s="2">
        <v>1.0</v>
      </c>
      <c r="B549" s="2" t="s">
        <v>1604</v>
      </c>
      <c r="C549" s="2" t="s">
        <v>1605</v>
      </c>
      <c r="D549" s="2" t="s">
        <v>31</v>
      </c>
      <c r="E549" s="2" t="s">
        <v>81</v>
      </c>
      <c r="F549" s="2" t="s">
        <v>15</v>
      </c>
      <c r="G549" s="2" t="s">
        <v>1606</v>
      </c>
      <c r="H549" s="2" t="s">
        <v>249</v>
      </c>
      <c r="I549" s="2" t="str">
        <f>IFERROR(__xludf.DUMMYFUNCTION("GOOGLETRANSLATE(C549,""fr"",""en"")"),"Member MGP For over 30 years, my monthly contributions are exorbitant, greater than 100 € alone for me.
In view of dental care reimbursements, I had to suspend monitoring of care, the crowns being almost reimbursed.
Today, I have several broken teeth, w"&amp;"ith all that that induces other health problems ....
I was stopped work following a disease, and my resources have been reduced by several hundred euros, without the amount of my monthly contributions having been revised downwards ...
Currently in CLD, "&amp;"it is always taken monthly more than € 150 which is considerable for me.
I am unhappy.")</f>
        <v>Member MGP For over 30 years, my monthly contributions are exorbitant, greater than 100 € alone for me.
In view of dental care reimbursements, I had to suspend monitoring of care, the crowns being almost reimbursed.
Today, I have several broken teeth, with all that that induces other health problems ....
I was stopped work following a disease, and my resources have been reduced by several hundred euros, without the amount of my monthly contributions having been revised downwards ...
Currently in CLD, it is always taken monthly more than € 150 which is considerable for me.
I am unhappy.</v>
      </c>
    </row>
    <row r="550" ht="15.75" customHeight="1">
      <c r="A550" s="2">
        <v>4.0</v>
      </c>
      <c r="B550" s="2" t="s">
        <v>1607</v>
      </c>
      <c r="C550" s="2" t="s">
        <v>1608</v>
      </c>
      <c r="D550" s="2" t="s">
        <v>221</v>
      </c>
      <c r="E550" s="2" t="s">
        <v>14</v>
      </c>
      <c r="F550" s="2" t="s">
        <v>15</v>
      </c>
      <c r="G550" s="2" t="s">
        <v>1175</v>
      </c>
      <c r="H550" s="2" t="s">
        <v>107</v>
      </c>
      <c r="I550" s="2" t="str">
        <f>IFERROR(__xludf.DUMMYFUNCTION("GOOGLETRANSLATE(C550,""fr"",""en"")"),"No particular problems with this insurer except contacts. If you are not affiliated with the LCL or Crédit Agricole bank, you can only have relationships with the phone. It works but it is retro ... The docs are then transmitted by paper mail and it is us"&amp;"ing. By being at it is no better because we are dealing with an overwhelmed advisor who is not an insurer and who delegates and it lasts.
The prices are honest and one can have more than 50% bonus, without accident, with 20% more which only serves during"&amp;" a need of it.
For my part I am at the CMN and only Pacifica for the car.")</f>
        <v>No particular problems with this insurer except contacts. If you are not affiliated with the LCL or Crédit Agricole bank, you can only have relationships with the phone. It works but it is retro ... The docs are then transmitted by paper mail and it is using. By being at it is no better because we are dealing with an overwhelmed advisor who is not an insurer and who delegates and it lasts.
The prices are honest and one can have more than 50% bonus, without accident, with 20% more which only serves during a need of it.
For my part I am at the CMN and only Pacifica for the car.</v>
      </c>
    </row>
    <row r="551" ht="15.75" customHeight="1">
      <c r="A551" s="2">
        <v>5.0</v>
      </c>
      <c r="B551" s="2" t="s">
        <v>1609</v>
      </c>
      <c r="C551" s="2" t="s">
        <v>1610</v>
      </c>
      <c r="D551" s="2" t="s">
        <v>95</v>
      </c>
      <c r="E551" s="2" t="s">
        <v>96</v>
      </c>
      <c r="F551" s="2" t="s">
        <v>15</v>
      </c>
      <c r="G551" s="2" t="s">
        <v>1611</v>
      </c>
      <c r="H551" s="2" t="s">
        <v>34</v>
      </c>
      <c r="I551" s="2" t="str">
        <f>IFERROR(__xludf.DUMMYFUNCTION("GOOGLETRANSLATE(C551,""fr"",""en"")"),"At April for ages I am more than satisfied with it ... in this way I changed Becane, 2 advisers took me into account ... clear clear explanations, super nice listening, in short more than satisfied and the prices are cool ..... I recommend")</f>
        <v>At April for ages I am more than satisfied with it ... in this way I changed Becane, 2 advisers took me into account ... clear clear explanations, super nice listening, in short more than satisfied and the prices are cool ..... I recommend</v>
      </c>
    </row>
    <row r="552" ht="15.75" customHeight="1">
      <c r="A552" s="2">
        <v>5.0</v>
      </c>
      <c r="B552" s="2" t="s">
        <v>1612</v>
      </c>
      <c r="C552" s="2" t="s">
        <v>1613</v>
      </c>
      <c r="D552" s="2" t="s">
        <v>394</v>
      </c>
      <c r="E552" s="2" t="s">
        <v>32</v>
      </c>
      <c r="F552" s="2" t="s">
        <v>15</v>
      </c>
      <c r="G552" s="2" t="s">
        <v>1280</v>
      </c>
      <c r="H552" s="2" t="s">
        <v>77</v>
      </c>
      <c r="I552" s="2" t="str">
        <f>IFERROR(__xludf.DUMMYFUNCTION("GOOGLETRANSLATE(C552,""fr"",""en"")"),"Very satisfied by Kadi, whose listening, availability, kindness and competence helped me well for a complex situation that I met. It gave me clarification compared to approaches that I had been doing for two months with another mutual and which, I hope, w"&amp;"ill find a resolution.")</f>
        <v>Very satisfied by Kadi, whose listening, availability, kindness and competence helped me well for a complex situation that I met. It gave me clarification compared to approaches that I had been doing for two months with another mutual and which, I hope, will find a resolution.</v>
      </c>
    </row>
    <row r="553" ht="15.75" customHeight="1">
      <c r="A553" s="2">
        <v>2.0</v>
      </c>
      <c r="B553" s="2" t="s">
        <v>1614</v>
      </c>
      <c r="C553" s="2" t="s">
        <v>1615</v>
      </c>
      <c r="D553" s="2" t="s">
        <v>229</v>
      </c>
      <c r="E553" s="2" t="s">
        <v>96</v>
      </c>
      <c r="F553" s="2" t="s">
        <v>15</v>
      </c>
      <c r="G553" s="2" t="s">
        <v>1616</v>
      </c>
      <c r="H553" s="2" t="s">
        <v>155</v>
      </c>
      <c r="I553" s="2" t="str">
        <f>IFERROR(__xludf.DUMMYFUNCTION("GOOGLETRANSLATE(C553,""fr"",""en"")"),"AMV very disappointed! Everything is fine until the day you have an accident. It's been 7 months now since I had my accident, and I'm still at the same point. They are only available on the mornings, if you want to know the advance of your file, you are f"&amp;"orced to call them because they will never give you. Not a single letter to tell me or is my file. It's been 7 months since I have no means of transport to go to work, and I don't know when this ordeal will end. I continue to pay every month for a motorcy"&amp;"cle that does not drive anymore, and I do not have the ways to pay the repairs myself (1200th).")</f>
        <v>AMV very disappointed! Everything is fine until the day you have an accident. It's been 7 months now since I had my accident, and I'm still at the same point. They are only available on the mornings, if you want to know the advance of your file, you are forced to call them because they will never give you. Not a single letter to tell me or is my file. It's been 7 months since I have no means of transport to go to work, and I don't know when this ordeal will end. I continue to pay every month for a motorcycle that does not drive anymore, and I do not have the ways to pay the repairs myself (1200th).</v>
      </c>
    </row>
    <row r="554" ht="15.75" customHeight="1">
      <c r="A554" s="2">
        <v>5.0</v>
      </c>
      <c r="B554" s="2" t="s">
        <v>1617</v>
      </c>
      <c r="C554" s="2" t="s">
        <v>1618</v>
      </c>
      <c r="D554" s="2" t="s">
        <v>75</v>
      </c>
      <c r="E554" s="2" t="s">
        <v>14</v>
      </c>
      <c r="F554" s="2" t="s">
        <v>15</v>
      </c>
      <c r="G554" s="2" t="s">
        <v>1252</v>
      </c>
      <c r="H554" s="2" t="s">
        <v>77</v>
      </c>
      <c r="I554" s="2" t="str">
        <f>IFERROR(__xludf.DUMMYFUNCTION("GOOGLETRANSLATE(C554,""fr"",""en"")"),"Very interesting and fast in terms of prices. Thank you I am very satisfied with your services. Look forward to being part of your customers. Good weekend to the whole team")</f>
        <v>Very interesting and fast in terms of prices. Thank you I am very satisfied with your services. Look forward to being part of your customers. Good weekend to the whole team</v>
      </c>
    </row>
    <row r="555" ht="15.75" customHeight="1">
      <c r="A555" s="2">
        <v>1.0</v>
      </c>
      <c r="B555" s="2" t="s">
        <v>1619</v>
      </c>
      <c r="C555" s="2" t="s">
        <v>1620</v>
      </c>
      <c r="D555" s="2" t="s">
        <v>70</v>
      </c>
      <c r="E555" s="2" t="s">
        <v>14</v>
      </c>
      <c r="F555" s="2" t="s">
        <v>15</v>
      </c>
      <c r="G555" s="2" t="s">
        <v>226</v>
      </c>
      <c r="H555" s="2" t="s">
        <v>28</v>
      </c>
      <c r="I555" s="2" t="str">
        <f>IFERROR(__xludf.DUMMYFUNCTION("GOOGLETRANSLATE(C555,""fr"",""en"")"),"Catastrophic management of files, intolerable slowness. Disaster in December 2020 nothing advances despite multiple reminders. The only starts are when you manage to have a phone advisor who tries to process the file during the call, the insured has only "&amp;"patient each time and behind each time.")</f>
        <v>Catastrophic management of files, intolerable slowness. Disaster in December 2020 nothing advances despite multiple reminders. The only starts are when you manage to have a phone advisor who tries to process the file during the call, the insured has only patient each time and behind each time.</v>
      </c>
    </row>
    <row r="556" ht="15.75" customHeight="1">
      <c r="A556" s="2">
        <v>1.0</v>
      </c>
      <c r="B556" s="2" t="s">
        <v>1621</v>
      </c>
      <c r="C556" s="2" t="s">
        <v>1622</v>
      </c>
      <c r="D556" s="2" t="s">
        <v>242</v>
      </c>
      <c r="E556" s="2" t="s">
        <v>14</v>
      </c>
      <c r="F556" s="2" t="s">
        <v>15</v>
      </c>
      <c r="G556" s="2" t="s">
        <v>1623</v>
      </c>
      <c r="H556" s="2" t="s">
        <v>565</v>
      </c>
      <c r="I556" s="2" t="str">
        <f>IFERROR(__xludf.DUMMYFUNCTION("GOOGLETRANSLATE(C556,""fr"",""en"")"),"After payment of insurance following a quote, I am still waiting for the email which will give me my customer number in order to continue the procedure. Fortunately, I used the express procedure.")</f>
        <v>After payment of insurance following a quote, I am still waiting for the email which will give me my customer number in order to continue the procedure. Fortunately, I used the express procedure.</v>
      </c>
    </row>
    <row r="557" ht="15.75" customHeight="1">
      <c r="A557" s="2">
        <v>5.0</v>
      </c>
      <c r="B557" s="2" t="s">
        <v>1624</v>
      </c>
      <c r="C557" s="2" t="s">
        <v>1625</v>
      </c>
      <c r="D557" s="2" t="s">
        <v>37</v>
      </c>
      <c r="E557" s="2" t="s">
        <v>14</v>
      </c>
      <c r="F557" s="2" t="s">
        <v>15</v>
      </c>
      <c r="G557" s="2" t="s">
        <v>1626</v>
      </c>
      <c r="H557" s="2" t="s">
        <v>92</v>
      </c>
      <c r="I557" s="2" t="str">
        <f>IFERROR(__xludf.DUMMYFUNCTION("GOOGLETRANSLATE(C557,""fr"",""en"")"),"Very responsive customer service, whether by phone as on Facebook. Top Commercial Service with advisers who take the time to explain to us so that the subscription is done in the best conditions.")</f>
        <v>Very responsive customer service, whether by phone as on Facebook. Top Commercial Service with advisers who take the time to explain to us so that the subscription is done in the best conditions.</v>
      </c>
    </row>
    <row r="558" ht="15.75" customHeight="1">
      <c r="A558" s="2">
        <v>2.0</v>
      </c>
      <c r="B558" s="2" t="s">
        <v>1627</v>
      </c>
      <c r="C558" s="2" t="s">
        <v>1628</v>
      </c>
      <c r="D558" s="2" t="s">
        <v>13</v>
      </c>
      <c r="E558" s="2" t="s">
        <v>14</v>
      </c>
      <c r="F558" s="2" t="s">
        <v>15</v>
      </c>
      <c r="G558" s="2" t="s">
        <v>1629</v>
      </c>
      <c r="H558" s="2" t="s">
        <v>926</v>
      </c>
      <c r="I558" s="2" t="str">
        <f>IFERROR(__xludf.DUMMYFUNCTION("GOOGLETRANSLATE(C558,""fr"",""en"")"),"I was provided for 3 years until 04/21/2018 when I sold my vehicle. This unscrupulous company awarded me a responsible event in 03/2017 when I only reported a light hanging with a flight offense. There was no observation or damage to repair, no costs requ"&amp;"ested from insurance, however they estimated that it was an event of my responsibility. On the other hand, they do information retention by taking weeks after several reminders and demanding an agency trip to give information statements. Business that is "&amp;"not very virtuous to avoid urgent!")</f>
        <v>I was provided for 3 years until 04/21/2018 when I sold my vehicle. This unscrupulous company awarded me a responsible event in 03/2017 when I only reported a light hanging with a flight offense. There was no observation or damage to repair, no costs requested from insurance, however they estimated that it was an event of my responsibility. On the other hand, they do information retention by taking weeks after several reminders and demanding an agency trip to give information statements. Business that is not very virtuous to avoid urgent!</v>
      </c>
    </row>
    <row r="559" ht="15.75" customHeight="1">
      <c r="A559" s="2">
        <v>2.0</v>
      </c>
      <c r="B559" s="2" t="s">
        <v>1630</v>
      </c>
      <c r="C559" s="2" t="s">
        <v>1631</v>
      </c>
      <c r="D559" s="2" t="s">
        <v>75</v>
      </c>
      <c r="E559" s="2" t="s">
        <v>14</v>
      </c>
      <c r="F559" s="2" t="s">
        <v>15</v>
      </c>
      <c r="G559" s="2" t="s">
        <v>549</v>
      </c>
      <c r="H559" s="2" t="s">
        <v>77</v>
      </c>
      <c r="I559" s="2" t="str">
        <f>IFERROR(__xludf.DUMMYFUNCTION("GOOGLETRANSLATE(C559,""fr"",""en"")"),"I have an accident I have not been followed and I pay a lot of my pocket for a price.
Enplus when we realize you we know nothing about it.")</f>
        <v>I have an accident I have not been followed and I pay a lot of my pocket for a price.
Enplus when we realize you we know nothing about it.</v>
      </c>
    </row>
    <row r="560" ht="15.75" customHeight="1">
      <c r="A560" s="2">
        <v>1.0</v>
      </c>
      <c r="B560" s="2" t="s">
        <v>1632</v>
      </c>
      <c r="C560" s="2" t="s">
        <v>1633</v>
      </c>
      <c r="D560" s="2" t="s">
        <v>313</v>
      </c>
      <c r="E560" s="2" t="s">
        <v>90</v>
      </c>
      <c r="F560" s="2" t="s">
        <v>15</v>
      </c>
      <c r="G560" s="2" t="s">
        <v>1634</v>
      </c>
      <c r="H560" s="2" t="s">
        <v>1392</v>
      </c>
      <c r="I560" s="2" t="str">
        <f>IFERROR(__xludf.DUMMYFUNCTION("GOOGLETRANSLATE(C560,""fr"",""en"")"),"Insurance to proscribe. Above all, do not get started. Once in the database of the commercial service to make you subscribe to various other insurances. Regarding customer service to describe it you have to fall into vulgarity. But in incompetent synthesi"&amp;"s I had two -minute whites on the phone thinking that it was network problems but not it was in quotes the advisor who was looking at the search for an answer. I found cheaper elsewhere and there to terminate it is an obstacle course I still did not get t"&amp;"o the end.")</f>
        <v>Insurance to proscribe. Above all, do not get started. Once in the database of the commercial service to make you subscribe to various other insurances. Regarding customer service to describe it you have to fall into vulgarity. But in incompetent synthesis I had two -minute whites on the phone thinking that it was network problems but not it was in quotes the advisor who was looking at the search for an answer. I found cheaper elsewhere and there to terminate it is an obstacle course I still did not get to the end.</v>
      </c>
    </row>
    <row r="561" ht="15.75" customHeight="1">
      <c r="A561" s="2">
        <v>4.0</v>
      </c>
      <c r="B561" s="2" t="s">
        <v>1635</v>
      </c>
      <c r="C561" s="2" t="s">
        <v>1636</v>
      </c>
      <c r="D561" s="2" t="s">
        <v>31</v>
      </c>
      <c r="E561" s="2" t="s">
        <v>32</v>
      </c>
      <c r="F561" s="2" t="s">
        <v>15</v>
      </c>
      <c r="G561" s="2" t="s">
        <v>840</v>
      </c>
      <c r="H561" s="2" t="s">
        <v>34</v>
      </c>
      <c r="I561" s="2" t="str">
        <f>IFERROR(__xludf.DUMMYFUNCTION("GOOGLETRANSLATE(C561,""fr"",""en"")"),"Communication by phone this day, with request for information which allows real security of our Coptic members. Very kind person on the phone and who informed me very well and answered my questions. I recommend. Thank you")</f>
        <v>Communication by phone this day, with request for information which allows real security of our Coptic members. Very kind person on the phone and who informed me very well and answered my questions. I recommend. Thank you</v>
      </c>
    </row>
    <row r="562" ht="15.75" customHeight="1">
      <c r="A562" s="2">
        <v>3.0</v>
      </c>
      <c r="B562" s="2" t="s">
        <v>1637</v>
      </c>
      <c r="C562" s="2" t="s">
        <v>1638</v>
      </c>
      <c r="D562" s="2" t="s">
        <v>37</v>
      </c>
      <c r="E562" s="2" t="s">
        <v>14</v>
      </c>
      <c r="F562" s="2" t="s">
        <v>15</v>
      </c>
      <c r="G562" s="2" t="s">
        <v>431</v>
      </c>
      <c r="H562" s="2" t="s">
        <v>86</v>
      </c>
      <c r="I562" s="2" t="str">
        <f>IFERROR(__xludf.DUMMYFUNCTION("GOOGLETRANSLATE(C562,""fr"",""en"")"),"I am satisfied with the service, the tool is pleasant to use however I would have liked to have mentioned the deposit on the previous steps as well as the details of this one.")</f>
        <v>I am satisfied with the service, the tool is pleasant to use however I would have liked to have mentioned the deposit on the previous steps as well as the details of this one.</v>
      </c>
    </row>
    <row r="563" ht="15.75" customHeight="1">
      <c r="A563" s="2">
        <v>2.0</v>
      </c>
      <c r="B563" s="2" t="s">
        <v>1639</v>
      </c>
      <c r="C563" s="2" t="s">
        <v>1640</v>
      </c>
      <c r="D563" s="2" t="s">
        <v>70</v>
      </c>
      <c r="E563" s="2" t="s">
        <v>21</v>
      </c>
      <c r="F563" s="2" t="s">
        <v>15</v>
      </c>
      <c r="G563" s="2" t="s">
        <v>1641</v>
      </c>
      <c r="H563" s="2" t="s">
        <v>804</v>
      </c>
      <c r="I563" s="2" t="str">
        <f>IFERROR(__xludf.DUMMYFUNCTION("GOOGLETRANSLATE(C563,""fr"",""en"")"),"Sinister in my very long and very poorly reimbursed shower. The expert took a long time to come and see the damage as if we could stay without showering! And to declare in the end that he did not reimburse anything because he had not seen the damage since"&amp;" it was repaired")</f>
        <v>Sinister in my very long and very poorly reimbursed shower. The expert took a long time to come and see the damage as if we could stay without showering! And to declare in the end that he did not reimburse anything because he had not seen the damage since it was repaired</v>
      </c>
    </row>
    <row r="564" ht="15.75" customHeight="1">
      <c r="A564" s="2">
        <v>5.0</v>
      </c>
      <c r="B564" s="2" t="s">
        <v>1642</v>
      </c>
      <c r="C564" s="2" t="s">
        <v>1643</v>
      </c>
      <c r="D564" s="2" t="s">
        <v>37</v>
      </c>
      <c r="E564" s="2" t="s">
        <v>14</v>
      </c>
      <c r="F564" s="2" t="s">
        <v>15</v>
      </c>
      <c r="G564" s="2" t="s">
        <v>377</v>
      </c>
      <c r="H564" s="2" t="s">
        <v>67</v>
      </c>
      <c r="I564" s="2" t="str">
        <f>IFERROR(__xludf.DUMMYFUNCTION("GOOGLETRANSLATE(C564,""fr"",""en"")"),"The person I had on the phone was very kind and very clear and very professional. The price is very interesting. Speed ​​of execution and fast telephone wait.")</f>
        <v>The person I had on the phone was very kind and very clear and very professional. The price is very interesting. Speed ​​of execution and fast telephone wait.</v>
      </c>
    </row>
    <row r="565" ht="15.75" customHeight="1">
      <c r="A565" s="2">
        <v>4.0</v>
      </c>
      <c r="B565" s="2" t="s">
        <v>1644</v>
      </c>
      <c r="C565" s="2" t="s">
        <v>1645</v>
      </c>
      <c r="D565" s="2" t="s">
        <v>233</v>
      </c>
      <c r="E565" s="2" t="s">
        <v>32</v>
      </c>
      <c r="F565" s="2" t="s">
        <v>15</v>
      </c>
      <c r="G565" s="2" t="s">
        <v>1504</v>
      </c>
      <c r="H565" s="2" t="s">
        <v>77</v>
      </c>
      <c r="I565" s="2" t="str">
        <f>IFERROR(__xludf.DUMMYFUNCTION("GOOGLETRANSLATE(C565,""fr"",""en"")"),"Fast service and attentive to customers, management is fast in order to solve administrative problems. At the performance level to be seen in the duration and at stress.")</f>
        <v>Fast service and attentive to customers, management is fast in order to solve administrative problems. At the performance level to be seen in the duration and at stress.</v>
      </c>
    </row>
    <row r="566" ht="15.75" customHeight="1">
      <c r="A566" s="2">
        <v>5.0</v>
      </c>
      <c r="B566" s="2" t="s">
        <v>1646</v>
      </c>
      <c r="C566" s="2" t="s">
        <v>1647</v>
      </c>
      <c r="D566" s="2" t="s">
        <v>75</v>
      </c>
      <c r="E566" s="2" t="s">
        <v>14</v>
      </c>
      <c r="F566" s="2" t="s">
        <v>15</v>
      </c>
      <c r="G566" s="2" t="s">
        <v>236</v>
      </c>
      <c r="H566" s="2" t="s">
        <v>28</v>
      </c>
      <c r="I566" s="2" t="str">
        <f>IFERROR(__xludf.DUMMYFUNCTION("GOOGLETRANSLATE(C566,""fr"",""en"")"),"I am very satisfied with the services and guarantees you offer. a very good welcome and an impeccable action of action
I recommend your insurance to my loved ones")</f>
        <v>I am very satisfied with the services and guarantees you offer. a very good welcome and an impeccable action of action
I recommend your insurance to my loved ones</v>
      </c>
    </row>
    <row r="567" ht="15.75" customHeight="1">
      <c r="A567" s="2">
        <v>5.0</v>
      </c>
      <c r="B567" s="2" t="s">
        <v>1648</v>
      </c>
      <c r="C567" s="2" t="s">
        <v>1649</v>
      </c>
      <c r="D567" s="2" t="s">
        <v>75</v>
      </c>
      <c r="E567" s="2" t="s">
        <v>14</v>
      </c>
      <c r="F567" s="2" t="s">
        <v>15</v>
      </c>
      <c r="G567" s="2" t="s">
        <v>386</v>
      </c>
      <c r="H567" s="2" t="s">
        <v>193</v>
      </c>
      <c r="I567" s="2" t="str">
        <f>IFERROR(__xludf.DUMMYFUNCTION("GOOGLETRANSLATE(C567,""fr"",""en"")"),"I am very satisfied with the responsiveness of advisers, support and human contact, especially at the time of my disaster when the person I had on the phone reassured me on the procedures and the rest of the file.")</f>
        <v>I am very satisfied with the responsiveness of advisers, support and human contact, especially at the time of my disaster when the person I had on the phone reassured me on the procedures and the rest of the file.</v>
      </c>
    </row>
    <row r="568" ht="15.75" customHeight="1">
      <c r="A568" s="2">
        <v>1.0</v>
      </c>
      <c r="B568" s="2" t="s">
        <v>1650</v>
      </c>
      <c r="C568" s="2" t="s">
        <v>1651</v>
      </c>
      <c r="D568" s="2" t="s">
        <v>26</v>
      </c>
      <c r="E568" s="2" t="s">
        <v>14</v>
      </c>
      <c r="F568" s="2" t="s">
        <v>15</v>
      </c>
      <c r="G568" s="2" t="s">
        <v>1652</v>
      </c>
      <c r="H568" s="2" t="s">
        <v>23</v>
      </c>
      <c r="I568" s="2" t="str">
        <f>IFERROR(__xludf.DUMMYFUNCTION("GOOGLETRANSLATE(C568,""fr"",""en"")"),"Auto insurance, to flee too high price 450 euros for a Twingo 3, with 50% bonuses.")</f>
        <v>Auto insurance, to flee too high price 450 euros for a Twingo 3, with 50% bonuses.</v>
      </c>
    </row>
    <row r="569" ht="15.75" customHeight="1">
      <c r="A569" s="2">
        <v>5.0</v>
      </c>
      <c r="B569" s="2" t="s">
        <v>1653</v>
      </c>
      <c r="C569" s="2" t="s">
        <v>1654</v>
      </c>
      <c r="D569" s="2" t="s">
        <v>75</v>
      </c>
      <c r="E569" s="2" t="s">
        <v>14</v>
      </c>
      <c r="F569" s="2" t="s">
        <v>15</v>
      </c>
      <c r="G569" s="2" t="s">
        <v>1655</v>
      </c>
      <c r="H569" s="2" t="s">
        <v>39</v>
      </c>
      <c r="I569" s="2" t="str">
        <f>IFERROR(__xludf.DUMMYFUNCTION("GOOGLETRANSLATE(C569,""fr"",""en"")"),"I am happy with the speed and the interesting price but having vehicles insured at home I still paid a little less expensive for the first car insured at home (the Tuareg) which has my taste remains very expensive.")</f>
        <v>I am happy with the speed and the interesting price but having vehicles insured at home I still paid a little less expensive for the first car insured at home (the Tuareg) which has my taste remains very expensive.</v>
      </c>
    </row>
    <row r="570" ht="15.75" customHeight="1">
      <c r="A570" s="2">
        <v>1.0</v>
      </c>
      <c r="B570" s="2" t="s">
        <v>1656</v>
      </c>
      <c r="C570" s="2" t="s">
        <v>1657</v>
      </c>
      <c r="D570" s="2" t="s">
        <v>1658</v>
      </c>
      <c r="E570" s="2" t="s">
        <v>96</v>
      </c>
      <c r="F570" s="2" t="s">
        <v>15</v>
      </c>
      <c r="G570" s="2" t="s">
        <v>1659</v>
      </c>
      <c r="H570" s="2" t="s">
        <v>92</v>
      </c>
      <c r="I570" s="2" t="str">
        <f>IFERROR(__xludf.DUMMYFUNCTION("GOOGLETRANSLATE(C570,""fr"",""en"")"),"To flee. Customer advisers think you are at their disposal and call you multiple times consecutively if you do not answer. I am trainer of road drivers and they ringed my phone up to 5 times in a row during a driving lesson without even leaving a message."&amp;"
On the other hand, they have refused for 10 days to provide me with a green card although I have been taken and that I provided all the necessary documents requested. The reason ? I cannot provide the bill for my SRA anti -theft !!
This insurer seems t"&amp;"o ignore the laws and its own rules. Let him refuse me the application of the flight guarantee of my contract, if necessary, would comply with their CGV and legal. On the other hand, it is not mentioned nowhere that the invoice of the anti -theft is neces"&amp;"sary to obtain the green card. In addition, the supply of the green card by the insurer to the insured is a legal obligation which proves that the vehicle subscribes to the obligation to have a civil liability coverage. The driver is verbalizable if he ca"&amp;"nnot present it as if he has not affixed the detachable shutter on his vehicle.
So I may at any time be verbalized because ... I no longer have the bill for my anti -theft !!!
In summary: Limit of telephonic harassment, non -compliance with his own rule"&amp;"s, retention of documents ... On the other hand, no direct debit problems, it works well, it's very fast ...")</f>
        <v>To flee. Customer advisers think you are at their disposal and call you multiple times consecutively if you do not answer. I am trainer of road drivers and they ringed my phone up to 5 times in a row during a driving lesson without even leaving a message.
On the other hand, they have refused for 10 days to provide me with a green card although I have been taken and that I provided all the necessary documents requested. The reason ? I cannot provide the bill for my SRA anti -theft !!
This insurer seems to ignore the laws and its own rules. Let him refuse me the application of the flight guarantee of my contract, if necessary, would comply with their CGV and legal. On the other hand, it is not mentioned nowhere that the invoice of the anti -theft is necessary to obtain the green card. In addition, the supply of the green card by the insurer to the insured is a legal obligation which proves that the vehicle subscribes to the obligation to have a civil liability coverage. The driver is verbalizable if he cannot present it as if he has not affixed the detachable shutter on his vehicle.
So I may at any time be verbalized because ... I no longer have the bill for my anti -theft !!!
In summary: Limit of telephonic harassment, non -compliance with his own rules, retention of documents ... On the other hand, no direct debit problems, it works well, it's very fast ...</v>
      </c>
    </row>
    <row r="571" ht="15.75" customHeight="1">
      <c r="A571" s="2">
        <v>5.0</v>
      </c>
      <c r="B571" s="2" t="s">
        <v>1660</v>
      </c>
      <c r="C571" s="2" t="s">
        <v>1661</v>
      </c>
      <c r="D571" s="2" t="s">
        <v>229</v>
      </c>
      <c r="E571" s="2" t="s">
        <v>96</v>
      </c>
      <c r="F571" s="2" t="s">
        <v>15</v>
      </c>
      <c r="G571" s="2" t="s">
        <v>1252</v>
      </c>
      <c r="H571" s="2" t="s">
        <v>77</v>
      </c>
      <c r="I571" s="2" t="str">
        <f>IFERROR(__xludf.DUMMYFUNCTION("GOOGLETRANSLATE(C571,""fr"",""en"")"),"Ease of connection to the site, simplicity of procedures, price ratio/services and guarantees
Clear contracts, choice of simple options, facilities for changes in the contract.")</f>
        <v>Ease of connection to the site, simplicity of procedures, price ratio/services and guarantees
Clear contracts, choice of simple options, facilities for changes in the contract.</v>
      </c>
    </row>
    <row r="572" ht="15.75" customHeight="1">
      <c r="A572" s="2">
        <v>1.0</v>
      </c>
      <c r="B572" s="2" t="s">
        <v>1662</v>
      </c>
      <c r="C572" s="2" t="s">
        <v>1663</v>
      </c>
      <c r="D572" s="2" t="s">
        <v>37</v>
      </c>
      <c r="E572" s="2" t="s">
        <v>14</v>
      </c>
      <c r="F572" s="2" t="s">
        <v>15</v>
      </c>
      <c r="G572" s="2" t="s">
        <v>1664</v>
      </c>
      <c r="H572" s="2" t="s">
        <v>249</v>
      </c>
      <c r="I572" s="2" t="str">
        <f>IFERROR(__xludf.DUMMYFUNCTION("GOOGLETRANSLATE(C572,""fr"",""en"")"),"Very bad insurance!
You have the minimum service normally and when managing the disaster, catastrophic !!! 2 months and still no answer. So saying that we expect the return of experts ... Amateurism, deplorable insurance, do not go.")</f>
        <v>Very bad insurance!
You have the minimum service normally and when managing the disaster, catastrophic !!! 2 months and still no answer. So saying that we expect the return of experts ... Amateurism, deplorable insurance, do not go.</v>
      </c>
    </row>
    <row r="573" ht="15.75" customHeight="1">
      <c r="A573" s="2">
        <v>1.0</v>
      </c>
      <c r="B573" s="2" t="s">
        <v>1665</v>
      </c>
      <c r="C573" s="2" t="s">
        <v>1666</v>
      </c>
      <c r="D573" s="2" t="s">
        <v>247</v>
      </c>
      <c r="E573" s="2" t="s">
        <v>32</v>
      </c>
      <c r="F573" s="2" t="s">
        <v>15</v>
      </c>
      <c r="G573" s="2" t="s">
        <v>1667</v>
      </c>
      <c r="H573" s="2" t="s">
        <v>521</v>
      </c>
      <c r="I573" s="2" t="str">
        <f>IFERROR(__xludf.DUMMYFUNCTION("GOOGLETRANSLATE(C573,""fr"",""en"")"),"A member leaves Argedis I have always been waiting for my mutual card since January revived in February in March in April by calls and emails. Nothing works there as mutual there it gives my member number to other members no reimbursement of perceived sin"&amp;"ce November. I do not recommend it to companies and individuals.")</f>
        <v>A member leaves Argedis I have always been waiting for my mutual card since January revived in February in March in April by calls and emails. Nothing works there as mutual there it gives my member number to other members no reimbursement of perceived since November. I do not recommend it to companies and individuals.</v>
      </c>
    </row>
    <row r="574" ht="15.75" customHeight="1">
      <c r="A574" s="2">
        <v>5.0</v>
      </c>
      <c r="B574" s="2" t="s">
        <v>1668</v>
      </c>
      <c r="C574" s="2" t="s">
        <v>1669</v>
      </c>
      <c r="D574" s="2" t="s">
        <v>95</v>
      </c>
      <c r="E574" s="2" t="s">
        <v>96</v>
      </c>
      <c r="F574" s="2" t="s">
        <v>15</v>
      </c>
      <c r="G574" s="2" t="s">
        <v>1552</v>
      </c>
      <c r="H574" s="2" t="s">
        <v>98</v>
      </c>
      <c r="I574" s="2" t="str">
        <f>IFERROR(__xludf.DUMMYFUNCTION("GOOGLETRANSLATE(C574,""fr"",""en"")"),"Very good price, fast and precise contact.
Good canvassing, very pleasant person, listening, responsive without being too invasive.
Hopefully this will last and that you will be present in case of concerns.")</f>
        <v>Very good price, fast and precise contact.
Good canvassing, very pleasant person, listening, responsive without being too invasive.
Hopefully this will last and that you will be present in case of concerns.</v>
      </c>
    </row>
    <row r="575" ht="15.75" customHeight="1">
      <c r="A575" s="2">
        <v>2.0</v>
      </c>
      <c r="B575" s="2" t="s">
        <v>1670</v>
      </c>
      <c r="C575" s="2" t="s">
        <v>1671</v>
      </c>
      <c r="D575" s="2" t="s">
        <v>13</v>
      </c>
      <c r="E575" s="2" t="s">
        <v>21</v>
      </c>
      <c r="F575" s="2" t="s">
        <v>15</v>
      </c>
      <c r="G575" s="2" t="s">
        <v>286</v>
      </c>
      <c r="H575" s="2" t="s">
        <v>286</v>
      </c>
      <c r="I575" s="2" t="str">
        <f>IFERROR(__xludf.DUMMYFUNCTION("GOOGLETRANSLATE(C575,""fr"",""en"")"),"Following a fire I have a whole part of my small household appliances which went up in smoke. Me like an idiot I clean and put away (and throw the carcasses) in the trash because I have 2 children at the bottom and I do not want them to have access to thi"&amp;"s waste. It's okay, I have the invoices. Well no, as the expert could not see the carbon heap, I have to sit on 4000 euros in reimbursement. I am told that I should not have thrown them away. 4000 euros not reimbursed because I wanted to clean up the air "&amp;"at home. Thank you the Macif")</f>
        <v>Following a fire I have a whole part of my small household appliances which went up in smoke. Me like an idiot I clean and put away (and throw the carcasses) in the trash because I have 2 children at the bottom and I do not want them to have access to this waste. It's okay, I have the invoices. Well no, as the expert could not see the carbon heap, I have to sit on 4000 euros in reimbursement. I am told that I should not have thrown them away. 4000 euros not reimbursed because I wanted to clean up the air at home. Thank you the Macif</v>
      </c>
    </row>
    <row r="576" ht="15.75" customHeight="1">
      <c r="A576" s="2">
        <v>1.0</v>
      </c>
      <c r="B576" s="2" t="s">
        <v>1672</v>
      </c>
      <c r="C576" s="2" t="s">
        <v>1673</v>
      </c>
      <c r="D576" s="2" t="s">
        <v>101</v>
      </c>
      <c r="E576" s="2" t="s">
        <v>14</v>
      </c>
      <c r="F576" s="2" t="s">
        <v>15</v>
      </c>
      <c r="G576" s="2" t="s">
        <v>1674</v>
      </c>
      <c r="H576" s="2" t="s">
        <v>244</v>
      </c>
      <c r="I576" s="2" t="str">
        <f>IFERROR(__xludf.DUMMYFUNCTION("GOOGLETRANSLATE(C576,""fr"",""en"")"),"Catastrophic experience with the company Allianz. Internet contract to avoid !! Hours of phone expectations for nothing on arrival. When we sign the contract, we are told that such an adviser close to home is our contact contact, which is completely false"&amp;". Having had this contact by phone, he cannot give me any information, worse still he does not have a hand on the contract. Low cost contracts which suddenly do almost nothing (and yes should not be seen) . It is a company apart which opens the contract a"&amp;"nd which then disappears. Customer service is a real disaster, for 1 month we spend our days with them on the phone to close a non -responsible disaster that had no need to exist. On the other hand I asked for a quote this morning to increase my deadlines"&amp;", it arrived in the half hour. Introduced to see this kind of practice.")</f>
        <v>Catastrophic experience with the company Allianz. Internet contract to avoid !! Hours of phone expectations for nothing on arrival. When we sign the contract, we are told that such an adviser close to home is our contact contact, which is completely false. Having had this contact by phone, he cannot give me any information, worse still he does not have a hand on the contract. Low cost contracts which suddenly do almost nothing (and yes should not be seen) . It is a company apart which opens the contract and which then disappears. Customer service is a real disaster, for 1 month we spend our days with them on the phone to close a non -responsible disaster that had no need to exist. On the other hand I asked for a quote this morning to increase my deadlines, it arrived in the half hour. Introduced to see this kind of practice.</v>
      </c>
    </row>
    <row r="577" ht="15.75" customHeight="1">
      <c r="A577" s="2">
        <v>5.0</v>
      </c>
      <c r="B577" s="2" t="s">
        <v>1675</v>
      </c>
      <c r="C577" s="2" t="s">
        <v>1676</v>
      </c>
      <c r="D577" s="2" t="s">
        <v>37</v>
      </c>
      <c r="E577" s="2" t="s">
        <v>14</v>
      </c>
      <c r="F577" s="2" t="s">
        <v>15</v>
      </c>
      <c r="G577" s="2" t="s">
        <v>118</v>
      </c>
      <c r="H577" s="2" t="s">
        <v>77</v>
      </c>
      <c r="I577" s="2" t="str">
        <f>IFERROR(__xludf.DUMMYFUNCTION("GOOGLETRANSLATE(C577,""fr"",""en"")"),"I am satisfied and thank you, very practical online, I will not fail to talk about you, quick response, I made several comparison price and you are the cheapest")</f>
        <v>I am satisfied and thank you, very practical online, I will not fail to talk about you, quick response, I made several comparison price and you are the cheapest</v>
      </c>
    </row>
    <row r="578" ht="15.75" customHeight="1">
      <c r="A578" s="2">
        <v>3.0</v>
      </c>
      <c r="B578" s="2" t="s">
        <v>1677</v>
      </c>
      <c r="C578" s="2" t="s">
        <v>1678</v>
      </c>
      <c r="D578" s="2" t="s">
        <v>233</v>
      </c>
      <c r="E578" s="2" t="s">
        <v>32</v>
      </c>
      <c r="F578" s="2" t="s">
        <v>15</v>
      </c>
      <c r="G578" s="2" t="s">
        <v>1288</v>
      </c>
      <c r="H578" s="2" t="s">
        <v>86</v>
      </c>
      <c r="I578" s="2" t="str">
        <f>IFERROR(__xludf.DUMMYFUNCTION("GOOGLETRANSLATE(C578,""fr"",""en"")"),"Good coverage and quick refund, which is very appreciable! Several formulas are available but it is the employer who chose. There is a lack of information on the possibilities of expanding the field of guarantees in addition to the employer base and at wh"&amp;"at prices ....")</f>
        <v>Good coverage and quick refund, which is very appreciable! Several formulas are available but it is the employer who chose. There is a lack of information on the possibilities of expanding the field of guarantees in addition to the employer base and at what prices ....</v>
      </c>
    </row>
    <row r="579" ht="15.75" customHeight="1">
      <c r="A579" s="2">
        <v>1.0</v>
      </c>
      <c r="B579" s="2" t="s">
        <v>1679</v>
      </c>
      <c r="C579" s="2" t="s">
        <v>1680</v>
      </c>
      <c r="D579" s="2" t="s">
        <v>80</v>
      </c>
      <c r="E579" s="2" t="s">
        <v>81</v>
      </c>
      <c r="F579" s="2" t="s">
        <v>15</v>
      </c>
      <c r="G579" s="2" t="s">
        <v>974</v>
      </c>
      <c r="H579" s="2" t="s">
        <v>98</v>
      </c>
      <c r="I579" s="2" t="str">
        <f>IFERROR(__xludf.DUMMYFUNCTION("GOOGLETRANSLATE(C579,""fr"",""en"")"),"Incompetence and bad faith to resolve a death capital.
On the phone people are not aware of the file by email no one responds.
For each letter 5 weeks of processing delay.
There are fed up")</f>
        <v>Incompetence and bad faith to resolve a death capital.
On the phone people are not aware of the file by email no one responds.
For each letter 5 weeks of processing delay.
There are fed up</v>
      </c>
    </row>
    <row r="580" ht="15.75" customHeight="1">
      <c r="A580" s="2">
        <v>1.0</v>
      </c>
      <c r="B580" s="2" t="s">
        <v>1681</v>
      </c>
      <c r="C580" s="2" t="s">
        <v>1682</v>
      </c>
      <c r="D580" s="2" t="s">
        <v>394</v>
      </c>
      <c r="E580" s="2" t="s">
        <v>32</v>
      </c>
      <c r="F580" s="2" t="s">
        <v>15</v>
      </c>
      <c r="G580" s="2" t="s">
        <v>1683</v>
      </c>
      <c r="H580" s="2" t="s">
        <v>61</v>
      </c>
      <c r="I580" s="2" t="str">
        <f>IFERROR(__xludf.DUMMYFUNCTION("GOOGLETRANSLATE(C580,""fr"",""en"")"),"It's been over a year since I have taken € 5 per month for a service that I don't need and that I can not terminate. I strongly advise against starting to be insured by Néoliane.
After several calls, emails, registered mail, I still cannot stop the sampl"&amp;"es. Impossible to be reimbursed! In short, money throw out the windows following an electronic signature made with an online broker made in 5 min ....")</f>
        <v>It's been over a year since I have taken € 5 per month for a service that I don't need and that I can not terminate. I strongly advise against starting to be insured by Néoliane.
After several calls, emails, registered mail, I still cannot stop the samples. Impossible to be reimbursed! In short, money throw out the windows following an electronic signature made with an online broker made in 5 min ....</v>
      </c>
    </row>
    <row r="581" ht="15.75" customHeight="1">
      <c r="A581" s="2">
        <v>5.0</v>
      </c>
      <c r="B581" s="2" t="s">
        <v>1684</v>
      </c>
      <c r="C581" s="2" t="s">
        <v>1685</v>
      </c>
      <c r="D581" s="2" t="s">
        <v>75</v>
      </c>
      <c r="E581" s="2" t="s">
        <v>14</v>
      </c>
      <c r="F581" s="2" t="s">
        <v>15</v>
      </c>
      <c r="G581" s="2" t="s">
        <v>1294</v>
      </c>
      <c r="H581" s="2" t="s">
        <v>107</v>
      </c>
      <c r="I581" s="2" t="str">
        <f>IFERROR(__xludf.DUMMYFUNCTION("GOOGLETRANSLATE(C581,""fr"",""en"")"),"Very satisfied with this insurance, I will be able to recommend it to those around me
So that they take the process if that bother them.
much more profitable.")</f>
        <v>Very satisfied with this insurance, I will be able to recommend it to those around me
So that they take the process if that bother them.
much more profitable.</v>
      </c>
    </row>
    <row r="582" ht="15.75" customHeight="1">
      <c r="A582" s="2">
        <v>1.0</v>
      </c>
      <c r="B582" s="2" t="s">
        <v>1686</v>
      </c>
      <c r="C582" s="2" t="s">
        <v>1687</v>
      </c>
      <c r="D582" s="2" t="s">
        <v>37</v>
      </c>
      <c r="E582" s="2" t="s">
        <v>14</v>
      </c>
      <c r="F582" s="2" t="s">
        <v>15</v>
      </c>
      <c r="G582" s="2" t="s">
        <v>1688</v>
      </c>
      <c r="H582" s="2" t="s">
        <v>57</v>
      </c>
      <c r="I582" s="2" t="str">
        <f>IFERROR(__xludf.DUMMYFUNCTION("GOOGLETRANSLATE(C582,""fr"",""en"")"),"High prices, untimely direct debit, termination difficulty, incompetent customer services, processing of unrealized letters, response to a request by mail received after x reminders after a month and a half. Future assures go your way")</f>
        <v>High prices, untimely direct debit, termination difficulty, incompetent customer services, processing of unrealized letters, response to a request by mail received after x reminders after a month and a half. Future assures go your way</v>
      </c>
    </row>
    <row r="583" ht="15.75" customHeight="1">
      <c r="A583" s="2">
        <v>4.0</v>
      </c>
      <c r="B583" s="2" t="s">
        <v>1689</v>
      </c>
      <c r="C583" s="2" t="s">
        <v>1690</v>
      </c>
      <c r="D583" s="2" t="s">
        <v>75</v>
      </c>
      <c r="E583" s="2" t="s">
        <v>14</v>
      </c>
      <c r="F583" s="2" t="s">
        <v>15</v>
      </c>
      <c r="G583" s="2" t="s">
        <v>449</v>
      </c>
      <c r="H583" s="2" t="s">
        <v>28</v>
      </c>
      <c r="I583" s="2" t="str">
        <f>IFERROR(__xludf.DUMMYFUNCTION("GOOGLETRANSLATE(C583,""fr"",""en"")"),"The prices suit me, I will think about it a few days before confirming the home insurance, the time necessary to compare other offers.")</f>
        <v>The prices suit me, I will think about it a few days before confirming the home insurance, the time necessary to compare other offers.</v>
      </c>
    </row>
    <row r="584" ht="15.75" customHeight="1">
      <c r="A584" s="2">
        <v>5.0</v>
      </c>
      <c r="B584" s="2" t="s">
        <v>1691</v>
      </c>
      <c r="C584" s="2" t="s">
        <v>1692</v>
      </c>
      <c r="D584" s="2" t="s">
        <v>75</v>
      </c>
      <c r="E584" s="2" t="s">
        <v>14</v>
      </c>
      <c r="F584" s="2" t="s">
        <v>15</v>
      </c>
      <c r="G584" s="2" t="s">
        <v>1076</v>
      </c>
      <c r="H584" s="2" t="s">
        <v>86</v>
      </c>
      <c r="I584" s="2" t="str">
        <f>IFERROR(__xludf.DUMMYFUNCTION("GOOGLETRANSLATE(C584,""fr"",""en"")"),"Already 2 insurance in your home. Well taken care of. Serious and very competitive insurance. acts quickly in the event of a problem. Very in mind in advertising")</f>
        <v>Already 2 insurance in your home. Well taken care of. Serious and very competitive insurance. acts quickly in the event of a problem. Very in mind in advertising</v>
      </c>
    </row>
    <row r="585" ht="15.75" customHeight="1">
      <c r="A585" s="2">
        <v>5.0</v>
      </c>
      <c r="B585" s="2" t="s">
        <v>1693</v>
      </c>
      <c r="C585" s="2" t="s">
        <v>1694</v>
      </c>
      <c r="D585" s="2" t="s">
        <v>173</v>
      </c>
      <c r="E585" s="2" t="s">
        <v>32</v>
      </c>
      <c r="F585" s="2" t="s">
        <v>15</v>
      </c>
      <c r="G585" s="2" t="s">
        <v>1430</v>
      </c>
      <c r="H585" s="2" t="s">
        <v>98</v>
      </c>
      <c r="I585" s="2" t="str">
        <f>IFERROR(__xludf.DUMMYFUNCTION("GOOGLETRANSLATE(C585,""fr"",""en"")"),"The Thomas advisor is very available and effective on the various proposals. The mutual that has been proposed to us corresponds to our situation.")</f>
        <v>The Thomas advisor is very available and effective on the various proposals. The mutual that has been proposed to us corresponds to our situation.</v>
      </c>
    </row>
    <row r="586" ht="15.75" customHeight="1">
      <c r="A586" s="2">
        <v>3.0</v>
      </c>
      <c r="B586" s="2" t="s">
        <v>1695</v>
      </c>
      <c r="C586" s="2" t="s">
        <v>1696</v>
      </c>
      <c r="D586" s="2" t="s">
        <v>75</v>
      </c>
      <c r="E586" s="2" t="s">
        <v>14</v>
      </c>
      <c r="F586" s="2" t="s">
        <v>15</v>
      </c>
      <c r="G586" s="2" t="s">
        <v>524</v>
      </c>
      <c r="H586" s="2" t="s">
        <v>28</v>
      </c>
      <c r="I586" s="2" t="str">
        <f>IFERROR(__xludf.DUMMYFUNCTION("GOOGLETRANSLATE(C586,""fr"",""en"")"),"It's hard to have someone on the phone to have simple information on an existing contract. Good price, easy, but cheaper subscriptions.")</f>
        <v>It's hard to have someone on the phone to have simple information on an existing contract. Good price, easy, but cheaper subscriptions.</v>
      </c>
    </row>
    <row r="587" ht="15.75" customHeight="1">
      <c r="A587" s="2">
        <v>2.0</v>
      </c>
      <c r="B587" s="2" t="s">
        <v>1697</v>
      </c>
      <c r="C587" s="2" t="s">
        <v>1698</v>
      </c>
      <c r="D587" s="2" t="s">
        <v>1658</v>
      </c>
      <c r="E587" s="2" t="s">
        <v>96</v>
      </c>
      <c r="F587" s="2" t="s">
        <v>15</v>
      </c>
      <c r="G587" s="2" t="s">
        <v>1316</v>
      </c>
      <c r="H587" s="2" t="s">
        <v>286</v>
      </c>
      <c r="I587" s="2" t="str">
        <f>IFERROR(__xludf.DUMMYFUNCTION("GOOGLETRANSLATE(C587,""fr"",""en"")"),"I am Furax, I do an online scooter contract at noon, I pay by CB the amount it is asked for me and nothing, no confirmation email; I call an incalculable number of times the sales department which repeats me it will happen and nothing; At 7:15 p.m. I remi"&amp;"nd you and ask for the administrative service which asks me to transfer the payment ticket to the Euroassurance email (which payment ticket comes from their home, the Compta service, a shame !!!!!) and that tomorrow in the day I would receive this famous "&amp;"email; results: no insurance for my son who has to go to school with tomorrow Thursday, April 4, 2019")</f>
        <v>I am Furax, I do an online scooter contract at noon, I pay by CB the amount it is asked for me and nothing, no confirmation email; I call an incalculable number of times the sales department which repeats me it will happen and nothing; At 7:15 p.m. I remind you and ask for the administrative service which asks me to transfer the payment ticket to the Euroassurance email (which payment ticket comes from their home, the Compta service, a shame !!!!!) and that tomorrow in the day I would receive this famous email; results: no insurance for my son who has to go to school with tomorrow Thursday, April 4, 2019</v>
      </c>
    </row>
    <row r="588" ht="15.75" customHeight="1">
      <c r="A588" s="2">
        <v>1.0</v>
      </c>
      <c r="B588" s="2" t="s">
        <v>1699</v>
      </c>
      <c r="C588" s="2" t="s">
        <v>1700</v>
      </c>
      <c r="D588" s="2" t="s">
        <v>37</v>
      </c>
      <c r="E588" s="2" t="s">
        <v>14</v>
      </c>
      <c r="F588" s="2" t="s">
        <v>15</v>
      </c>
      <c r="G588" s="2" t="s">
        <v>1701</v>
      </c>
      <c r="H588" s="2" t="s">
        <v>201</v>
      </c>
      <c r="I588" s="2" t="str">
        <f>IFERROR(__xludf.DUMMYFUNCTION("GOOGLETRANSLATE(C588,""fr"",""en"")"),"They are more expensive than an insurance firm that have more expenses
Attention Make several quotes !!!!
They took me money from several arguments ... ??")</f>
        <v>They are more expensive than an insurance firm that have more expenses
Attention Make several quotes !!!!
They took me money from several arguments ... ??</v>
      </c>
    </row>
    <row r="589" ht="15.75" customHeight="1">
      <c r="A589" s="2">
        <v>2.0</v>
      </c>
      <c r="B589" s="2" t="s">
        <v>1702</v>
      </c>
      <c r="C589" s="2" t="s">
        <v>1703</v>
      </c>
      <c r="D589" s="2" t="s">
        <v>13</v>
      </c>
      <c r="E589" s="2" t="s">
        <v>14</v>
      </c>
      <c r="F589" s="2" t="s">
        <v>15</v>
      </c>
      <c r="G589" s="2" t="s">
        <v>1704</v>
      </c>
      <c r="H589" s="2" t="s">
        <v>34</v>
      </c>
      <c r="I589" s="2" t="str">
        <f>IFERROR(__xludf.DUMMYFUNCTION("GOOGLETRANSLATE(C589,""fr"",""en"")"),"Very bad insurance, in direct connection with their expert, and the slightest case, you will be sure not to be compensated. It does not deserve the function of insurer. Now I understand the prices better to attract the customer but at the slightest proble"&amp;"m there is no one, in addition to agencies it is empty.
I hope their company is taken up by a real insurer.
")</f>
        <v>Very bad insurance, in direct connection with their expert, and the slightest case, you will be sure not to be compensated. It does not deserve the function of insurer. Now I understand the prices better to attract the customer but at the slightest problem there is no one, in addition to agencies it is empty.
I hope their company is taken up by a real insurer.
</v>
      </c>
    </row>
    <row r="590" ht="15.75" customHeight="1">
      <c r="A590" s="2">
        <v>1.0</v>
      </c>
      <c r="B590" s="2" t="s">
        <v>1705</v>
      </c>
      <c r="C590" s="2" t="s">
        <v>1706</v>
      </c>
      <c r="D590" s="2" t="s">
        <v>204</v>
      </c>
      <c r="E590" s="2" t="s">
        <v>81</v>
      </c>
      <c r="F590" s="2" t="s">
        <v>15</v>
      </c>
      <c r="G590" s="2" t="s">
        <v>1707</v>
      </c>
      <c r="H590" s="2" t="s">
        <v>677</v>
      </c>
      <c r="I590" s="2" t="str">
        <f>IFERROR(__xludf.DUMMYFUNCTION("GOOGLETRANSLATE(C590,""fr"",""en"")"),"Hello,
I will complain about the provident interior services. Indeed, I have been part -time therapeutic since April 1, 2019 with loss of premiums up to 60%. At the end of May, this part of bonuses was removed for the two months. On June 14 I send the "&amp;"file that I was sent by email with all the documents claimed. On June 28, I call them since it was that after 10 days my file would be processed. There a lady tells me that they wrote to me on June 24 to ask me for orders ???? I therefore call my regional"&amp;" administrative service which tells me that I am not in long duration or long illness so no decree. I recall interior where another person tells me that we are not in the right file that they sent me that of wage maintenance !!! We therefore start again a"&amp;"nd on June 28 I send them my file with the supporting documents claimed on this print. On July 3, a person in the provident calls me and leaves me a voice message to claim me I don't know what I did not understand, she talks to me about the date of my ini"&amp;"tial judgment, of my day In short, I don't understand anything. Obviously we cannot recall we have to go through the interior standard, and I am told that we understand, that we bring back the information so that this manager reminds me. Since nothing, ap"&amp;"art from my 4 calls to revive and where I am always the same speech nothing so I don't know what she wants and I expect the payment of my premiums. But who we laugh at, we pay our contributions that yes they collect but in return you can always wait. What"&amp;" is this work? So when we are sick we are not going on vacation and yes I am waiting for this amount to pay the rest of my stay I say to my husband and my son we do not go because you are lucky a woman and mother sick And without the money to leave (my bo"&amp;"nuses are part of part to pay our vacation!) So we are not entitled. But what a stress thank you to help us get better.
What exactly is to be done to be recalled or for our file to be processed notify social services, consumer associations? Long live the"&amp;" disease !!!")</f>
        <v>Hello,
I will complain about the provident interior services. Indeed, I have been part -time therapeutic since April 1, 2019 with loss of premiums up to 60%. At the end of May, this part of bonuses was removed for the two months. On June 14 I send the file that I was sent by email with all the documents claimed. On June 28, I call them since it was that after 10 days my file would be processed. There a lady tells me that they wrote to me on June 24 to ask me for orders ???? I therefore call my regional administrative service which tells me that I am not in long duration or long illness so no decree. I recall interior where another person tells me that we are not in the right file that they sent me that of wage maintenance !!! We therefore start again and on June 28 I send them my file with the supporting documents claimed on this print. On July 3, a person in the provident calls me and leaves me a voice message to claim me I don't know what I did not understand, she talks to me about the date of my initial judgment, of my day In short, I don't understand anything. Obviously we cannot recall we have to go through the interior standard, and I am told that we understand, that we bring back the information so that this manager reminds me. Since nothing, apart from my 4 calls to revive and where I am always the same speech nothing so I don't know what she wants and I expect the payment of my premiums. But who we laugh at, we pay our contributions that yes they collect but in return you can always wait. What is this work? So when we are sick we are not going on vacation and yes I am waiting for this amount to pay the rest of my stay I say to my husband and my son we do not go because you are lucky a woman and mother sick And without the money to leave (my bonuses are part of part to pay our vacation!) So we are not entitled. But what a stress thank you to help us get better.
What exactly is to be done to be recalled or for our file to be processed notify social services, consumer associations? Long live the disease !!!</v>
      </c>
    </row>
    <row r="591" ht="15.75" customHeight="1">
      <c r="A591" s="2">
        <v>1.0</v>
      </c>
      <c r="B591" s="2" t="s">
        <v>1708</v>
      </c>
      <c r="C591" s="2" t="s">
        <v>1709</v>
      </c>
      <c r="D591" s="2" t="s">
        <v>101</v>
      </c>
      <c r="E591" s="2" t="s">
        <v>14</v>
      </c>
      <c r="F591" s="2" t="s">
        <v>15</v>
      </c>
      <c r="G591" s="2" t="s">
        <v>383</v>
      </c>
      <c r="H591" s="2" t="s">
        <v>67</v>
      </c>
      <c r="I591" s="2" t="str">
        <f>IFERROR(__xludf.DUMMYFUNCTION("GOOGLETRANSLATE(C591,""fr"",""en"")"),"Absolutely flee this insurer!
-Pas of taking into account the recommended to terminate contracts.
-45 min of waiting at the standard to have an agent who reassures without ever doing anything.
-The samples never stop, opposition is ultimately the only "&amp;"option.
-Is owe me 900 euros, no one responds either to letters, nor the complaints ...
-A shame for customers like us who have never requested the slightest assistance.
")</f>
        <v>Absolutely flee this insurer!
-Pas of taking into account the recommended to terminate contracts.
-45 min of waiting at the standard to have an agent who reassures without ever doing anything.
-The samples never stop, opposition is ultimately the only option.
-Is owe me 900 euros, no one responds either to letters, nor the complaints ...
-A shame for customers like us who have never requested the slightest assistance.
</v>
      </c>
    </row>
    <row r="592" ht="15.75" customHeight="1">
      <c r="A592" s="2">
        <v>4.0</v>
      </c>
      <c r="B592" s="2" t="s">
        <v>1710</v>
      </c>
      <c r="C592" s="2" t="s">
        <v>1711</v>
      </c>
      <c r="D592" s="2" t="s">
        <v>37</v>
      </c>
      <c r="E592" s="2" t="s">
        <v>14</v>
      </c>
      <c r="F592" s="2" t="s">
        <v>15</v>
      </c>
      <c r="G592" s="2" t="s">
        <v>327</v>
      </c>
      <c r="H592" s="2" t="s">
        <v>111</v>
      </c>
      <c r="I592" s="2" t="str">
        <f>IFERROR(__xludf.DUMMYFUNCTION("GOOGLETRANSLATE(C592,""fr"",""en"")"),"I am satisfied with the service.
I was very well advised by an agent on the phone. This one took the time to listen to me to offer me an auto insurance offer which best suits my needs. He did not try to force the subscription, which I really appreciate.")</f>
        <v>I am satisfied with the service.
I was very well advised by an agent on the phone. This one took the time to listen to me to offer me an auto insurance offer which best suits my needs. He did not try to force the subscription, which I really appreciate.</v>
      </c>
    </row>
    <row r="593" ht="15.75" customHeight="1">
      <c r="A593" s="2">
        <v>4.0</v>
      </c>
      <c r="B593" s="2" t="s">
        <v>1712</v>
      </c>
      <c r="C593" s="2" t="s">
        <v>1713</v>
      </c>
      <c r="D593" s="2" t="s">
        <v>75</v>
      </c>
      <c r="E593" s="2" t="s">
        <v>14</v>
      </c>
      <c r="F593" s="2" t="s">
        <v>15</v>
      </c>
      <c r="G593" s="2" t="s">
        <v>974</v>
      </c>
      <c r="H593" s="2" t="s">
        <v>98</v>
      </c>
      <c r="I593" s="2" t="str">
        <f>IFERROR(__xludf.DUMMYFUNCTION("GOOGLETRANSLATE(C593,""fr"",""en"")"),"I am satisfied with the services in general, the site which is clear and functional. However, the prices are no longer as competitive as at the start, they compare themselves roughly to other companies. Treatment of clear and fast claims.")</f>
        <v>I am satisfied with the services in general, the site which is clear and functional. However, the prices are no longer as competitive as at the start, they compare themselves roughly to other companies. Treatment of clear and fast claims.</v>
      </c>
    </row>
    <row r="594" ht="15.75" customHeight="1">
      <c r="A594" s="2">
        <v>1.0</v>
      </c>
      <c r="B594" s="2" t="s">
        <v>1714</v>
      </c>
      <c r="C594" s="2" t="s">
        <v>1715</v>
      </c>
      <c r="D594" s="2" t="s">
        <v>75</v>
      </c>
      <c r="E594" s="2" t="s">
        <v>14</v>
      </c>
      <c r="F594" s="2" t="s">
        <v>15</v>
      </c>
      <c r="G594" s="2" t="s">
        <v>192</v>
      </c>
      <c r="H594" s="2" t="s">
        <v>193</v>
      </c>
      <c r="I594" s="2" t="str">
        <f>IFERROR(__xludf.DUMMYFUNCTION("GOOGLETRANSLATE(C594,""fr"",""en"")"),"Impossible to reach a customer advisor, 30 minutes of waiting and always no answers I can guarantee you that I will terminate all the contracts")</f>
        <v>Impossible to reach a customer advisor, 30 minutes of waiting and always no answers I can guarantee you that I will terminate all the contracts</v>
      </c>
    </row>
    <row r="595" ht="15.75" customHeight="1">
      <c r="A595" s="2">
        <v>2.0</v>
      </c>
      <c r="B595" s="2" t="s">
        <v>1716</v>
      </c>
      <c r="C595" s="2" t="s">
        <v>1717</v>
      </c>
      <c r="D595" s="2" t="s">
        <v>101</v>
      </c>
      <c r="E595" s="2" t="s">
        <v>21</v>
      </c>
      <c r="F595" s="2" t="s">
        <v>15</v>
      </c>
      <c r="G595" s="2" t="s">
        <v>1718</v>
      </c>
      <c r="H595" s="2" t="s">
        <v>201</v>
      </c>
      <c r="I595" s="2" t="str">
        <f>IFERROR(__xludf.DUMMYFUNCTION("GOOGLETRANSLATE(C595,""fr"",""en"")"),"To summarize the loss management = 0 !! You have to pay insurance but do not wait for anything in return if you undergo a disaster for which you are not responsible! Since May 2019, following a breaking of pipeline on the public highway and leading to a s"&amp;"ubsidence of our home, no evolution on our file! Financial battle with opposing insurance, no consideration for us, victims, important material and moral prejudices and if we do not revive, the months, the years go by and we are under ... my opinion left "&amp;"on their page on 22/01/ 2020 (Ekomi label!) Of course does not appear!")</f>
        <v>To summarize the loss management = 0 !! You have to pay insurance but do not wait for anything in return if you undergo a disaster for which you are not responsible! Since May 2019, following a breaking of pipeline on the public highway and leading to a subsidence of our home, no evolution on our file! Financial battle with opposing insurance, no consideration for us, victims, important material and moral prejudices and if we do not revive, the months, the years go by and we are under ... my opinion left on their page on 22/01/ 2020 (Ekomi label!) Of course does not appear!</v>
      </c>
    </row>
    <row r="596" ht="15.75" customHeight="1">
      <c r="A596" s="2">
        <v>5.0</v>
      </c>
      <c r="B596" s="2" t="s">
        <v>1719</v>
      </c>
      <c r="C596" s="2" t="s">
        <v>1720</v>
      </c>
      <c r="D596" s="2" t="s">
        <v>75</v>
      </c>
      <c r="E596" s="2" t="s">
        <v>14</v>
      </c>
      <c r="F596" s="2" t="s">
        <v>15</v>
      </c>
      <c r="G596" s="2" t="s">
        <v>860</v>
      </c>
      <c r="H596" s="2" t="s">
        <v>86</v>
      </c>
      <c r="I596" s="2" t="str">
        <f>IFERROR(__xludf.DUMMYFUNCTION("GOOGLETRANSLATE(C596,""fr"",""en"")"),"Very satisfactory and really great but super practical, very attractive low price for young unbeatable price permits I am really happy")</f>
        <v>Very satisfactory and really great but super practical, very attractive low price for young unbeatable price permits I am really happy</v>
      </c>
    </row>
    <row r="597" ht="15.75" customHeight="1">
      <c r="A597" s="2">
        <v>4.0</v>
      </c>
      <c r="B597" s="2" t="s">
        <v>1721</v>
      </c>
      <c r="C597" s="2" t="s">
        <v>1722</v>
      </c>
      <c r="D597" s="2" t="s">
        <v>75</v>
      </c>
      <c r="E597" s="2" t="s">
        <v>14</v>
      </c>
      <c r="F597" s="2" t="s">
        <v>15</v>
      </c>
      <c r="G597" s="2" t="s">
        <v>1723</v>
      </c>
      <c r="H597" s="2" t="s">
        <v>28</v>
      </c>
      <c r="I597" s="2" t="str">
        <f>IFERROR(__xludf.DUMMYFUNCTION("GOOGLETRANSLATE(C597,""fr"",""en"")"),"Simple and practical
Easy to take contract
CLEAR
Cheaper than other insurance and better in comparisons
Practical and easy application of use")</f>
        <v>Simple and practical
Easy to take contract
CLEAR
Cheaper than other insurance and better in comparisons
Practical and easy application of use</v>
      </c>
    </row>
    <row r="598" ht="15.75" customHeight="1">
      <c r="A598" s="2">
        <v>5.0</v>
      </c>
      <c r="B598" s="2" t="s">
        <v>1724</v>
      </c>
      <c r="C598" s="2" t="s">
        <v>1725</v>
      </c>
      <c r="D598" s="2" t="s">
        <v>37</v>
      </c>
      <c r="E598" s="2" t="s">
        <v>14</v>
      </c>
      <c r="F598" s="2" t="s">
        <v>15</v>
      </c>
      <c r="G598" s="2" t="s">
        <v>868</v>
      </c>
      <c r="H598" s="2" t="s">
        <v>107</v>
      </c>
      <c r="I598" s="2" t="str">
        <f>IFERROR(__xludf.DUMMYFUNCTION("GOOGLETRANSLATE(C598,""fr"",""en"")"),"2 excellent contacts with television-advisers. I hope they will be notified of this positive opinion as to their quality of listening in their work, in particular")</f>
        <v>2 excellent contacts with television-advisers. I hope they will be notified of this positive opinion as to their quality of listening in their work, in particular</v>
      </c>
    </row>
    <row r="599" ht="15.75" customHeight="1">
      <c r="A599" s="2">
        <v>2.0</v>
      </c>
      <c r="B599" s="2" t="s">
        <v>1726</v>
      </c>
      <c r="C599" s="2" t="s">
        <v>1727</v>
      </c>
      <c r="D599" s="2" t="s">
        <v>37</v>
      </c>
      <c r="E599" s="2" t="s">
        <v>14</v>
      </c>
      <c r="F599" s="2" t="s">
        <v>15</v>
      </c>
      <c r="G599" s="2" t="s">
        <v>1728</v>
      </c>
      <c r="H599" s="2" t="s">
        <v>28</v>
      </c>
      <c r="I599" s="2" t="str">
        <f>IFERROR(__xludf.DUMMYFUNCTION("GOOGLETRANSLATE(C599,""fr"",""en"")"),"Fast, efficient. Waiting to see what this insurance gives in the event of a claim. The price included a lot of coverage but it remains expensive. Customer service is very pleasant.")</f>
        <v>Fast, efficient. Waiting to see what this insurance gives in the event of a claim. The price included a lot of coverage but it remains expensive. Customer service is very pleasant.</v>
      </c>
    </row>
    <row r="600" ht="15.75" customHeight="1">
      <c r="A600" s="2">
        <v>1.0</v>
      </c>
      <c r="B600" s="2" t="s">
        <v>1729</v>
      </c>
      <c r="C600" s="2" t="s">
        <v>1730</v>
      </c>
      <c r="D600" s="2" t="s">
        <v>101</v>
      </c>
      <c r="E600" s="2" t="s">
        <v>81</v>
      </c>
      <c r="F600" s="2" t="s">
        <v>15</v>
      </c>
      <c r="G600" s="2" t="s">
        <v>1731</v>
      </c>
      <c r="H600" s="2" t="s">
        <v>331</v>
      </c>
      <c r="I600" s="2" t="str">
        <f>IFERROR(__xludf.DUMMYFUNCTION("GOOGLETRANSLATE(C600,""fr"",""en"")"),"Allianz/Unim is to be completely fleeing. Unim is for health professionals, you contribute to more than 150 € per month, as long as you pay without asking anything, everything is fine in the best of worlds until the day you are on sick leave. After 2 mont"&amp;"hs of waiting and multiple telephone reminders - because they do not even bother to respond to emails - you are told that your file is processed by the advice doctor and that your allowances will be released .... Not always seeing anything happening, I co"&amp;"ntact Unim and I learn that my file is always blocked because they decide to make you pass an expertise ""Ah yes but you know you are new member (more than 1 year of seniority) , you could make false declarations to have a sick leave ""so in summary, we a"&amp;"re potential power liars, we must now wait for an appointment with an expert (on average 2 months of waiting) during this time, Unim does not pay ... Hats off guys, change nothing you're at the top!")</f>
        <v>Allianz/Unim is to be completely fleeing. Unim is for health professionals, you contribute to more than 150 € per month, as long as you pay without asking anything, everything is fine in the best of worlds until the day you are on sick leave. After 2 months of waiting and multiple telephone reminders - because they do not even bother to respond to emails - you are told that your file is processed by the advice doctor and that your allowances will be released .... Not always seeing anything happening, I contact Unim and I learn that my file is always blocked because they decide to make you pass an expertise "Ah yes but you know you are new member (more than 1 year of seniority) , you could make false declarations to have a sick leave "so in summary, we are potential power liars, we must now wait for an appointment with an expert (on average 2 months of waiting) during this time, Unim does not pay ... Hats off guys, change nothing you're at the top!</v>
      </c>
    </row>
    <row r="601" ht="15.75" customHeight="1">
      <c r="A601" s="2">
        <v>3.0</v>
      </c>
      <c r="B601" s="2" t="s">
        <v>1732</v>
      </c>
      <c r="C601" s="2" t="s">
        <v>1733</v>
      </c>
      <c r="D601" s="2" t="s">
        <v>204</v>
      </c>
      <c r="E601" s="2" t="s">
        <v>81</v>
      </c>
      <c r="F601" s="2" t="s">
        <v>15</v>
      </c>
      <c r="G601" s="2" t="s">
        <v>1734</v>
      </c>
      <c r="H601" s="2" t="s">
        <v>201</v>
      </c>
      <c r="I601" s="2" t="str">
        <f>IFERROR(__xludf.DUMMYFUNCTION("GOOGLETRANSLATE(C601,""fr"",""en"")"),"Hello,
I am currently in a situation which seems to be the same as certain members ... on ordinary sick leave pdt 1 year since January 26, 2020, I resume my professional activity. January 25, 2021. Provident reimbursements stop in October 2020. Interior "&amp;"sends a medical form that has been recorded and since nothing. Apart from the contributions of the mutual benefit from my half treatment, up to € 222.94 monthly, and my 33 -year -old seniority, I do not receive any salary maintenance or bonuses, the rest "&amp;"to live is below The disabled adult allowance .. and this PDT the holiday season in addition, inadmissible therefore!
I wish to support members who live the same situation, I think I will resume my activity and that I will not always be compensated ... T"&amp;"o be continued ...")</f>
        <v>Hello,
I am currently in a situation which seems to be the same as certain members ... on ordinary sick leave pdt 1 year since January 26, 2020, I resume my professional activity. January 25, 2021. Provident reimbursements stop in October 2020. Interior sends a medical form that has been recorded and since nothing. Apart from the contributions of the mutual benefit from my half treatment, up to € 222.94 monthly, and my 33 -year -old seniority, I do not receive any salary maintenance or bonuses, the rest to live is below The disabled adult allowance .. and this PDT the holiday season in addition, inadmissible therefore!
I wish to support members who live the same situation, I think I will resume my activity and that I will not always be compensated ... To be continued ...</v>
      </c>
    </row>
    <row r="602" ht="15.75" customHeight="1">
      <c r="A602" s="2">
        <v>5.0</v>
      </c>
      <c r="B602" s="2" t="s">
        <v>1735</v>
      </c>
      <c r="C602" s="2" t="s">
        <v>1736</v>
      </c>
      <c r="D602" s="2" t="s">
        <v>75</v>
      </c>
      <c r="E602" s="2" t="s">
        <v>14</v>
      </c>
      <c r="F602" s="2" t="s">
        <v>15</v>
      </c>
      <c r="G602" s="2" t="s">
        <v>1737</v>
      </c>
      <c r="H602" s="2" t="s">
        <v>193</v>
      </c>
      <c r="I602" s="2" t="str">
        <f>IFERROR(__xludf.DUMMYFUNCTION("GOOGLETRANSLATE(C602,""fr"",""en"")"),"Reactive in any situation and easily reachable, the processing of files is rapid. I advise direct insurance around me. NOTHING TO ADD")</f>
        <v>Reactive in any situation and easily reachable, the processing of files is rapid. I advise direct insurance around me. NOTHING TO ADD</v>
      </c>
    </row>
    <row r="603" ht="15.75" customHeight="1">
      <c r="A603" s="2">
        <v>5.0</v>
      </c>
      <c r="B603" s="2" t="s">
        <v>1738</v>
      </c>
      <c r="C603" s="2" t="s">
        <v>1739</v>
      </c>
      <c r="D603" s="2" t="s">
        <v>37</v>
      </c>
      <c r="E603" s="2" t="s">
        <v>14</v>
      </c>
      <c r="F603" s="2" t="s">
        <v>15</v>
      </c>
      <c r="G603" s="2" t="s">
        <v>772</v>
      </c>
      <c r="H603" s="2" t="s">
        <v>28</v>
      </c>
      <c r="I603" s="2" t="str">
        <f>IFERROR(__xludf.DUMMYFUNCTION("GOOGLETRANSLATE(C603,""fr"",""en"")"),"The site is very simple and the prices are interesting, the person I had on the very pleasant phone and explained my insurance contract to me and the sections to follow")</f>
        <v>The site is very simple and the prices are interesting, the person I had on the very pleasant phone and explained my insurance contract to me and the sections to follow</v>
      </c>
    </row>
    <row r="604" ht="15.75" customHeight="1">
      <c r="A604" s="2">
        <v>3.0</v>
      </c>
      <c r="B604" s="2" t="s">
        <v>1740</v>
      </c>
      <c r="C604" s="2" t="s">
        <v>1741</v>
      </c>
      <c r="D604" s="2" t="s">
        <v>75</v>
      </c>
      <c r="E604" s="2" t="s">
        <v>14</v>
      </c>
      <c r="F604" s="2" t="s">
        <v>15</v>
      </c>
      <c r="G604" s="2" t="s">
        <v>1742</v>
      </c>
      <c r="H604" s="2" t="s">
        <v>34</v>
      </c>
      <c r="I604" s="2" t="str">
        <f>IFERROR(__xludf.DUMMYFUNCTION("GOOGLETRANSLATE(C604,""fr"",""en"")"),"Attractive insurance in the first year but which increases very quickly in the following years without valid reason
I phoned the insurance I was told that he was transmitting to the headquarters")</f>
        <v>Attractive insurance in the first year but which increases very quickly in the following years without valid reason
I phoned the insurance I was told that he was transmitting to the headquarters</v>
      </c>
    </row>
    <row r="605" ht="15.75" customHeight="1">
      <c r="A605" s="2">
        <v>3.0</v>
      </c>
      <c r="B605" s="2" t="s">
        <v>1743</v>
      </c>
      <c r="C605" s="2" t="s">
        <v>1744</v>
      </c>
      <c r="D605" s="2" t="s">
        <v>70</v>
      </c>
      <c r="E605" s="2" t="s">
        <v>14</v>
      </c>
      <c r="F605" s="2" t="s">
        <v>15</v>
      </c>
      <c r="G605" s="2" t="s">
        <v>1745</v>
      </c>
      <c r="H605" s="2" t="s">
        <v>28</v>
      </c>
      <c r="I605" s="2" t="str">
        <f>IFERROR(__xludf.DUMMYFUNCTION("GOOGLETRANSLATE(C605,""fr"",""en"")"),"SESTIFICATE OF THE DOSSIER DOSION AND THE REPRITY OF MY INTERLOCUTERS, I nevertheless remain disappointed with the prices charged with regard to our seniority at GMF")</f>
        <v>SESTIFICATE OF THE DOSSIER DOSION AND THE REPRITY OF MY INTERLOCUTERS, I nevertheless remain disappointed with the prices charged with regard to our seniority at GMF</v>
      </c>
    </row>
    <row r="606" ht="15.75" customHeight="1">
      <c r="A606" s="2">
        <v>5.0</v>
      </c>
      <c r="B606" s="2" t="s">
        <v>1746</v>
      </c>
      <c r="C606" s="2" t="s">
        <v>1747</v>
      </c>
      <c r="D606" s="2" t="s">
        <v>75</v>
      </c>
      <c r="E606" s="2" t="s">
        <v>14</v>
      </c>
      <c r="F606" s="2" t="s">
        <v>15</v>
      </c>
      <c r="G606" s="2" t="s">
        <v>653</v>
      </c>
      <c r="H606" s="2" t="s">
        <v>107</v>
      </c>
      <c r="I606" s="2" t="str">
        <f>IFERROR(__xludf.DUMMYFUNCTION("GOOGLETRANSLATE(C606,""fr"",""en"")"),"I am satisfied with the contract because it takes care of all claims. When I compare to other direct insurance insured is the cheapest, the reception of people on the phone is clear and serious. I am delighted with the option of the mileage box for a refu"&amp;"nd in the event of good driving. Thank you")</f>
        <v>I am satisfied with the contract because it takes care of all claims. When I compare to other direct insurance insured is the cheapest, the reception of people on the phone is clear and serious. I am delighted with the option of the mileage box for a refund in the event of good driving. Thank you</v>
      </c>
    </row>
    <row r="607" ht="15.75" customHeight="1">
      <c r="A607" s="2">
        <v>1.0</v>
      </c>
      <c r="B607" s="2" t="s">
        <v>1748</v>
      </c>
      <c r="C607" s="2" t="s">
        <v>1749</v>
      </c>
      <c r="D607" s="2" t="s">
        <v>70</v>
      </c>
      <c r="E607" s="2" t="s">
        <v>21</v>
      </c>
      <c r="F607" s="2" t="s">
        <v>15</v>
      </c>
      <c r="G607" s="2" t="s">
        <v>1750</v>
      </c>
      <c r="H607" s="2" t="s">
        <v>44</v>
      </c>
      <c r="I607" s="2" t="str">
        <f>IFERROR(__xludf.DUMMYFUNCTION("GOOGLETRANSLATE(C607,""fr"",""en"")"),"If you are looking for an insurer do not take this one ... To an unhappy customer who remains polite they hang up on you ... lamentable")</f>
        <v>If you are looking for an insurer do not take this one ... To an unhappy customer who remains polite they hang up on you ... lamentable</v>
      </c>
    </row>
    <row r="608" ht="15.75" customHeight="1">
      <c r="A608" s="2">
        <v>5.0</v>
      </c>
      <c r="B608" s="2" t="s">
        <v>1751</v>
      </c>
      <c r="C608" s="2" t="s">
        <v>1752</v>
      </c>
      <c r="D608" s="2" t="s">
        <v>199</v>
      </c>
      <c r="E608" s="2" t="s">
        <v>32</v>
      </c>
      <c r="F608" s="2" t="s">
        <v>15</v>
      </c>
      <c r="G608" s="2" t="s">
        <v>1753</v>
      </c>
      <c r="H608" s="2" t="s">
        <v>784</v>
      </c>
      <c r="I608" s="2" t="str">
        <f>IFERROR(__xludf.DUMMYFUNCTION("GOOGLETRANSLATE(C608,""fr"",""en"")"),"Well advised, everything happens as agreed. My advisor, broker does the necessary on my file.
You can subscribe, you will not have a surprise. Cegema, has the 100% healthy, surprising contract, is the first in France! In the top !!")</f>
        <v>Well advised, everything happens as agreed. My advisor, broker does the necessary on my file.
You can subscribe, you will not have a surprise. Cegema, has the 100% healthy, surprising contract, is the first in France! In the top !!</v>
      </c>
    </row>
    <row r="609" ht="15.75" customHeight="1">
      <c r="A609" s="2">
        <v>2.0</v>
      </c>
      <c r="B609" s="2" t="s">
        <v>1754</v>
      </c>
      <c r="C609" s="2" t="s">
        <v>1755</v>
      </c>
      <c r="D609" s="2" t="s">
        <v>242</v>
      </c>
      <c r="E609" s="2" t="s">
        <v>14</v>
      </c>
      <c r="F609" s="2" t="s">
        <v>15</v>
      </c>
      <c r="G609" s="2" t="s">
        <v>1756</v>
      </c>
      <c r="H609" s="2" t="s">
        <v>155</v>
      </c>
      <c r="I609" s="2" t="str">
        <f>IFERROR(__xludf.DUMMYFUNCTION("GOOGLETRANSLATE(C609,""fr"",""en"")"),"Hello,
My customer number is 269681. I communicated all the docs necessary for the constitution of the file (C also indicated on my customer area) my file being complete, I do not understand why we continue to relaunch me by Mail or SMS and why I am not "&amp;"sending me the final green card while the annual subscription has been fully set. I'm seriously starting to worry.")</f>
        <v>Hello,
My customer number is 269681. I communicated all the docs necessary for the constitution of the file (C also indicated on my customer area) my file being complete, I do not understand why we continue to relaunch me by Mail or SMS and why I am not sending me the final green card while the annual subscription has been fully set. I'm seriously starting to worry.</v>
      </c>
    </row>
    <row r="610" ht="15.75" customHeight="1">
      <c r="A610" s="2">
        <v>5.0</v>
      </c>
      <c r="B610" s="2" t="s">
        <v>1757</v>
      </c>
      <c r="C610" s="2" t="s">
        <v>1758</v>
      </c>
      <c r="D610" s="2" t="s">
        <v>37</v>
      </c>
      <c r="E610" s="2" t="s">
        <v>14</v>
      </c>
      <c r="F610" s="2" t="s">
        <v>15</v>
      </c>
      <c r="G610" s="2" t="s">
        <v>1759</v>
      </c>
      <c r="H610" s="2" t="s">
        <v>111</v>
      </c>
      <c r="I610" s="2" t="str">
        <f>IFERROR(__xludf.DUMMYFUNCTION("GOOGLETRANSLATE(C610,""fr"",""en"")"),"I am satisfied with my car insurance contract and their prices and services
I finalize my registration and a big thank you for your responsiveness")</f>
        <v>I am satisfied with my car insurance contract and their prices and services
I finalize my registration and a big thank you for your responsiveness</v>
      </c>
    </row>
    <row r="611" ht="15.75" customHeight="1">
      <c r="A611" s="2">
        <v>5.0</v>
      </c>
      <c r="B611" s="2" t="s">
        <v>1760</v>
      </c>
      <c r="C611" s="2" t="s">
        <v>1761</v>
      </c>
      <c r="D611" s="2" t="s">
        <v>37</v>
      </c>
      <c r="E611" s="2" t="s">
        <v>14</v>
      </c>
      <c r="F611" s="2" t="s">
        <v>15</v>
      </c>
      <c r="G611" s="2" t="s">
        <v>1526</v>
      </c>
      <c r="H611" s="2" t="s">
        <v>98</v>
      </c>
      <c r="I611" s="2" t="str">
        <f>IFERROR(__xludf.DUMMYFUNCTION("GOOGLETRANSLATE(C611,""fr"",""en"")"),"I am very satisfied with the service offered by Lolivier Insurance. The price suits me perfectly and the procedure was very fast, without difficulty and with insurance valid immediately.")</f>
        <v>I am very satisfied with the service offered by Lolivier Insurance. The price suits me perfectly and the procedure was very fast, without difficulty and with insurance valid immediately.</v>
      </c>
    </row>
    <row r="612" ht="15.75" customHeight="1">
      <c r="A612" s="2">
        <v>1.0</v>
      </c>
      <c r="B612" s="2" t="s">
        <v>1762</v>
      </c>
      <c r="C612" s="2" t="s">
        <v>1763</v>
      </c>
      <c r="D612" s="2" t="s">
        <v>37</v>
      </c>
      <c r="E612" s="2" t="s">
        <v>14</v>
      </c>
      <c r="F612" s="2" t="s">
        <v>15</v>
      </c>
      <c r="G612" s="2" t="s">
        <v>1764</v>
      </c>
      <c r="H612" s="2" t="s">
        <v>335</v>
      </c>
      <c r="I612" s="2" t="str">
        <f>IFERROR(__xludf.DUMMYFUNCTION("GOOGLETRANSLATE(C612,""fr"",""en"")"),"Flee this company that put me in a shit not possible. Insured in any risk and with more options paid (2,700 euros!) Sinister in November 2018. No news until February on the eve of recaping my vehicle finally repaired. During these 3 months Zero Contact, Z"&amp;"ero Info, I had to debute myself.
Finally they found the little beast a fine to refuse care. Result: 14,000 euros paid for my apple. A real bogus system that makes you believe that you are assured and in any risk with option (2,700 euros per year!).")</f>
        <v>Flee this company that put me in a shit not possible. Insured in any risk and with more options paid (2,700 euros!) Sinister in November 2018. No news until February on the eve of recaping my vehicle finally repaired. During these 3 months Zero Contact, Zero Info, I had to debute myself.
Finally they found the little beast a fine to refuse care. Result: 14,000 euros paid for my apple. A real bogus system that makes you believe that you are assured and in any risk with option (2,700 euros per year!).</v>
      </c>
    </row>
    <row r="613" ht="15.75" customHeight="1">
      <c r="A613" s="2">
        <v>3.0</v>
      </c>
      <c r="B613" s="2" t="s">
        <v>1765</v>
      </c>
      <c r="C613" s="2" t="s">
        <v>1766</v>
      </c>
      <c r="D613" s="2" t="s">
        <v>247</v>
      </c>
      <c r="E613" s="2" t="s">
        <v>32</v>
      </c>
      <c r="F613" s="2" t="s">
        <v>15</v>
      </c>
      <c r="G613" s="2" t="s">
        <v>1767</v>
      </c>
      <c r="H613" s="2" t="s">
        <v>132</v>
      </c>
      <c r="I613" s="2" t="str">
        <f>IFERROR(__xludf.DUMMYFUNCTION("GOOGLETRANSLATE(C613,""fr"",""en"")"),"Hello, Very bad start with this mutual, my partner has taken out a contract on April 1, to date no mutual, but he takes contributions every month.")</f>
        <v>Hello, Very bad start with this mutual, my partner has taken out a contract on April 1, to date no mutual, but he takes contributions every month.</v>
      </c>
    </row>
    <row r="614" ht="15.75" customHeight="1">
      <c r="A614" s="2">
        <v>3.0</v>
      </c>
      <c r="B614" s="2" t="s">
        <v>1768</v>
      </c>
      <c r="C614" s="2" t="s">
        <v>1769</v>
      </c>
      <c r="D614" s="2" t="s">
        <v>247</v>
      </c>
      <c r="E614" s="2" t="s">
        <v>32</v>
      </c>
      <c r="F614" s="2" t="s">
        <v>15</v>
      </c>
      <c r="G614" s="2" t="s">
        <v>1770</v>
      </c>
      <c r="H614" s="2" t="s">
        <v>98</v>
      </c>
      <c r="I614" s="2" t="str">
        <f>IFERROR(__xludf.DUMMYFUNCTION("GOOGLETRANSLATE(C614,""fr"",""en"")"),"Hello I am at Harmonie Mutuelle on the agency of Clermont FD: very welcome at the agency and very pleasant staff but on a taxi refund at the exit of the hospital I was not reimbursed.
The mutual insurance company tells me that the money was given to the "&amp;"taxi live but yes ........ it must be paid and despite the papers returned and very zero reimbursement !!!!!!!!
When I pay the doctor it's live and not on credit !!!!!!!
shame")</f>
        <v>Hello I am at Harmonie Mutuelle on the agency of Clermont FD: very welcome at the agency and very pleasant staff but on a taxi refund at the exit of the hospital I was not reimbursed.
The mutual insurance company tells me that the money was given to the taxi live but yes ........ it must be paid and despite the papers returned and very zero reimbursement !!!!!!!!
When I pay the doctor it's live and not on credit !!!!!!!
shame</v>
      </c>
    </row>
    <row r="615" ht="15.75" customHeight="1">
      <c r="A615" s="2">
        <v>5.0</v>
      </c>
      <c r="B615" s="2" t="s">
        <v>1771</v>
      </c>
      <c r="C615" s="2" t="s">
        <v>1772</v>
      </c>
      <c r="D615" s="2" t="s">
        <v>846</v>
      </c>
      <c r="E615" s="2" t="s">
        <v>153</v>
      </c>
      <c r="F615" s="2" t="s">
        <v>15</v>
      </c>
      <c r="G615" s="2" t="s">
        <v>1773</v>
      </c>
      <c r="H615" s="2" t="s">
        <v>34</v>
      </c>
      <c r="I615" s="2" t="str">
        <f>IFERROR(__xludf.DUMMYFUNCTION("GOOGLETRANSLATE(C615,""fr"",""en"")"),"Frankly of extreme simplicity, I should even have started with them, I would have saved precious time ... Don't hesitate, I had competent and very kind people.")</f>
        <v>Frankly of extreme simplicity, I should even have started with them, I would have saved precious time ... Don't hesitate, I had competent and very kind people.</v>
      </c>
    </row>
    <row r="616" ht="15.75" customHeight="1">
      <c r="A616" s="2">
        <v>5.0</v>
      </c>
      <c r="B616" s="2" t="s">
        <v>1774</v>
      </c>
      <c r="C616" s="2" t="s">
        <v>1775</v>
      </c>
      <c r="D616" s="2" t="s">
        <v>20</v>
      </c>
      <c r="E616" s="2" t="s">
        <v>21</v>
      </c>
      <c r="F616" s="2" t="s">
        <v>15</v>
      </c>
      <c r="G616" s="2" t="s">
        <v>1776</v>
      </c>
      <c r="H616" s="2" t="s">
        <v>61</v>
      </c>
      <c r="I616" s="2" t="str">
        <f>IFERROR(__xludf.DUMMYFUNCTION("GOOGLETRANSLATE(C616,""fr"",""en"")"),"I can tell you that Groupama has solid kidneys and is confidence assurance! The legal service works continuously and is of very good quality, they are professional people, it is like when you buy a device, the after -sales service counts as much if not mo"&amp;"re than
Insurance! Mrs. Baudou CAUSSADE 82300")</f>
        <v>I can tell you that Groupama has solid kidneys and is confidence assurance! The legal service works continuously and is of very good quality, they are professional people, it is like when you buy a device, the after -sales service counts as much if not more than
Insurance! Mrs. Baudou CAUSSADE 82300</v>
      </c>
    </row>
    <row r="617" ht="15.75" customHeight="1">
      <c r="A617" s="2">
        <v>1.0</v>
      </c>
      <c r="B617" s="2" t="s">
        <v>1777</v>
      </c>
      <c r="C617" s="2" t="s">
        <v>1778</v>
      </c>
      <c r="D617" s="2" t="s">
        <v>158</v>
      </c>
      <c r="E617" s="2" t="s">
        <v>21</v>
      </c>
      <c r="F617" s="2" t="s">
        <v>15</v>
      </c>
      <c r="G617" s="2" t="s">
        <v>689</v>
      </c>
      <c r="H617" s="2" t="s">
        <v>201</v>
      </c>
      <c r="I617" s="2" t="str">
        <f>IFERROR(__xludf.DUMMYFUNCTION("GOOGLETRANSLATE(C617,""fr"",""en"")"),"As part of an appeal against the former owners of a accommodation that I bought, who had hidden a report of indecency, I called on the legal protection of the Maïf to defend my interests. During the contradictory expertise with the opposing party, the exp"&amp;"ert representing the mayor supposed to defend me had even taken the time to take note of the file, and even worse he only advanced arguments in favor of the opposing party. It's really lamentable, I will change my insurance as quickly as possible")</f>
        <v>As part of an appeal against the former owners of a accommodation that I bought, who had hidden a report of indecency, I called on the legal protection of the Maïf to defend my interests. During the contradictory expertise with the opposing party, the expert representing the mayor supposed to defend me had even taken the time to take note of the file, and even worse he only advanced arguments in favor of the opposing party. It's really lamentable, I will change my insurance as quickly as possible</v>
      </c>
    </row>
    <row r="618" ht="15.75" customHeight="1">
      <c r="A618" s="2">
        <v>1.0</v>
      </c>
      <c r="B618" s="2" t="s">
        <v>1779</v>
      </c>
      <c r="C618" s="2" t="s">
        <v>1780</v>
      </c>
      <c r="D618" s="2" t="s">
        <v>692</v>
      </c>
      <c r="E618" s="2" t="s">
        <v>14</v>
      </c>
      <c r="F618" s="2" t="s">
        <v>15</v>
      </c>
      <c r="G618" s="2" t="s">
        <v>1781</v>
      </c>
      <c r="H618" s="2" t="s">
        <v>244</v>
      </c>
      <c r="I618" s="2" t="str">
        <f>IFERROR(__xludf.DUMMYFUNCTION("GOOGLETRANSLATE(C618,""fr"",""en"")"),"Far too expensive, and continues to take after termination !!!")</f>
        <v>Far too expensive, and continues to take after termination !!!</v>
      </c>
    </row>
    <row r="619" ht="15.75" customHeight="1">
      <c r="A619" s="2">
        <v>2.0</v>
      </c>
      <c r="B619" s="2" t="s">
        <v>1782</v>
      </c>
      <c r="C619" s="2" t="s">
        <v>1783</v>
      </c>
      <c r="D619" s="2" t="s">
        <v>394</v>
      </c>
      <c r="E619" s="2" t="s">
        <v>32</v>
      </c>
      <c r="F619" s="2" t="s">
        <v>15</v>
      </c>
      <c r="G619" s="2" t="s">
        <v>1784</v>
      </c>
      <c r="H619" s="2" t="s">
        <v>44</v>
      </c>
      <c r="I619" s="2" t="str">
        <f>IFERROR(__xludf.DUMMYFUNCTION("GOOGLETRANSLATE(C619,""fr"",""en"")"),"Dental reimbursement of February 2020 still not reimburse after several emails
I sent the CPAM Decount in June and still no news from you, the CPAM made you the trasmission
This is an error on your part
I tried to connect to Mutua Management Impossible"&amp;" my contributions are taken every month please answer me")</f>
        <v>Dental reimbursement of February 2020 still not reimburse after several emails
I sent the CPAM Decount in June and still no news from you, the CPAM made you the trasmission
This is an error on your part
I tried to connect to Mutua Management Impossible my contributions are taken every month please answer me</v>
      </c>
    </row>
    <row r="620" ht="15.75" customHeight="1">
      <c r="A620" s="2">
        <v>1.0</v>
      </c>
      <c r="B620" s="2" t="s">
        <v>1785</v>
      </c>
      <c r="C620" s="2" t="s">
        <v>1786</v>
      </c>
      <c r="D620" s="2" t="s">
        <v>75</v>
      </c>
      <c r="E620" s="2" t="s">
        <v>14</v>
      </c>
      <c r="F620" s="2" t="s">
        <v>15</v>
      </c>
      <c r="G620" s="2" t="s">
        <v>1787</v>
      </c>
      <c r="H620" s="2" t="s">
        <v>565</v>
      </c>
      <c r="I620" s="2" t="str">
        <f>IFERROR(__xludf.DUMMYFUNCTION("GOOGLETRANSLATE(C620,""fr"",""en"")"),"Insured at Direct Insurance for 7 years, I saw my contract from 600 euros spent at almost 900 euros !! And according to them, it is N.O.R.M.A.L .... (repercussions of garage costs) ??? Increase of 44%, sacred repercussions in 7 years, 6%/year !!
There "&amp;"was a storm in 2015 and my vehicle was damaged, I declared because I was in third party max and the climatic accidents was in my options but R.I.E.N, no care !!! Then a person returns to me at the rear sorite of a parking lot, but no damage on my vehicle "&amp;"or the other but as his vehicle is new they want to make a observation, direct result assurance my considered as 100% responsible and I go from 0.72 22% bonus at 0.92 8% bonus without explanation or information, I discover when I saw my past 60 euro subsc"&amp;"ription to 74 euros !!! So with 1 sinister in a parking lot where there was no damage and it is she who returned to me, I find myself with 869 euros/year, and the advisor who says to me: it is the prices !!
But the worst part is that I do an online quo"&amp;"te specifying all the info and bin! Here is that the site offers me a direct insurance with 434 euros per year! find the mistake !! It is a shame to see again and again a company that baits customers then try to bleed them white, vampires good or bad cust"&amp;"omers no differences, the cash there is that that interests them ....")</f>
        <v>Insured at Direct Insurance for 7 years, I saw my contract from 600 euros spent at almost 900 euros !! And according to them, it is N.O.R.M.A.L .... (repercussions of garage costs) ??? Increase of 44%, sacred repercussions in 7 years, 6%/year !!
There was a storm in 2015 and my vehicle was damaged, I declared because I was in third party max and the climatic accidents was in my options but R.I.E.N, no care !!! Then a person returns to me at the rear sorite of a parking lot, but no damage on my vehicle or the other but as his vehicle is new they want to make a observation, direct result assurance my considered as 100% responsible and I go from 0.72 22% bonus at 0.92 8% bonus without explanation or information, I discover when I saw my past 60 euro subscription to 74 euros !!! So with 1 sinister in a parking lot where there was no damage and it is she who returned to me, I find myself with 869 euros/year, and the advisor who says to me: it is the prices !!
But the worst part is that I do an online quote specifying all the info and bin! Here is that the site offers me a direct insurance with 434 euros per year! find the mistake !! It is a shame to see again and again a company that baits customers then try to bleed them white, vampires good or bad customers no differences, the cash there is that that interests them ....</v>
      </c>
    </row>
    <row r="621" ht="15.75" customHeight="1">
      <c r="A621" s="2">
        <v>5.0</v>
      </c>
      <c r="B621" s="2" t="s">
        <v>1788</v>
      </c>
      <c r="C621" s="2" t="s">
        <v>1789</v>
      </c>
      <c r="D621" s="2" t="s">
        <v>95</v>
      </c>
      <c r="E621" s="2" t="s">
        <v>96</v>
      </c>
      <c r="F621" s="2" t="s">
        <v>15</v>
      </c>
      <c r="G621" s="2" t="s">
        <v>1790</v>
      </c>
      <c r="H621" s="2" t="s">
        <v>98</v>
      </c>
      <c r="I621" s="2" t="str">
        <f>IFERROR(__xludf.DUMMYFUNCTION("GOOGLETRANSLATE(C621,""fr"",""en"")"),"Simple and practical very easy to use and quick to make the searches I recommend this site to obtain your two wheels and in addition it is really cheap")</f>
        <v>Simple and practical very easy to use and quick to make the searches I recommend this site to obtain your two wheels and in addition it is really cheap</v>
      </c>
    </row>
    <row r="622" ht="15.75" customHeight="1">
      <c r="A622" s="2">
        <v>5.0</v>
      </c>
      <c r="B622" s="2" t="s">
        <v>1791</v>
      </c>
      <c r="C622" s="2" t="s">
        <v>1792</v>
      </c>
      <c r="D622" s="2" t="s">
        <v>37</v>
      </c>
      <c r="E622" s="2" t="s">
        <v>14</v>
      </c>
      <c r="F622" s="2" t="s">
        <v>15</v>
      </c>
      <c r="G622" s="2" t="s">
        <v>1112</v>
      </c>
      <c r="H622" s="2" t="s">
        <v>39</v>
      </c>
      <c r="I622" s="2" t="str">
        <f>IFERROR(__xludf.DUMMYFUNCTION("GOOGLETRANSLATE(C622,""fr"",""en"")"),"Auto insurance done quickly and easily. Just a small Beug in terms of payment. I had to contact the advisor. She was very responsive and attentive.")</f>
        <v>Auto insurance done quickly and easily. Just a small Beug in terms of payment. I had to contact the advisor. She was very responsive and attentive.</v>
      </c>
    </row>
    <row r="623" ht="15.75" customHeight="1">
      <c r="A623" s="2">
        <v>4.0</v>
      </c>
      <c r="B623" s="2" t="s">
        <v>1793</v>
      </c>
      <c r="C623" s="2" t="s">
        <v>1794</v>
      </c>
      <c r="D623" s="2" t="s">
        <v>158</v>
      </c>
      <c r="E623" s="2" t="s">
        <v>14</v>
      </c>
      <c r="F623" s="2" t="s">
        <v>15</v>
      </c>
      <c r="G623" s="2" t="s">
        <v>1795</v>
      </c>
      <c r="H623" s="2" t="s">
        <v>175</v>
      </c>
      <c r="I623" s="2" t="str">
        <f>IFERROR(__xludf.DUMMYFUNCTION("GOOGLETRANSLATE(C623,""fr"",""en"")"),"Follow -up is very satisfactory ... even over time.")</f>
        <v>Follow -up is very satisfactory ... even over time.</v>
      </c>
    </row>
    <row r="624" ht="15.75" customHeight="1">
      <c r="A624" s="2">
        <v>3.0</v>
      </c>
      <c r="B624" s="2" t="s">
        <v>1796</v>
      </c>
      <c r="C624" s="2" t="s">
        <v>1797</v>
      </c>
      <c r="D624" s="2" t="s">
        <v>313</v>
      </c>
      <c r="E624" s="2" t="s">
        <v>90</v>
      </c>
      <c r="F624" s="2" t="s">
        <v>15</v>
      </c>
      <c r="G624" s="2" t="s">
        <v>1798</v>
      </c>
      <c r="H624" s="2" t="s">
        <v>107</v>
      </c>
      <c r="I624" s="2" t="str">
        <f>IFERROR(__xludf.DUMMYFUNCTION("GOOGLETRANSLATE(C624,""fr"",""en"")"),"Pitiful. I have been paying an animal mutual insurance for more than 40 €/month for a year.
It's been a month since I call 2 to 3 times a week to find out where my refund is because nothing updated on the application. As they call they always miss a docu"&amp;"ment, documents that were provided from the departure, then they lack the identification certificate which had never been requested.
In short to the question when then I hope for a refund there is always the same ""weekend early next week"". A month that"&amp;" this answer was provided to me.
Run away !
I will terminate upon receipt of my maturity notice by mentioning the Chatel law and it will be the same for my other contract with them. My spouse will also resilute")</f>
        <v>Pitiful. I have been paying an animal mutual insurance for more than 40 €/month for a year.
It's been a month since I call 2 to 3 times a week to find out where my refund is because nothing updated on the application. As they call they always miss a document, documents that were provided from the departure, then they lack the identification certificate which had never been requested.
In short to the question when then I hope for a refund there is always the same "weekend early next week". A month that this answer was provided to me.
Run away !
I will terminate upon receipt of my maturity notice by mentioning the Chatel law and it will be the same for my other contract with them. My spouse will also resilute</v>
      </c>
    </row>
    <row r="625" ht="15.75" customHeight="1">
      <c r="A625" s="2">
        <v>5.0</v>
      </c>
      <c r="B625" s="2" t="s">
        <v>1799</v>
      </c>
      <c r="C625" s="2" t="s">
        <v>1800</v>
      </c>
      <c r="D625" s="2" t="s">
        <v>846</v>
      </c>
      <c r="E625" s="2" t="s">
        <v>153</v>
      </c>
      <c r="F625" s="2" t="s">
        <v>15</v>
      </c>
      <c r="G625" s="2" t="s">
        <v>28</v>
      </c>
      <c r="H625" s="2" t="s">
        <v>28</v>
      </c>
      <c r="I625" s="2" t="str">
        <f>IFERROR(__xludf.DUMMYFUNCTION("GOOGLETRANSLATE(C625,""fr"",""en"")"),"The Zen Up site is really super easy to use.
The procedure for the health questionnaire is fluid.
And we immediately have the price at the end.
Long live technology! I recommend !")</f>
        <v>The Zen Up site is really super easy to use.
The procedure for the health questionnaire is fluid.
And we immediately have the price at the end.
Long live technology! I recommend !</v>
      </c>
    </row>
    <row r="626" ht="15.75" customHeight="1">
      <c r="A626" s="2">
        <v>3.0</v>
      </c>
      <c r="B626" s="2" t="s">
        <v>1801</v>
      </c>
      <c r="C626" s="2" t="s">
        <v>1802</v>
      </c>
      <c r="D626" s="2" t="s">
        <v>75</v>
      </c>
      <c r="E626" s="2" t="s">
        <v>14</v>
      </c>
      <c r="F626" s="2" t="s">
        <v>15</v>
      </c>
      <c r="G626" s="2" t="s">
        <v>192</v>
      </c>
      <c r="H626" s="2" t="s">
        <v>193</v>
      </c>
      <c r="I626" s="2" t="str">
        <f>IFERROR(__xludf.DUMMYFUNCTION("GOOGLETRANSLATE(C626,""fr"",""en"")"),"I find high and incomprehensible prices. Impossible to understand the difference in prices between two vehicles for 2 drivers with over 30 years of driving license and being 50% bonus.
Finally regret that after more than 25 years of loyalty at Directly t"&amp;"here are no commercial gestures")</f>
        <v>I find high and incomprehensible prices. Impossible to understand the difference in prices between two vehicles for 2 drivers with over 30 years of driving license and being 50% bonus.
Finally regret that after more than 25 years of loyalty at Directly there are no commercial gestures</v>
      </c>
    </row>
    <row r="627" ht="15.75" customHeight="1">
      <c r="A627" s="2">
        <v>5.0</v>
      </c>
      <c r="B627" s="2" t="s">
        <v>1803</v>
      </c>
      <c r="C627" s="2" t="s">
        <v>1804</v>
      </c>
      <c r="D627" s="2" t="s">
        <v>75</v>
      </c>
      <c r="E627" s="2" t="s">
        <v>14</v>
      </c>
      <c r="F627" s="2" t="s">
        <v>15</v>
      </c>
      <c r="G627" s="2" t="s">
        <v>1805</v>
      </c>
      <c r="H627" s="2" t="s">
        <v>77</v>
      </c>
      <c r="I627" s="2" t="str">
        <f>IFERROR(__xludf.DUMMYFUNCTION("GOOGLETRANSLATE(C627,""fr"",""en"")"),"I am very satisfied with the care and the ease of registering and also the quality price, I would recommend to my relatives and my friends to ensure at home cordially")</f>
        <v>I am very satisfied with the care and the ease of registering and also the quality price, I would recommend to my relatives and my friends to ensure at home cordially</v>
      </c>
    </row>
    <row r="628" ht="15.75" customHeight="1">
      <c r="A628" s="2">
        <v>5.0</v>
      </c>
      <c r="B628" s="2" t="s">
        <v>1806</v>
      </c>
      <c r="C628" s="2" t="s">
        <v>1807</v>
      </c>
      <c r="D628" s="2" t="s">
        <v>75</v>
      </c>
      <c r="E628" s="2" t="s">
        <v>14</v>
      </c>
      <c r="F628" s="2" t="s">
        <v>15</v>
      </c>
      <c r="G628" s="2" t="s">
        <v>369</v>
      </c>
      <c r="H628" s="2" t="s">
        <v>107</v>
      </c>
      <c r="I628" s="2" t="str">
        <f>IFERROR(__xludf.DUMMYFUNCTION("GOOGLETRANSLATE(C628,""fr"",""en"")"),"I am very satisfied with my subscription from Direct Insurance. Simple and very very effective service with a diversity in contract that we offer you
")</f>
        <v>I am very satisfied with my subscription from Direct Insurance. Simple and very very effective service with a diversity in contract that we offer you
</v>
      </c>
    </row>
    <row r="629" ht="15.75" customHeight="1">
      <c r="A629" s="2">
        <v>2.0</v>
      </c>
      <c r="B629" s="2" t="s">
        <v>1808</v>
      </c>
      <c r="C629" s="2" t="s">
        <v>1809</v>
      </c>
      <c r="D629" s="2" t="s">
        <v>313</v>
      </c>
      <c r="E629" s="2" t="s">
        <v>90</v>
      </c>
      <c r="F629" s="2" t="s">
        <v>15</v>
      </c>
      <c r="G629" s="2" t="s">
        <v>1810</v>
      </c>
      <c r="H629" s="2" t="s">
        <v>244</v>
      </c>
      <c r="I629" s="2" t="str">
        <f>IFERROR(__xludf.DUMMYFUNCTION("GOOGLETRANSLATE(C629,""fr"",""en"")"),"Beware of telephone harassment, despite my very clear request not to be recalled, I have 5 missed calls per day, until I won by mistake.")</f>
        <v>Beware of telephone harassment, despite my very clear request not to be recalled, I have 5 missed calls per day, until I won by mistake.</v>
      </c>
    </row>
    <row r="630" ht="15.75" customHeight="1">
      <c r="A630" s="2">
        <v>3.0</v>
      </c>
      <c r="B630" s="2" t="s">
        <v>1811</v>
      </c>
      <c r="C630" s="2" t="s">
        <v>1812</v>
      </c>
      <c r="D630" s="2" t="s">
        <v>75</v>
      </c>
      <c r="E630" s="2" t="s">
        <v>14</v>
      </c>
      <c r="F630" s="2" t="s">
        <v>15</v>
      </c>
      <c r="G630" s="2" t="s">
        <v>1813</v>
      </c>
      <c r="H630" s="2" t="s">
        <v>321</v>
      </c>
      <c r="I630" s="2" t="str">
        <f>IFERROR(__xludf.DUMMYFUNCTION("GOOGLETRANSLATE(C630,""fr"",""en"")"),"My opinion dear and a pity that the tires are not supported or the wire of keys which are not supported. And if there is a change in damage that we are not warned.")</f>
        <v>My opinion dear and a pity that the tires are not supported or the wire of keys which are not supported. And if there is a change in damage that we are not warned.</v>
      </c>
    </row>
    <row r="631" ht="15.75" customHeight="1">
      <c r="A631" s="2">
        <v>5.0</v>
      </c>
      <c r="B631" s="2" t="s">
        <v>1814</v>
      </c>
      <c r="C631" s="2" t="s">
        <v>1815</v>
      </c>
      <c r="D631" s="2" t="s">
        <v>75</v>
      </c>
      <c r="E631" s="2" t="s">
        <v>14</v>
      </c>
      <c r="F631" s="2" t="s">
        <v>15</v>
      </c>
      <c r="G631" s="2" t="s">
        <v>86</v>
      </c>
      <c r="H631" s="2" t="s">
        <v>86</v>
      </c>
      <c r="I631" s="2" t="str">
        <f>IFERROR(__xludf.DUMMYFUNCTION("GOOGLETRANSLATE(C631,""fr"",""en"")"),"Very useful to be able to make an online subscription Thank you! And the prices are reasonable, the site is clear and easy to use. It simplified my life well!")</f>
        <v>Very useful to be able to make an online subscription Thank you! And the prices are reasonable, the site is clear and easy to use. It simplified my life well!</v>
      </c>
    </row>
    <row r="632" ht="15.75" customHeight="1">
      <c r="A632" s="2">
        <v>2.0</v>
      </c>
      <c r="B632" s="2" t="s">
        <v>1816</v>
      </c>
      <c r="C632" s="2" t="s">
        <v>1817</v>
      </c>
      <c r="D632" s="2" t="s">
        <v>173</v>
      </c>
      <c r="E632" s="2" t="s">
        <v>32</v>
      </c>
      <c r="F632" s="2" t="s">
        <v>15</v>
      </c>
      <c r="G632" s="2" t="s">
        <v>1731</v>
      </c>
      <c r="H632" s="2" t="s">
        <v>331</v>
      </c>
      <c r="I632" s="2" t="str">
        <f>IFERROR(__xludf.DUMMYFUNCTION("GOOGLETRANSLATE(C632,""fr"",""en"")"),"Lina Centiane is an insurer sells me an insurance mutual for 2020 that I signed and some time later he tells me that it is not possible, so postponement for the year2021 My needs for 2020 are probably no longer the same as For 2021, I do not receive any p"&amp;"aper from them, and as by Hazard he reminds me of 17-11-2020 saying that it was absolutely signed this day an electronically withdrawal paper of my mutual for not paid two mutuals I really feel a threat from this aggressive salesperson who tells me if you"&amp;" are not signed you will pay two mutuals it is your problem, very angry with the behavior of this person who tells me I still took time 38 min donations we will stop there, I now understand why the opposing insurance located in Nice m they say that I was "&amp;"going to regret it. A simple cancellation of this contract would have been to stop this problem")</f>
        <v>Lina Centiane is an insurer sells me an insurance mutual for 2020 that I signed and some time later he tells me that it is not possible, so postponement for the year2021 My needs for 2020 are probably no longer the same as For 2021, I do not receive any paper from them, and as by Hazard he reminds me of 17-11-2020 saying that it was absolutely signed this day an electronically withdrawal paper of my mutual for not paid two mutuals I really feel a threat from this aggressive salesperson who tells me if you are not signed you will pay two mutuals it is your problem, very angry with the behavior of this person who tells me I still took time 38 min donations we will stop there, I now understand why the opposing insurance located in Nice m they say that I was going to regret it. A simple cancellation of this contract would have been to stop this problem</v>
      </c>
    </row>
    <row r="633" ht="15.75" customHeight="1">
      <c r="A633" s="2">
        <v>1.0</v>
      </c>
      <c r="B633" s="2" t="s">
        <v>1818</v>
      </c>
      <c r="C633" s="2" t="s">
        <v>1819</v>
      </c>
      <c r="D633" s="2" t="s">
        <v>75</v>
      </c>
      <c r="E633" s="2" t="s">
        <v>14</v>
      </c>
      <c r="F633" s="2" t="s">
        <v>15</v>
      </c>
      <c r="G633" s="2" t="s">
        <v>1820</v>
      </c>
      <c r="H633" s="2" t="s">
        <v>186</v>
      </c>
      <c r="I633" s="2" t="str">
        <f>IFERROR(__xludf.DUMMYFUNCTION("GOOGLETRANSLATE(C633,""fr"",""en"")"),"Read this long comment to avoid the ""Song of Sirens""
First of all the price!
Whether you have gone through a comparator or directly on their site, you are amazed to see such a tariff difference with your current insurer! On average 250 € in saving"&amp;"s per year they say in their ad! But that is without counting the pricing increases that will come over time ... The attractive price of the first year are used to ""bait"" the prospect, and the company hopes that you are like most other insured people No"&amp;"t watching your subscription increase for no reason (no vehicle change, no claims, no change of address ...). After 3 years, you will therefore be surprised to find more or less the same price as your original company!
Make your offers on ""privilege sal"&amp;"es"" sites too ... You will see yourself offering € 100 (for example) for any subscription ... but your quote will have increased € 70 compared to a quote made on A comparator for example! Should we deduce that the company inflates its prices so that you "&amp;"only have to finance a commercial gesture of € 30?
Then the questionnaire!
Pay attention to your answers ...
First example! You had a bonus but you no longer have a personal vehicle because you have been driving a company or rental vehicle for more"&amp;" than 2 years. Today you want to resume a vehicle in your name but you are announced that you lose the benefit of your old bonus and leave at 1! Well it's wrong! Find out after other companies because the insurance code does not in any case provide for """&amp;"validity duration"" for the CRM!
Second example! You manage to choose the vehicle you have and you are asked for the commercial finish ... Be very careful to find the exact model because a bad finish can increase the price!
Third example! What questions"&amp;": your matrimonial situation, your heritage situation, your socio-professional category etc etc ... so many indiscreet questions that can raise the price! A executive official, married and owner of a house for more than 8 years will not have the same pric"&amp;"e as you! Compare ...
Payment and options:
Be vigilant on the ""small lines""!
First of all the ""vehicle loan"" ... know that it is a loan only in the event of a disaster and in no way in the event of a breakdown! In this case, no solution is prop"&amp;"osed.
Then the ""0km"" ... calculate its cost well per month! A towing costs between € 100 and 300 € and this option is sometimes billed in addition to € 10/month (€ 120/year) ... If your vehicle is well maintained, do you think you will be wise to subsc"&amp;"ribe to an option that will not be ""profitable"" that if you broke up every 3 years and less than 50km from your home (because beyond you are taken care of)!?
The ""Ice Broke"" ... Know that it will not be valid on the optics as well as on the sunroof! "&amp;"Also be aware that even if the repairs do not make you pay a deductible and do not impact your bonus they count as a sinister!
The ""Flights, Fire, Ice Brokes"" ... Be careful! The franchise has on a fixed part and on a variable part (certainly capped bu"&amp;"t 10% all the same!). So have a pricing with the fixed share only and you will see the contribution increase!
""Payment"" ... if you pay during the month you will not have the same price as if you pay for the year! Indeed, the choice of monthly payment c"&amp;"auses an additional cost that can be a hundred euros!
Client service !
It's long ... so let's be like Pépin, let's be in short! Difficult to reachable you will have to wait for long minutes! And sometimes you will have as a simple answer ""that's no"&amp;"t the right number""! In addition, be aware that certain actions in the management of your ""must"" contract on your customer area! If it comes to you the bad idea of ​​wanting to reassure you with a human voice this action can be billed to you!
Well I"&amp;" stop there! What's the point of wanting to pay less for 1 year to have a price that increases the following years and without counting the rest! So let's go back to our agencies (at least we have someone who yells)!")</f>
        <v>Read this long comment to avoid the "Song of Sirens"
First of all the price!
Whether you have gone through a comparator or directly on their site, you are amazed to see such a tariff difference with your current insurer! On average 250 € in savings per year they say in their ad! But that is without counting the pricing increases that will come over time ... The attractive price of the first year are used to "bait" the prospect, and the company hopes that you are like most other insured people Not watching your subscription increase for no reason (no vehicle change, no claims, no change of address ...). After 3 years, you will therefore be surprised to find more or less the same price as your original company!
Make your offers on "privilege sales" sites too ... You will see yourself offering € 100 (for example) for any subscription ... but your quote will have increased € 70 compared to a quote made on A comparator for example! Should we deduce that the company inflates its prices so that you only have to finance a commercial gesture of € 30?
Then the questionnaire!
Pay attention to your answers ...
First example! You had a bonus but you no longer have a personal vehicle because you have been driving a company or rental vehicle for more than 2 years. Today you want to resume a vehicle in your name but you are announced that you lose the benefit of your old bonus and leave at 1! Well it's wrong! Find out after other companies because the insurance code does not in any case provide for "validity duration" for the CRM!
Second example! You manage to choose the vehicle you have and you are asked for the commercial finish ... Be very careful to find the exact model because a bad finish can increase the price!
Third example! What questions: your matrimonial situation, your heritage situation, your socio-professional category etc etc ... so many indiscreet questions that can raise the price! A executive official, married and owner of a house for more than 8 years will not have the same price as you! Compare ...
Payment and options:
Be vigilant on the "small lines"!
First of all the "vehicle loan" ... know that it is a loan only in the event of a disaster and in no way in the event of a breakdown! In this case, no solution is proposed.
Then the "0km" ... calculate its cost well per month! A towing costs between € 100 and 300 € and this option is sometimes billed in addition to € 10/month (€ 120/year) ... If your vehicle is well maintained, do you think you will be wise to subscribe to an option that will not be "profitable" that if you broke up every 3 years and less than 50km from your home (because beyond you are taken care of)!?
The "Ice Broke" ... Know that it will not be valid on the optics as well as on the sunroof! Also be aware that even if the repairs do not make you pay a deductible and do not impact your bonus they count as a sinister!
The "Flights, Fire, Ice Brokes" ... Be careful! The franchise has on a fixed part and on a variable part (certainly capped but 10% all the same!). So have a pricing with the fixed share only and you will see the contribution increase!
"Payment" ... if you pay during the month you will not have the same price as if you pay for the year! Indeed, the choice of monthly payment causes an additional cost that can be a hundred euros!
Client service !
It's long ... so let's be like Pépin, let's be in short! Difficult to reachable you will have to wait for long minutes! And sometimes you will have as a simple answer "that's not the right number"! In addition, be aware that certain actions in the management of your "must" contract on your customer area! If it comes to you the bad idea of ​​wanting to reassure you with a human voice this action can be billed to you!
Well I stop there! What's the point of wanting to pay less for 1 year to have a price that increases the following years and without counting the rest! So let's go back to our agencies (at least we have someone who yells)!</v>
      </c>
    </row>
    <row r="634" ht="15.75" customHeight="1">
      <c r="A634" s="2">
        <v>5.0</v>
      </c>
      <c r="B634" s="2" t="s">
        <v>1821</v>
      </c>
      <c r="C634" s="2" t="s">
        <v>1822</v>
      </c>
      <c r="D634" s="2" t="s">
        <v>37</v>
      </c>
      <c r="E634" s="2" t="s">
        <v>14</v>
      </c>
      <c r="F634" s="2" t="s">
        <v>15</v>
      </c>
      <c r="G634" s="2" t="s">
        <v>298</v>
      </c>
      <c r="H634" s="2" t="s">
        <v>193</v>
      </c>
      <c r="I634" s="2" t="str">
        <f>IFERROR(__xludf.DUMMYFUNCTION("GOOGLETRANSLATE(C634,""fr"",""en"")"),"I am satisfied with the service. I had an advisor by the name of Pierre-Yves, very professional, attentive, was able to meet my expectations. For the moment nothing to complain about")</f>
        <v>I am satisfied with the service. I had an advisor by the name of Pierre-Yves, very professional, attentive, was able to meet my expectations. For the moment nothing to complain about</v>
      </c>
    </row>
    <row r="635" ht="15.75" customHeight="1">
      <c r="A635" s="2">
        <v>2.0</v>
      </c>
      <c r="B635" s="2" t="s">
        <v>1823</v>
      </c>
      <c r="C635" s="2" t="s">
        <v>1824</v>
      </c>
      <c r="D635" s="2" t="s">
        <v>221</v>
      </c>
      <c r="E635" s="2" t="s">
        <v>21</v>
      </c>
      <c r="F635" s="2" t="s">
        <v>15</v>
      </c>
      <c r="G635" s="2" t="s">
        <v>1825</v>
      </c>
      <c r="H635" s="2" t="s">
        <v>335</v>
      </c>
      <c r="I635" s="2" t="str">
        <f>IFERROR(__xludf.DUMMYFUNCTION("GOOGLETRANSLATE(C635,""fr"",""en"")")," Do everything to pay nothing during a 5 -month damage without hot water for repair it is necessary to break walls they estimate at 900 euros in repair without seeing the damage that there is in the walls send an expert but it is the last excuse You insul"&amp;"t us then take your 900 euros and get out I prefer to insult by being honest that to steal the people with a smile in 20 years I had no claim currently I give them 2500 euros per year car etc but it is finished")</f>
        <v> Do everything to pay nothing during a 5 -month damage without hot water for repair it is necessary to break walls they estimate at 900 euros in repair without seeing the damage that there is in the walls send an expert but it is the last excuse You insult us then take your 900 euros and get out I prefer to insult by being honest that to steal the people with a smile in 20 years I had no claim currently I give them 2500 euros per year car etc but it is finished</v>
      </c>
    </row>
    <row r="636" ht="15.75" customHeight="1">
      <c r="A636" s="2">
        <v>5.0</v>
      </c>
      <c r="B636" s="2" t="s">
        <v>1826</v>
      </c>
      <c r="C636" s="2" t="s">
        <v>1827</v>
      </c>
      <c r="D636" s="2" t="s">
        <v>75</v>
      </c>
      <c r="E636" s="2" t="s">
        <v>14</v>
      </c>
      <c r="F636" s="2" t="s">
        <v>15</v>
      </c>
      <c r="G636" s="2" t="s">
        <v>1828</v>
      </c>
      <c r="H636" s="2" t="s">
        <v>193</v>
      </c>
      <c r="I636" s="2" t="str">
        <f>IFERROR(__xludf.DUMMYFUNCTION("GOOGLETRANSLATE(C636,""fr"",""en"")"),"I am satisfied with the service. Difficult to really assess because I don't have a claim, so much the better for me. I did not understand why for several years I still haven't bonus 50")</f>
        <v>I am satisfied with the service. Difficult to really assess because I don't have a claim, so much the better for me. I did not understand why for several years I still haven't bonus 50</v>
      </c>
    </row>
    <row r="637" ht="15.75" customHeight="1">
      <c r="A637" s="2">
        <v>5.0</v>
      </c>
      <c r="B637" s="2" t="s">
        <v>1829</v>
      </c>
      <c r="C637" s="2" t="s">
        <v>1830</v>
      </c>
      <c r="D637" s="2" t="s">
        <v>75</v>
      </c>
      <c r="E637" s="2" t="s">
        <v>14</v>
      </c>
      <c r="F637" s="2" t="s">
        <v>15</v>
      </c>
      <c r="G637" s="2" t="s">
        <v>1504</v>
      </c>
      <c r="H637" s="2" t="s">
        <v>77</v>
      </c>
      <c r="I637" s="2" t="str">
        <f>IFERROR(__xludf.DUMMYFUNCTION("GOOGLETRANSLATE(C637,""fr"",""en"")"),"Great but would have liked to make a monthly payment instead of an annual payment but generally satisfied with the site and the prices
thank you
Have a good day")</f>
        <v>Great but would have liked to make a monthly payment instead of an annual payment but generally satisfied with the site and the prices
thank you
Have a good day</v>
      </c>
    </row>
    <row r="638" ht="15.75" customHeight="1">
      <c r="A638" s="2">
        <v>5.0</v>
      </c>
      <c r="B638" s="2" t="s">
        <v>1831</v>
      </c>
      <c r="C638" s="2" t="s">
        <v>1832</v>
      </c>
      <c r="D638" s="2" t="s">
        <v>37</v>
      </c>
      <c r="E638" s="2" t="s">
        <v>14</v>
      </c>
      <c r="F638" s="2" t="s">
        <v>15</v>
      </c>
      <c r="G638" s="2" t="s">
        <v>295</v>
      </c>
      <c r="H638" s="2" t="s">
        <v>28</v>
      </c>
      <c r="I638" s="2" t="str">
        <f>IFERROR(__xludf.DUMMYFUNCTION("GOOGLETRANSLATE(C638,""fr"",""en"")"),"The prices are correct and the customer service pleasant and competent, I highly recommend the olive assurance to anyone wishing to change insurance,")</f>
        <v>The prices are correct and the customer service pleasant and competent, I highly recommend the olive assurance to anyone wishing to change insurance,</v>
      </c>
    </row>
    <row r="639" ht="15.75" customHeight="1">
      <c r="A639" s="2">
        <v>5.0</v>
      </c>
      <c r="B639" s="2" t="s">
        <v>1833</v>
      </c>
      <c r="C639" s="2" t="s">
        <v>1834</v>
      </c>
      <c r="D639" s="2" t="s">
        <v>95</v>
      </c>
      <c r="E639" s="2" t="s">
        <v>96</v>
      </c>
      <c r="F639" s="2" t="s">
        <v>15</v>
      </c>
      <c r="G639" s="2" t="s">
        <v>196</v>
      </c>
      <c r="H639" s="2" t="s">
        <v>193</v>
      </c>
      <c r="I639" s="2" t="str">
        <f>IFERROR(__xludf.DUMMYFUNCTION("GOOGLETRANSLATE(C639,""fr"",""en"")"),"The impeccable value for money nothing to complain about. If necessary of information advisers are available. Very good insurance and again the quality")</f>
        <v>The impeccable value for money nothing to complain about. If necessary of information advisers are available. Very good insurance and again the quality</v>
      </c>
    </row>
    <row r="640" ht="15.75" customHeight="1">
      <c r="A640" s="2">
        <v>1.0</v>
      </c>
      <c r="B640" s="2" t="s">
        <v>1835</v>
      </c>
      <c r="C640" s="2" t="s">
        <v>1836</v>
      </c>
      <c r="D640" s="2" t="s">
        <v>152</v>
      </c>
      <c r="E640" s="2" t="s">
        <v>153</v>
      </c>
      <c r="F640" s="2" t="s">
        <v>15</v>
      </c>
      <c r="G640" s="2" t="s">
        <v>1542</v>
      </c>
      <c r="H640" s="2" t="s">
        <v>17</v>
      </c>
      <c r="I640" s="2" t="str">
        <f>IFERROR(__xludf.DUMMYFUNCTION("GOOGLETRANSLATE(C640,""fr"",""en"")"),"Following a dismissal, I have been trying to assert my rights for a BNP Cardif borrower contract for 6 months. I am walking every month by asking me the same supporting documents! It's a shame. I am in the wet because of them and tomorrow I call Julien Co"&amp;"urbet who will take care of making them a super advertising on the radio! If only I had read all these comments before, I would have fled from the start. To flee like the plague.")</f>
        <v>Following a dismissal, I have been trying to assert my rights for a BNP Cardif borrower contract for 6 months. I am walking every month by asking me the same supporting documents! It's a shame. I am in the wet because of them and tomorrow I call Julien Courbet who will take care of making them a super advertising on the radio! If only I had read all these comments before, I would have fled from the start. To flee like the plague.</v>
      </c>
    </row>
    <row r="641" ht="15.75" customHeight="1">
      <c r="A641" s="2">
        <v>1.0</v>
      </c>
      <c r="B641" s="2" t="s">
        <v>1837</v>
      </c>
      <c r="C641" s="2" t="s">
        <v>1838</v>
      </c>
      <c r="D641" s="2" t="s">
        <v>324</v>
      </c>
      <c r="E641" s="2" t="s">
        <v>81</v>
      </c>
      <c r="F641" s="2" t="s">
        <v>15</v>
      </c>
      <c r="G641" s="2" t="s">
        <v>1737</v>
      </c>
      <c r="H641" s="2" t="s">
        <v>193</v>
      </c>
      <c r="I641" s="2" t="str">
        <f>IFERROR(__xludf.DUMMYFUNCTION("GOOGLETRANSLATE(C641,""fr"",""en"")")," This GMO for quite some time very long in interests for 2020 feature 3 times more than 2019 touches for 2020 3 times less so I will withdraw my money from you I just look for more interesting placement the after -sales service is zero desolez Say I see t"&amp;"hat I am not the only one in this case")</f>
        <v> This GMO for quite some time very long in interests for 2020 feature 3 times more than 2019 touches for 2020 3 times less so I will withdraw my money from you I just look for more interesting placement the after -sales service is zero desolez Say I see that I am not the only one in this case</v>
      </c>
    </row>
    <row r="642" ht="15.75" customHeight="1">
      <c r="A642" s="2">
        <v>1.0</v>
      </c>
      <c r="B642" s="2" t="s">
        <v>1839</v>
      </c>
      <c r="C642" s="2" t="s">
        <v>1840</v>
      </c>
      <c r="D642" s="2" t="s">
        <v>394</v>
      </c>
      <c r="E642" s="2" t="s">
        <v>32</v>
      </c>
      <c r="F642" s="2" t="s">
        <v>15</v>
      </c>
      <c r="G642" s="2" t="s">
        <v>1841</v>
      </c>
      <c r="H642" s="2" t="s">
        <v>341</v>
      </c>
      <c r="I642" s="2" t="str">
        <f>IFERROR(__xludf.DUMMYFUNCTION("GOOGLETRANSLATE(C642,""fr"",""en"")"),"! You have benefited from the vulnerability of my young girl, it's a shame !!! To continue to take him despite his termination mail in time.
Thank you for reimbursing as soon as possible !!!!
I denounce you with what to choose today. You never answer on"&amp;" the phone, otherwise you hang up ???")</f>
        <v>! You have benefited from the vulnerability of my young girl, it's a shame !!! To continue to take him despite his termination mail in time.
Thank you for reimbursing as soon as possible !!!!
I denounce you with what to choose today. You never answer on the phone, otherwise you hang up ???</v>
      </c>
    </row>
    <row r="643" ht="15.75" customHeight="1">
      <c r="A643" s="2">
        <v>3.0</v>
      </c>
      <c r="B643" s="2" t="s">
        <v>1842</v>
      </c>
      <c r="C643" s="2" t="s">
        <v>1843</v>
      </c>
      <c r="D643" s="2" t="s">
        <v>75</v>
      </c>
      <c r="E643" s="2" t="s">
        <v>14</v>
      </c>
      <c r="F643" s="2" t="s">
        <v>15</v>
      </c>
      <c r="G643" s="2" t="s">
        <v>1844</v>
      </c>
      <c r="H643" s="2" t="s">
        <v>521</v>
      </c>
      <c r="I643" s="2" t="str">
        <f>IFERROR(__xludf.DUMMYFUNCTION("GOOGLETRANSLATE(C643,""fr"",""en"")"),"Hello, I am currently paying 517 euros, with the same guarantees
My children will also be interested in coming to Direct Insurance
He vafaloir that he will make a quote on the Direct Assurance site
")</f>
        <v>Hello, I am currently paying 517 euros, with the same guarantees
My children will also be interested in coming to Direct Insurance
He vafaloir that he will make a quote on the Direct Assurance site
</v>
      </c>
    </row>
    <row r="644" ht="15.75" customHeight="1">
      <c r="A644" s="2">
        <v>4.0</v>
      </c>
      <c r="B644" s="2" t="s">
        <v>1845</v>
      </c>
      <c r="C644" s="2" t="s">
        <v>1846</v>
      </c>
      <c r="D644" s="2" t="s">
        <v>37</v>
      </c>
      <c r="E644" s="2" t="s">
        <v>14</v>
      </c>
      <c r="F644" s="2" t="s">
        <v>15</v>
      </c>
      <c r="G644" s="2" t="s">
        <v>546</v>
      </c>
      <c r="H644" s="2" t="s">
        <v>77</v>
      </c>
      <c r="I644" s="2" t="str">
        <f>IFERROR(__xludf.DUMMYFUNCTION("GOOGLETRANSLATE(C644,""fr"",""en"")"),"Fast and very well classified on the price side, they knew how to solve a problem linked to my old insurance, and best meet my needs.
My next vehicle will also be at the Olivier Insurance.")</f>
        <v>Fast and very well classified on the price side, they knew how to solve a problem linked to my old insurance, and best meet my needs.
My next vehicle will also be at the Olivier Insurance.</v>
      </c>
    </row>
    <row r="645" ht="15.75" customHeight="1">
      <c r="A645" s="2">
        <v>2.0</v>
      </c>
      <c r="B645" s="2" t="s">
        <v>1847</v>
      </c>
      <c r="C645" s="2" t="s">
        <v>1848</v>
      </c>
      <c r="D645" s="2" t="s">
        <v>95</v>
      </c>
      <c r="E645" s="2" t="s">
        <v>96</v>
      </c>
      <c r="F645" s="2" t="s">
        <v>15</v>
      </c>
      <c r="G645" s="2" t="s">
        <v>230</v>
      </c>
      <c r="H645" s="2" t="s">
        <v>111</v>
      </c>
      <c r="I645" s="2" t="str">
        <f>IFERROR(__xludf.DUMMYFUNCTION("GOOGLETRANSLATE(C645,""fr"",""en"")"),"Hello fast and efficient insurance site ensuring within the minute following price are a little dear for young drivers my otherwise everything is fine I recommend")</f>
        <v>Hello fast and efficient insurance site ensuring within the minute following price are a little dear for young drivers my otherwise everything is fine I recommend</v>
      </c>
    </row>
    <row r="646" ht="15.75" customHeight="1">
      <c r="A646" s="2">
        <v>5.0</v>
      </c>
      <c r="B646" s="2" t="s">
        <v>1849</v>
      </c>
      <c r="C646" s="2" t="s">
        <v>1850</v>
      </c>
      <c r="D646" s="2" t="s">
        <v>75</v>
      </c>
      <c r="E646" s="2" t="s">
        <v>14</v>
      </c>
      <c r="F646" s="2" t="s">
        <v>15</v>
      </c>
      <c r="G646" s="2" t="s">
        <v>440</v>
      </c>
      <c r="H646" s="2" t="s">
        <v>107</v>
      </c>
      <c r="I646" s="2" t="str">
        <f>IFERROR(__xludf.DUMMYFUNCTION("GOOGLETRANSLATE(C646,""fr"",""en"")"),"Ras all it is going well I sincerely recommend just a few questions not understood but otherwise in general it goes I recommend very professional well")</f>
        <v>Ras all it is going well I sincerely recommend just a few questions not understood but otherwise in general it goes I recommend very professional well</v>
      </c>
    </row>
    <row r="647" ht="15.75" customHeight="1">
      <c r="A647" s="2">
        <v>1.0</v>
      </c>
      <c r="B647" s="2" t="s">
        <v>1851</v>
      </c>
      <c r="C647" s="2" t="s">
        <v>1852</v>
      </c>
      <c r="D647" s="2" t="s">
        <v>101</v>
      </c>
      <c r="E647" s="2" t="s">
        <v>14</v>
      </c>
      <c r="F647" s="2" t="s">
        <v>15</v>
      </c>
      <c r="G647" s="2" t="s">
        <v>999</v>
      </c>
      <c r="H647" s="2" t="s">
        <v>92</v>
      </c>
      <c r="I647" s="2" t="str">
        <f>IFERROR(__xludf.DUMMYFUNCTION("GOOGLETRANSLATE(C647,""fr"",""en"")"),"After subscribing to a car contract at E Allianz, who sends you back to Calypso, a subsidiary, you are only warned of receipt of the contract. I take additional guarantees, immovable breakdown, watch out for multiple exclusions, the clutch failure, exclud"&amp;"ed gearbox, however it immobilizes the vehicle, deductible of 15% in case of disability or injuries etc")</f>
        <v>After subscribing to a car contract at E Allianz, who sends you back to Calypso, a subsidiary, you are only warned of receipt of the contract. I take additional guarantees, immovable breakdown, watch out for multiple exclusions, the clutch failure, excluded gearbox, however it immobilizes the vehicle, deductible of 15% in case of disability or injuries etc</v>
      </c>
    </row>
    <row r="648" ht="15.75" customHeight="1">
      <c r="A648" s="2">
        <v>1.0</v>
      </c>
      <c r="B648" s="2" t="s">
        <v>1853</v>
      </c>
      <c r="C648" s="2" t="s">
        <v>1854</v>
      </c>
      <c r="D648" s="2" t="s">
        <v>152</v>
      </c>
      <c r="E648" s="2" t="s">
        <v>65</v>
      </c>
      <c r="F648" s="2" t="s">
        <v>15</v>
      </c>
      <c r="G648" s="2" t="s">
        <v>1855</v>
      </c>
      <c r="H648" s="2" t="s">
        <v>249</v>
      </c>
      <c r="I648" s="2" t="str">
        <f>IFERROR(__xludf.DUMMYFUNCTION("GOOGLETRANSLATE(C648,""fr"",""en"")"),"Our uncle died on March 03, 2018. We are on December 15, 2020 and we are still expecting from Cardif, the contract regulations. Despite many telephone communications and emails; The Cie tells us to respect their buy -back process. The colleagues have sett"&amp;"led the rights holders within 8 days, 2 years ago. The notary, himself, let the beneficiaries manage the file not being able to obtain the
Information requested.
")</f>
        <v>Our uncle died on March 03, 2018. We are on December 15, 2020 and we are still expecting from Cardif, the contract regulations. Despite many telephone communications and emails; The Cie tells us to respect their buy -back process. The colleagues have settled the rights holders within 8 days, 2 years ago. The notary, himself, let the beneficiaries manage the file not being able to obtain the
Information requested.
</v>
      </c>
    </row>
    <row r="649" ht="15.75" customHeight="1">
      <c r="A649" s="2">
        <v>5.0</v>
      </c>
      <c r="B649" s="2" t="s">
        <v>1856</v>
      </c>
      <c r="C649" s="2" t="s">
        <v>1857</v>
      </c>
      <c r="D649" s="2" t="s">
        <v>70</v>
      </c>
      <c r="E649" s="2" t="s">
        <v>14</v>
      </c>
      <c r="F649" s="2" t="s">
        <v>15</v>
      </c>
      <c r="G649" s="2" t="s">
        <v>476</v>
      </c>
      <c r="H649" s="2" t="s">
        <v>107</v>
      </c>
      <c r="I649" s="2" t="str">
        <f>IFERROR(__xludf.DUMMYFUNCTION("GOOGLETRANSLATE(C649,""fr"",""en"")"),"For a very long time that we have been at GMF, and never a problem. And lately, following an accident, follow -up was really very good, whether it was technical or on listening.")</f>
        <v>For a very long time that we have been at GMF, and never a problem. And lately, following an accident, follow -up was really very good, whether it was technical or on listening.</v>
      </c>
    </row>
    <row r="650" ht="15.75" customHeight="1">
      <c r="A650" s="2">
        <v>2.0</v>
      </c>
      <c r="B650" s="2" t="s">
        <v>1858</v>
      </c>
      <c r="C650" s="2" t="s">
        <v>1859</v>
      </c>
      <c r="D650" s="2" t="s">
        <v>70</v>
      </c>
      <c r="E650" s="2" t="s">
        <v>14</v>
      </c>
      <c r="F650" s="2" t="s">
        <v>15</v>
      </c>
      <c r="G650" s="2" t="s">
        <v>1860</v>
      </c>
      <c r="H650" s="2" t="s">
        <v>341</v>
      </c>
      <c r="I650" s="2" t="str">
        <f>IFERROR(__xludf.DUMMYFUNCTION("GOOGLETRANSLATE(C650,""fr"",""en"")"),"If you want to cause car accidents, they will protect you. I was the victim of someone who cut off my way, and I am in wrong. Do not ask them anything, they are good only to take your money.")</f>
        <v>If you want to cause car accidents, they will protect you. I was the victim of someone who cut off my way, and I am in wrong. Do not ask them anything, they are good only to take your money.</v>
      </c>
    </row>
    <row r="651" ht="15.75" customHeight="1">
      <c r="A651" s="2">
        <v>5.0</v>
      </c>
      <c r="B651" s="2" t="s">
        <v>1861</v>
      </c>
      <c r="C651" s="2" t="s">
        <v>1862</v>
      </c>
      <c r="D651" s="2" t="s">
        <v>95</v>
      </c>
      <c r="E651" s="2" t="s">
        <v>96</v>
      </c>
      <c r="F651" s="2" t="s">
        <v>15</v>
      </c>
      <c r="G651" s="2" t="s">
        <v>76</v>
      </c>
      <c r="H651" s="2" t="s">
        <v>77</v>
      </c>
      <c r="I651" s="2" t="str">
        <f>IFERROR(__xludf.DUMMYFUNCTION("GOOGLETRANSLATE(C651,""fr"",""en"")"),"I am satisfied with the price and the adhesion rapiditis you have to come back a little to arrive because information its erronean and this correction cannot be executed")</f>
        <v>I am satisfied with the price and the adhesion rapiditis you have to come back a little to arrive because information its erronean and this correction cannot be executed</v>
      </c>
    </row>
    <row r="652" ht="15.75" customHeight="1">
      <c r="A652" s="2">
        <v>5.0</v>
      </c>
      <c r="B652" s="2" t="s">
        <v>1863</v>
      </c>
      <c r="C652" s="2" t="s">
        <v>1864</v>
      </c>
      <c r="D652" s="2" t="s">
        <v>75</v>
      </c>
      <c r="E652" s="2" t="s">
        <v>14</v>
      </c>
      <c r="F652" s="2" t="s">
        <v>15</v>
      </c>
      <c r="G652" s="2" t="s">
        <v>860</v>
      </c>
      <c r="H652" s="2" t="s">
        <v>86</v>
      </c>
      <c r="I652" s="2" t="str">
        <f>IFERROR(__xludf.DUMMYFUNCTION("GOOGLETRANSLATE(C652,""fr"",""en"")"),"I am very happy to have a great price and the service is easier to do it for us young drivers even without jobs")</f>
        <v>I am very happy to have a great price and the service is easier to do it for us young drivers even without jobs</v>
      </c>
    </row>
    <row r="653" ht="15.75" customHeight="1">
      <c r="A653" s="2">
        <v>5.0</v>
      </c>
      <c r="B653" s="2" t="s">
        <v>1865</v>
      </c>
      <c r="C653" s="2" t="s">
        <v>1866</v>
      </c>
      <c r="D653" s="2" t="s">
        <v>37</v>
      </c>
      <c r="E653" s="2" t="s">
        <v>14</v>
      </c>
      <c r="F653" s="2" t="s">
        <v>15</v>
      </c>
      <c r="G653" s="2" t="s">
        <v>1867</v>
      </c>
      <c r="H653" s="2" t="s">
        <v>111</v>
      </c>
      <c r="I653" s="2" t="str">
        <f>IFERROR(__xludf.DUMMYFUNCTION("GOOGLETRANSLATE(C653,""fr"",""en"")"),"Very easily understandable interlocutors, a very sympathetic advisor. My approach was fast and effective. I really appreciated professionalism and listening to my interlocutor.")</f>
        <v>Very easily understandable interlocutors, a very sympathetic advisor. My approach was fast and effective. I really appreciated professionalism and listening to my interlocutor.</v>
      </c>
    </row>
    <row r="654" ht="15.75" customHeight="1">
      <c r="A654" s="2">
        <v>2.0</v>
      </c>
      <c r="B654" s="2" t="s">
        <v>1868</v>
      </c>
      <c r="C654" s="2" t="s">
        <v>1869</v>
      </c>
      <c r="D654" s="2" t="s">
        <v>55</v>
      </c>
      <c r="E654" s="2" t="s">
        <v>14</v>
      </c>
      <c r="F654" s="2" t="s">
        <v>15</v>
      </c>
      <c r="G654" s="2" t="s">
        <v>1870</v>
      </c>
      <c r="H654" s="2" t="s">
        <v>132</v>
      </c>
      <c r="I654" s="2" t="str">
        <f>IFERROR(__xludf.DUMMYFUNCTION("GOOGLETRANSLATE(C654,""fr"",""en"")"),"Agent different every time,
Multiple management of files, not answer to letters sent to see losses of letters! Delocation of claims: Niort expert for a burglary, Douai expert for a car and no expert at all for pro civil liability!")</f>
        <v>Agent different every time,
Multiple management of files, not answer to letters sent to see losses of letters! Delocation of claims: Niort expert for a burglary, Douai expert for a car and no expert at all for pro civil liability!</v>
      </c>
    </row>
    <row r="655" ht="15.75" customHeight="1">
      <c r="A655" s="2">
        <v>1.0</v>
      </c>
      <c r="B655" s="2" t="s">
        <v>1871</v>
      </c>
      <c r="C655" s="2" t="s">
        <v>1872</v>
      </c>
      <c r="D655" s="2" t="s">
        <v>13</v>
      </c>
      <c r="E655" s="2" t="s">
        <v>21</v>
      </c>
      <c r="F655" s="2" t="s">
        <v>15</v>
      </c>
      <c r="G655" s="2" t="s">
        <v>452</v>
      </c>
      <c r="H655" s="2" t="s">
        <v>86</v>
      </c>
      <c r="I655" s="2" t="str">
        <f>IFERROR(__xludf.DUMMYFUNCTION("GOOGLETRANSLATE(C655,""fr"",""en"")"),"My father is retired from a small retirement he has been paying home insurance for more than 20 years without any request. His boiler breaks down following tension linked to bad weather.
And the sketch begins calls to a vocal server which insists you to "&amp;"go through the delegated assistance to an absolutely incompetent provider two days to tell us that we have to manage on its own.
Appeal for a declaration of claim even incompetence the person tells me that they will send us the number of the expert and t"&amp;"he number of the disaster victims we receive nothing and no news.
Why pay your insurance if it is to obtain no assistance no solution if it is four call to tell us to manage?
Catastrophic customer journey for pensions that we leave without hot and heati"&amp;"ng water fortunately they are well surrounded but I find it lamentable for a large group like that we should reimburse our contributions !!!
We had to take at our expense the assistance put of a temporary electric ball so that they can shower.
I stron"&amp;"gly advise against this insurance.
")</f>
        <v>My father is retired from a small retirement he has been paying home insurance for more than 20 years without any request. His boiler breaks down following tension linked to bad weather.
And the sketch begins calls to a vocal server which insists you to go through the delegated assistance to an absolutely incompetent provider two days to tell us that we have to manage on its own.
Appeal for a declaration of claim even incompetence the person tells me that they will send us the number of the expert and the number of the disaster victims we receive nothing and no news.
Why pay your insurance if it is to obtain no assistance no solution if it is four call to tell us to manage?
Catastrophic customer journey for pensions that we leave without hot and heating water fortunately they are well surrounded but I find it lamentable for a large group like that we should reimburse our contributions !!!
We had to take at our expense the assistance put of a temporary electric ball so that they can shower.
I strongly advise against this insurance.
</v>
      </c>
    </row>
    <row r="656" ht="15.75" customHeight="1">
      <c r="A656" s="2">
        <v>1.0</v>
      </c>
      <c r="B656" s="2" t="s">
        <v>1873</v>
      </c>
      <c r="C656" s="2" t="s">
        <v>1874</v>
      </c>
      <c r="D656" s="2" t="s">
        <v>233</v>
      </c>
      <c r="E656" s="2" t="s">
        <v>32</v>
      </c>
      <c r="F656" s="2" t="s">
        <v>15</v>
      </c>
      <c r="G656" s="2" t="s">
        <v>1542</v>
      </c>
      <c r="H656" s="2" t="s">
        <v>17</v>
      </c>
      <c r="I656" s="2" t="str">
        <f>IFERROR(__xludf.DUMMYFUNCTION("GOOGLETRANSLATE(C656,""fr"",""en"")"),"Catastrophic customer service. 6 months that I am waiting for Ani portability. Unreachable customer service without waiting minimum 10 minutes, messages from contradictory customer service, no up -to -date portal ... To believe that Generation does not wi"&amp;"sh to apply the law!")</f>
        <v>Catastrophic customer service. 6 months that I am waiting for Ani portability. Unreachable customer service without waiting minimum 10 minutes, messages from contradictory customer service, no up -to -date portal ... To believe that Generation does not wish to apply the law!</v>
      </c>
    </row>
    <row r="657" ht="15.75" customHeight="1">
      <c r="A657" s="2">
        <v>3.0</v>
      </c>
      <c r="B657" s="2" t="s">
        <v>1875</v>
      </c>
      <c r="C657" s="2" t="s">
        <v>1876</v>
      </c>
      <c r="D657" s="2" t="s">
        <v>26</v>
      </c>
      <c r="E657" s="2" t="s">
        <v>14</v>
      </c>
      <c r="F657" s="2" t="s">
        <v>15</v>
      </c>
      <c r="G657" s="2" t="s">
        <v>1737</v>
      </c>
      <c r="H657" s="2" t="s">
        <v>193</v>
      </c>
      <c r="I657" s="2" t="str">
        <f>IFERROR(__xludf.DUMMYFUNCTION("GOOGLETRANSLATE(C657,""fr"",""en"")"),"Historical client with an AXA broker for more than 33 years we have several contracts, two of which are my wife changes their car and surprise they double the cost of insurance while it was a micro nissan replaced by a Fiat 500 of 9 years 58,000 km
We we"&amp;"nt from 42 euros to 83 euros for limited use as a second car")</f>
        <v>Historical client with an AXA broker for more than 33 years we have several contracts, two of which are my wife changes their car and surprise they double the cost of insurance while it was a micro nissan replaced by a Fiat 500 of 9 years 58,000 km
We went from 42 euros to 83 euros for limited use as a second car</v>
      </c>
    </row>
    <row r="658" ht="15.75" customHeight="1">
      <c r="A658" s="2">
        <v>1.0</v>
      </c>
      <c r="B658" s="2" t="s">
        <v>1877</v>
      </c>
      <c r="C658" s="2" t="s">
        <v>1878</v>
      </c>
      <c r="D658" s="2" t="s">
        <v>101</v>
      </c>
      <c r="E658" s="2" t="s">
        <v>14</v>
      </c>
      <c r="F658" s="2" t="s">
        <v>15</v>
      </c>
      <c r="G658" s="2" t="s">
        <v>1879</v>
      </c>
      <c r="H658" s="2" t="s">
        <v>501</v>
      </c>
      <c r="I658" s="2" t="str">
        <f>IFERROR(__xludf.DUMMYFUNCTION("GOOGLETRANSLATE(C658,""fr"",""en"")")," Our Christmas gift disappears in the fire of our garage La Nuit de Noel 2010. It was a 911 964 C4 Targa Turbolook of 1992 prepared by the Alméras brothers and bought 27,000 euros a week earlier. She was assured of all risks therefore fire clause included"&amp;" awaiting expertise to be able to benefit from collection insurance. During the declaration of the claim I was told that my car was only a ""pile of scrap"" (sic) and that I will not be compensated. I have never been compensated. At the time, I had much m"&amp;"ore serious concerns to manage; So I dropped.")</f>
        <v> Our Christmas gift disappears in the fire of our garage La Nuit de Noel 2010. It was a 911 964 C4 Targa Turbolook of 1992 prepared by the Alméras brothers and bought 27,000 euros a week earlier. She was assured of all risks therefore fire clause included awaiting expertise to be able to benefit from collection insurance. During the declaration of the claim I was told that my car was only a "pile of scrap" (sic) and that I will not be compensated. I have never been compensated. At the time, I had much more serious concerns to manage; So I dropped.</v>
      </c>
    </row>
    <row r="659" ht="15.75" customHeight="1">
      <c r="A659" s="2">
        <v>4.0</v>
      </c>
      <c r="B659" s="2" t="s">
        <v>1880</v>
      </c>
      <c r="C659" s="2" t="s">
        <v>1881</v>
      </c>
      <c r="D659" s="2" t="s">
        <v>37</v>
      </c>
      <c r="E659" s="2" t="s">
        <v>14</v>
      </c>
      <c r="F659" s="2" t="s">
        <v>15</v>
      </c>
      <c r="G659" s="2" t="s">
        <v>491</v>
      </c>
      <c r="H659" s="2" t="s">
        <v>77</v>
      </c>
      <c r="I659" s="2" t="str">
        <f>IFERROR(__xludf.DUMMYFUNCTION("GOOGLETRANSLATE(C659,""fr"",""en"")"),"I am satisfied with the service, the arrangements made on the site, and all other steps. Everything is very easy to access and well explained on the site.")</f>
        <v>I am satisfied with the service, the arrangements made on the site, and all other steps. Everything is very easy to access and well explained on the site.</v>
      </c>
    </row>
    <row r="660" ht="15.75" customHeight="1">
      <c r="A660" s="2">
        <v>3.0</v>
      </c>
      <c r="B660" s="2" t="s">
        <v>1882</v>
      </c>
      <c r="C660" s="2" t="s">
        <v>1883</v>
      </c>
      <c r="D660" s="2" t="s">
        <v>70</v>
      </c>
      <c r="E660" s="2" t="s">
        <v>14</v>
      </c>
      <c r="F660" s="2" t="s">
        <v>15</v>
      </c>
      <c r="G660" s="2" t="s">
        <v>1884</v>
      </c>
      <c r="H660" s="2" t="s">
        <v>282</v>
      </c>
      <c r="I660" s="2" t="str">
        <f>IFERROR(__xludf.DUMMYFUNCTION("GOOGLETRANSLATE(C660,""fr"",""en"")"),"Geneviève opinion")</f>
        <v>Geneviève opinion</v>
      </c>
    </row>
    <row r="661" ht="15.75" customHeight="1">
      <c r="A661" s="2">
        <v>2.0</v>
      </c>
      <c r="B661" s="2" t="s">
        <v>1885</v>
      </c>
      <c r="C661" s="2" t="s">
        <v>1886</v>
      </c>
      <c r="D661" s="2" t="s">
        <v>692</v>
      </c>
      <c r="E661" s="2" t="s">
        <v>14</v>
      </c>
      <c r="F661" s="2" t="s">
        <v>15</v>
      </c>
      <c r="G661" s="2" t="s">
        <v>383</v>
      </c>
      <c r="H661" s="2" t="s">
        <v>86</v>
      </c>
      <c r="I661" s="2" t="str">
        <f>IFERROR(__xludf.DUMMYFUNCTION("GOOGLETRANSLATE(C661,""fr"",""en"")"),"Vehicle purchased at the end of January 2021 and guaranteed 1 year by the dealer destroyed following an accident not responsible on July 30 The matmut expert gives value € 3000 lower than the purchase value and offers me to buy a vehicle An individual on "&amp;"the right corner without any guarantee!
I conclude that the Matmut only guarantees vehicles purchased without any warranty so if like me you prefer for your safety to buy in the manufacturer's network with all the guarantees that this implies (real km, m"&amp;"aintenance book. Sale 1 year) go your way and avoid this company!")</f>
        <v>Vehicle purchased at the end of January 2021 and guaranteed 1 year by the dealer destroyed following an accident not responsible on July 30 The matmut expert gives value € 3000 lower than the purchase value and offers me to buy a vehicle An individual on the right corner without any guarantee!
I conclude that the Matmut only guarantees vehicles purchased without any warranty so if like me you prefer for your safety to buy in the manufacturer's network with all the guarantees that this implies (real km, maintenance book. Sale 1 year) go your way and avoid this company!</v>
      </c>
    </row>
    <row r="662" ht="15.75" customHeight="1">
      <c r="A662" s="2">
        <v>4.0</v>
      </c>
      <c r="B662" s="2" t="s">
        <v>1887</v>
      </c>
      <c r="C662" s="2" t="s">
        <v>1888</v>
      </c>
      <c r="D662" s="2" t="s">
        <v>37</v>
      </c>
      <c r="E662" s="2" t="s">
        <v>14</v>
      </c>
      <c r="F662" s="2" t="s">
        <v>15</v>
      </c>
      <c r="G662" s="2" t="s">
        <v>1076</v>
      </c>
      <c r="H662" s="2" t="s">
        <v>86</v>
      </c>
      <c r="I662" s="2" t="str">
        <f>IFERROR(__xludf.DUMMYFUNCTION("GOOGLETRANSLATE(C662,""fr"",""en"")"),"I am satisfied with good telephone welcome well informed clear and precise explanations to advise my entourage very good insurance thank you
Cordially
")</f>
        <v>I am satisfied with good telephone welcome well informed clear and precise explanations to advise my entourage very good insurance thank you
Cordially
</v>
      </c>
    </row>
    <row r="663" ht="15.75" customHeight="1">
      <c r="A663" s="2">
        <v>3.0</v>
      </c>
      <c r="B663" s="2" t="s">
        <v>1889</v>
      </c>
      <c r="C663" s="2" t="s">
        <v>1890</v>
      </c>
      <c r="D663" s="2" t="s">
        <v>37</v>
      </c>
      <c r="E663" s="2" t="s">
        <v>14</v>
      </c>
      <c r="F663" s="2" t="s">
        <v>15</v>
      </c>
      <c r="G663" s="2" t="s">
        <v>476</v>
      </c>
      <c r="H663" s="2" t="s">
        <v>107</v>
      </c>
      <c r="I663" s="2" t="str">
        <f>IFERROR(__xludf.DUMMYFUNCTION("GOOGLETRANSLATE(C663,""fr"",""en"")"),"I’m satisfied with the services at the moment because I’ve had no drawbacks to date. I hope everything will go well in the future if there is a need")</f>
        <v>I’m satisfied with the services at the moment because I’ve had no drawbacks to date. I hope everything will go well in the future if there is a need</v>
      </c>
    </row>
    <row r="664" ht="15.75" customHeight="1">
      <c r="A664" s="2">
        <v>4.0</v>
      </c>
      <c r="B664" s="2" t="s">
        <v>1891</v>
      </c>
      <c r="C664" s="2" t="s">
        <v>1892</v>
      </c>
      <c r="D664" s="2" t="s">
        <v>846</v>
      </c>
      <c r="E664" s="2" t="s">
        <v>153</v>
      </c>
      <c r="F664" s="2" t="s">
        <v>15</v>
      </c>
      <c r="G664" s="2" t="s">
        <v>1828</v>
      </c>
      <c r="H664" s="2" t="s">
        <v>193</v>
      </c>
      <c r="I664" s="2" t="str">
        <f>IFERROR(__xludf.DUMMYFUNCTION("GOOGLETRANSLATE(C664,""fr"",""en"")"),"Too bad the OVH problem that changes our deadlines for setting up a month.
Otherwise nothing to say, welcome and perfect treatment.
Professional and accommodating staff")</f>
        <v>Too bad the OVH problem that changes our deadlines for setting up a month.
Otherwise nothing to say, welcome and perfect treatment.
Professional and accommodating staff</v>
      </c>
    </row>
    <row r="665" ht="15.75" customHeight="1">
      <c r="A665" s="2">
        <v>4.0</v>
      </c>
      <c r="B665" s="2" t="s">
        <v>1893</v>
      </c>
      <c r="C665" s="2" t="s">
        <v>1894</v>
      </c>
      <c r="D665" s="2" t="s">
        <v>37</v>
      </c>
      <c r="E665" s="2" t="s">
        <v>14</v>
      </c>
      <c r="F665" s="2" t="s">
        <v>15</v>
      </c>
      <c r="G665" s="2" t="s">
        <v>118</v>
      </c>
      <c r="H665" s="2" t="s">
        <v>77</v>
      </c>
      <c r="I665" s="2" t="str">
        <f>IFERROR(__xludf.DUMMYFUNCTION("GOOGLETRANSLATE(C665,""fr"",""en"")"),"Very welcome and good responsiveness concerning the implementation of contract. The prices are attractive, and the implementation of the simple insurance contract.")</f>
        <v>Very welcome and good responsiveness concerning the implementation of contract. The prices are attractive, and the implementation of the simple insurance contract.</v>
      </c>
    </row>
    <row r="666" ht="15.75" customHeight="1">
      <c r="A666" s="2">
        <v>5.0</v>
      </c>
      <c r="B666" s="2" t="s">
        <v>1895</v>
      </c>
      <c r="C666" s="2" t="s">
        <v>1896</v>
      </c>
      <c r="D666" s="2" t="s">
        <v>37</v>
      </c>
      <c r="E666" s="2" t="s">
        <v>14</v>
      </c>
      <c r="F666" s="2" t="s">
        <v>15</v>
      </c>
      <c r="G666" s="2" t="s">
        <v>540</v>
      </c>
      <c r="H666" s="2" t="s">
        <v>193</v>
      </c>
      <c r="I666" s="2" t="str">
        <f>IFERROR(__xludf.DUMMYFUNCTION("GOOGLETRANSLATE(C666,""fr"",""en"")"),"I am satisfied with the service and very affordable prices. The site is functional and the offer is complete! Very fluid to use and very fast.")</f>
        <v>I am satisfied with the service and very affordable prices. The site is functional and the offer is complete! Very fluid to use and very fast.</v>
      </c>
    </row>
    <row r="667" ht="15.75" customHeight="1">
      <c r="A667" s="2">
        <v>4.0</v>
      </c>
      <c r="B667" s="2" t="s">
        <v>1897</v>
      </c>
      <c r="C667" s="2" t="s">
        <v>1898</v>
      </c>
      <c r="D667" s="2" t="s">
        <v>75</v>
      </c>
      <c r="E667" s="2" t="s">
        <v>14</v>
      </c>
      <c r="F667" s="2" t="s">
        <v>15</v>
      </c>
      <c r="G667" s="2" t="s">
        <v>1899</v>
      </c>
      <c r="H667" s="2" t="s">
        <v>77</v>
      </c>
      <c r="I667" s="2" t="str">
        <f>IFERROR(__xludf.DUMMYFUNCTION("GOOGLETRANSLATE(C667,""fr"",""en"")"),"Very good after -sales service by instant messaging. I have always insured my vehicles at home and I am not disappointed. Too bad at the home they are not more competitive.")</f>
        <v>Very good after -sales service by instant messaging. I have always insured my vehicles at home and I am not disappointed. Too bad at the home they are not more competitive.</v>
      </c>
    </row>
    <row r="668" ht="15.75" customHeight="1">
      <c r="A668" s="2">
        <v>1.0</v>
      </c>
      <c r="B668" s="2" t="s">
        <v>1900</v>
      </c>
      <c r="C668" s="2" t="s">
        <v>1901</v>
      </c>
      <c r="D668" s="2" t="s">
        <v>70</v>
      </c>
      <c r="E668" s="2" t="s">
        <v>14</v>
      </c>
      <c r="F668" s="2" t="s">
        <v>15</v>
      </c>
      <c r="G668" s="2" t="s">
        <v>286</v>
      </c>
      <c r="H668" s="2" t="s">
        <v>286</v>
      </c>
      <c r="I668" s="2" t="str">
        <f>IFERROR(__xludf.DUMMYFUNCTION("GOOGLETRANSLATE(C668,""fr"",""en"")"),"In 8 years of permit these the first time I call on insurance for my vehicle which has been scratched throughout the right listed as well as the door and the cash wheat damage more than a month to have an appointment all that To recover the vehicle and ga"&amp;"lley while Mr the expert takes are time and that I am told that they only take care of the two door and not the rest because it is not the same thing basically I must Pay two franchise and more than one month to have an appointment to carry out the work o"&amp;"n my car. So I'm just going to have the doors repaired because I can't afford to pay two franchises thank you GMF and once the repair is made goodbye.")</f>
        <v>In 8 years of permit these the first time I call on insurance for my vehicle which has been scratched throughout the right listed as well as the door and the cash wheat damage more than a month to have an appointment all that To recover the vehicle and galley while Mr the expert takes are time and that I am told that they only take care of the two door and not the rest because it is not the same thing basically I must Pay two franchise and more than one month to have an appointment to carry out the work on my car. So I'm just going to have the doors repaired because I can't afford to pay two franchises thank you GMF and once the repair is made goodbye.</v>
      </c>
    </row>
    <row r="669" ht="15.75" customHeight="1">
      <c r="A669" s="2">
        <v>5.0</v>
      </c>
      <c r="B669" s="2" t="s">
        <v>1902</v>
      </c>
      <c r="C669" s="2" t="s">
        <v>1903</v>
      </c>
      <c r="D669" s="2" t="s">
        <v>173</v>
      </c>
      <c r="E669" s="2" t="s">
        <v>32</v>
      </c>
      <c r="F669" s="2" t="s">
        <v>15</v>
      </c>
      <c r="G669" s="2" t="s">
        <v>1364</v>
      </c>
      <c r="H669" s="2" t="s">
        <v>694</v>
      </c>
      <c r="I669" s="2" t="str">
        <f>IFERROR(__xludf.DUMMYFUNCTION("GOOGLETRANSLATE(C669,""fr"",""en"")"),"Caroline helped me solve my very effective, and very fast handling problem, only took a few minutes! Very little customer service are also effective ................................")</f>
        <v>Caroline helped me solve my very effective, and very fast handling problem, only took a few minutes! Very little customer service are also effective ................................</v>
      </c>
    </row>
    <row r="670" ht="15.75" customHeight="1">
      <c r="A670" s="2">
        <v>1.0</v>
      </c>
      <c r="B670" s="2" t="s">
        <v>1904</v>
      </c>
      <c r="C670" s="2" t="s">
        <v>1905</v>
      </c>
      <c r="D670" s="2" t="s">
        <v>13</v>
      </c>
      <c r="E670" s="2" t="s">
        <v>14</v>
      </c>
      <c r="F670" s="2" t="s">
        <v>15</v>
      </c>
      <c r="G670" s="2" t="s">
        <v>781</v>
      </c>
      <c r="H670" s="2" t="s">
        <v>677</v>
      </c>
      <c r="I670" s="2" t="str">
        <f>IFERROR(__xludf.DUMMYFUNCTION("GOOGLETRANSLATE(C670,""fr"",""en"")"),"I was properly parked when a driver hung me! Not being on site a witness raised the license plate! I carried out all the necessary steps but no news on their part! He cannot make the repairs to me because the witness does not answer but strangely when I c"&amp;"all the witness, this one did necessary to return the information!
Insurance that leaves something to be desired
What to do now ????")</f>
        <v>I was properly parked when a driver hung me! Not being on site a witness raised the license plate! I carried out all the necessary steps but no news on their part! He cannot make the repairs to me because the witness does not answer but strangely when I call the witness, this one did necessary to return the information!
Insurance that leaves something to be desired
What to do now ????</v>
      </c>
    </row>
    <row r="671" ht="15.75" customHeight="1">
      <c r="A671" s="2">
        <v>1.0</v>
      </c>
      <c r="B671" s="2" t="s">
        <v>1906</v>
      </c>
      <c r="C671" s="2" t="s">
        <v>1907</v>
      </c>
      <c r="D671" s="2" t="s">
        <v>75</v>
      </c>
      <c r="E671" s="2" t="s">
        <v>21</v>
      </c>
      <c r="F671" s="2" t="s">
        <v>15</v>
      </c>
      <c r="G671" s="2" t="s">
        <v>1908</v>
      </c>
      <c r="H671" s="2" t="s">
        <v>115</v>
      </c>
      <c r="I671" s="2" t="str">
        <f>IFERROR(__xludf.DUMMYFUNCTION("GOOGLETRANSLATE(C671,""fr"",""en"")"),"Very disappointing. Late and unsuitable reaction. Really make fun of customers. To be advised. I had a house and two cars insured at home, it's over. I will not advertise them.")</f>
        <v>Very disappointing. Late and unsuitable reaction. Really make fun of customers. To be advised. I had a house and two cars insured at home, it's over. I will not advertise them.</v>
      </c>
    </row>
    <row r="672" ht="15.75" customHeight="1">
      <c r="A672" s="2">
        <v>1.0</v>
      </c>
      <c r="B672" s="2" t="s">
        <v>1909</v>
      </c>
      <c r="C672" s="2" t="s">
        <v>1910</v>
      </c>
      <c r="D672" s="2" t="s">
        <v>26</v>
      </c>
      <c r="E672" s="2" t="s">
        <v>65</v>
      </c>
      <c r="F672" s="2" t="s">
        <v>15</v>
      </c>
      <c r="G672" s="2" t="s">
        <v>1911</v>
      </c>
      <c r="H672" s="2" t="s">
        <v>223</v>
      </c>
      <c r="I672" s="2" t="str">
        <f>IFERROR(__xludf.DUMMYFUNCTION("GOOGLETRANSLATE(C672,""fr"",""en"")"),"A really pitiful company, it took me 3 months, to obtain the total repurchase of my 3 contracts, while legally, it is 15 days.
They rock you, by making Salamalecs, as they have received the mail well, but they will make you languish, you call them, you c"&amp;"ome across cacochyms, or the French, they do not understand it.
Not to mention the incompetence of my regional advisor (M K ..... Thomas) who has not responded to my emails since December 27.
In addition a company that has just made record profits in 20"&amp;"16.
Suddenly, I removed my auto and home insurance.
To want to win everything, they lost everything.
Dixit Montesqieu, when you run after the mind, you catch it foolish.
")</f>
        <v>A really pitiful company, it took me 3 months, to obtain the total repurchase of my 3 contracts, while legally, it is 15 days.
They rock you, by making Salamalecs, as they have received the mail well, but they will make you languish, you call them, you come across cacochyms, or the French, they do not understand it.
Not to mention the incompetence of my regional advisor (M K ..... Thomas) who has not responded to my emails since December 27.
In addition a company that has just made record profits in 2016.
Suddenly, I removed my auto and home insurance.
To want to win everything, they lost everything.
Dixit Montesqieu, when you run after the mind, you catch it foolish.
</v>
      </c>
    </row>
    <row r="673" ht="15.75" customHeight="1">
      <c r="A673" s="2">
        <v>2.0</v>
      </c>
      <c r="B673" s="2" t="s">
        <v>1912</v>
      </c>
      <c r="C673" s="2" t="s">
        <v>1913</v>
      </c>
      <c r="D673" s="2" t="s">
        <v>42</v>
      </c>
      <c r="E673" s="2" t="s">
        <v>32</v>
      </c>
      <c r="F673" s="2" t="s">
        <v>15</v>
      </c>
      <c r="G673" s="2" t="s">
        <v>1914</v>
      </c>
      <c r="H673" s="2" t="s">
        <v>57</v>
      </c>
      <c r="I673" s="2" t="str">
        <f>IFERROR(__xludf.DUMMYFUNCTION("GOOGLETRANSLATE(C673,""fr"",""en"")"),"I have been at MGEN for 40 years but so dissatisfied for a few months that I am seriously thinking of changing !!
They brighten up letters, everything is centralized, no response can be given by the local section ... In short, we do not know who to conta"&amp;"ct the complaints, no one knows anything, no one knows!
I have followed my fourth complaint for 5 weeks, to date no response ...
Due to MGEN: around 500 euros!")</f>
        <v>I have been at MGEN for 40 years but so dissatisfied for a few months that I am seriously thinking of changing !!
They brighten up letters, everything is centralized, no response can be given by the local section ... In short, we do not know who to contact the complaints, no one knows anything, no one knows!
I have followed my fourth complaint for 5 weeks, to date no response ...
Due to MGEN: around 500 euros!</v>
      </c>
    </row>
    <row r="674" ht="15.75" customHeight="1">
      <c r="A674" s="2">
        <v>4.0</v>
      </c>
      <c r="B674" s="2" t="s">
        <v>1915</v>
      </c>
      <c r="C674" s="2" t="s">
        <v>1916</v>
      </c>
      <c r="D674" s="2" t="s">
        <v>70</v>
      </c>
      <c r="E674" s="2" t="s">
        <v>14</v>
      </c>
      <c r="F674" s="2" t="s">
        <v>15</v>
      </c>
      <c r="G674" s="2" t="s">
        <v>1917</v>
      </c>
      <c r="H674" s="2" t="s">
        <v>341</v>
      </c>
      <c r="I674" s="2" t="str">
        <f>IFERROR(__xludf.DUMMYFUNCTION("GOOGLETRANSLATE(C674,""fr"",""en"")"),"Overall, on the basis of GMF membership for 45 years, I really have very very few grievances to blame this effective mutual and prices that appear close to those of other mutuals.")</f>
        <v>Overall, on the basis of GMF membership for 45 years, I really have very very few grievances to blame this effective mutual and prices that appear close to those of other mutuals.</v>
      </c>
    </row>
    <row r="675" ht="15.75" customHeight="1">
      <c r="A675" s="2">
        <v>1.0</v>
      </c>
      <c r="B675" s="2" t="s">
        <v>1918</v>
      </c>
      <c r="C675" s="2" t="s">
        <v>1919</v>
      </c>
      <c r="D675" s="2" t="s">
        <v>394</v>
      </c>
      <c r="E675" s="2" t="s">
        <v>32</v>
      </c>
      <c r="F675" s="2" t="s">
        <v>15</v>
      </c>
      <c r="G675" s="2" t="s">
        <v>1920</v>
      </c>
      <c r="H675" s="2" t="s">
        <v>286</v>
      </c>
      <c r="I675" s="2" t="str">
        <f>IFERROR(__xludf.DUMMYFUNCTION("GOOGLETRANSLATE(C675,""fr"",""en"")"),"To flee")</f>
        <v>To flee</v>
      </c>
    </row>
    <row r="676" ht="15.75" customHeight="1">
      <c r="A676" s="2">
        <v>5.0</v>
      </c>
      <c r="B676" s="2" t="s">
        <v>1921</v>
      </c>
      <c r="C676" s="2" t="s">
        <v>1922</v>
      </c>
      <c r="D676" s="2" t="s">
        <v>1923</v>
      </c>
      <c r="E676" s="2" t="s">
        <v>90</v>
      </c>
      <c r="F676" s="2" t="s">
        <v>15</v>
      </c>
      <c r="G676" s="2" t="s">
        <v>1924</v>
      </c>
      <c r="H676" s="2" t="s">
        <v>406</v>
      </c>
      <c r="I676" s="2" t="str">
        <f>IFERROR(__xludf.DUMMYFUNCTION("GOOGLETRANSLATE(C676,""fr"",""en"")"),"very good service
Quick and easy refund
Listening customer service, top top!
I recommend for animals")</f>
        <v>very good service
Quick and easy refund
Listening customer service, top top!
I recommend for animals</v>
      </c>
    </row>
    <row r="677" ht="15.75" customHeight="1">
      <c r="A677" s="2">
        <v>1.0</v>
      </c>
      <c r="B677" s="2" t="s">
        <v>1925</v>
      </c>
      <c r="C677" s="2" t="s">
        <v>1926</v>
      </c>
      <c r="D677" s="2" t="s">
        <v>199</v>
      </c>
      <c r="E677" s="2" t="s">
        <v>32</v>
      </c>
      <c r="F677" s="2" t="s">
        <v>15</v>
      </c>
      <c r="G677" s="2" t="s">
        <v>83</v>
      </c>
      <c r="H677" s="2" t="s">
        <v>83</v>
      </c>
      <c r="I677" s="2" t="str">
        <f>IFERROR(__xludf.DUMMYFUNCTION("GOOGLETRANSLATE(C677,""fr"",""en"")"),"It has been two years now that my attempts at termination have failed. Each time, a new pattern ... no possible arrangement. Increase in exponential prices, this has doubled since my initial membership !!!
TO FLEE")</f>
        <v>It has been two years now that my attempts at termination have failed. Each time, a new pattern ... no possible arrangement. Increase in exponential prices, this has doubled since my initial membership !!!
TO FLEE</v>
      </c>
    </row>
    <row r="678" ht="15.75" customHeight="1">
      <c r="A678" s="2">
        <v>5.0</v>
      </c>
      <c r="B678" s="2" t="s">
        <v>1927</v>
      </c>
      <c r="C678" s="2" t="s">
        <v>1928</v>
      </c>
      <c r="D678" s="2" t="s">
        <v>37</v>
      </c>
      <c r="E678" s="2" t="s">
        <v>14</v>
      </c>
      <c r="F678" s="2" t="s">
        <v>15</v>
      </c>
      <c r="G678" s="2" t="s">
        <v>837</v>
      </c>
      <c r="H678" s="2" t="s">
        <v>77</v>
      </c>
      <c r="I678" s="2" t="str">
        <f>IFERROR(__xludf.DUMMYFUNCTION("GOOGLETRANSLATE(C678,""fr"",""en"")"),"satisfactory service, pleasant and competent staff ...
Quick management in the event of a claim, the prices are very correct, perfect for me!")</f>
        <v>satisfactory service, pleasant and competent staff ...
Quick management in the event of a claim, the prices are very correct, perfect for me!</v>
      </c>
    </row>
    <row r="679" ht="15.75" customHeight="1">
      <c r="A679" s="2">
        <v>1.0</v>
      </c>
      <c r="B679" s="2" t="s">
        <v>1929</v>
      </c>
      <c r="C679" s="2" t="s">
        <v>1930</v>
      </c>
      <c r="D679" s="2" t="s">
        <v>199</v>
      </c>
      <c r="E679" s="2" t="s">
        <v>32</v>
      </c>
      <c r="F679" s="2" t="s">
        <v>15</v>
      </c>
      <c r="G679" s="2" t="s">
        <v>1931</v>
      </c>
      <c r="H679" s="2" t="s">
        <v>28</v>
      </c>
      <c r="I679" s="2" t="str">
        <f>IFERROR(__xludf.DUMMYFUNCTION("GOOGLETRANSLATE(C679,""fr"",""en"")"),"I have been a new Cegema member since early May 2021, I am very disappointed. And strongly regrets having changed. Refunds not in accordance with the contract subscribed, the worst of everything, they are unreachable by telephone time time 1 hour without "&amp;"response, we do not know how to solve our problems, even my broker also encounters his concerns. It is scandalous to act thus with customers. The only thing that works very well the subscription of contracts and the levy of the monthly subscription. Not g"&amp;"reat for seniors to flee.")</f>
        <v>I have been a new Cegema member since early May 2021, I am very disappointed. And strongly regrets having changed. Refunds not in accordance with the contract subscribed, the worst of everything, they are unreachable by telephone time time 1 hour without response, we do not know how to solve our problems, even my broker also encounters his concerns. It is scandalous to act thus with customers. The only thing that works very well the subscription of contracts and the levy of the monthly subscription. Not great for seniors to flee.</v>
      </c>
    </row>
    <row r="680" ht="15.75" customHeight="1">
      <c r="A680" s="2">
        <v>5.0</v>
      </c>
      <c r="B680" s="2" t="s">
        <v>1932</v>
      </c>
      <c r="C680" s="2" t="s">
        <v>1933</v>
      </c>
      <c r="D680" s="2" t="s">
        <v>229</v>
      </c>
      <c r="E680" s="2" t="s">
        <v>96</v>
      </c>
      <c r="F680" s="2" t="s">
        <v>15</v>
      </c>
      <c r="G680" s="2" t="s">
        <v>1934</v>
      </c>
      <c r="H680" s="2" t="s">
        <v>341</v>
      </c>
      <c r="I680" s="2" t="str">
        <f>IFERROR(__xludf.DUMMYFUNCTION("GOOGLETRANSLATE(C680,""fr"",""en"")"),"Ensured for almost 20 years for a scooter and termination because the sale of the 2 wheels and more desire to have another. Value for money at the top, fast responses both by email and directly by phone. Ease of procedures directly on the site.")</f>
        <v>Ensured for almost 20 years for a scooter and termination because the sale of the 2 wheels and more desire to have another. Value for money at the top, fast responses both by email and directly by phone. Ease of procedures directly on the site.</v>
      </c>
    </row>
    <row r="681" ht="15.75" customHeight="1">
      <c r="A681" s="2">
        <v>1.0</v>
      </c>
      <c r="B681" s="2" t="s">
        <v>1935</v>
      </c>
      <c r="C681" s="2" t="s">
        <v>1936</v>
      </c>
      <c r="D681" s="2" t="s">
        <v>579</v>
      </c>
      <c r="E681" s="2" t="s">
        <v>14</v>
      </c>
      <c r="F681" s="2" t="s">
        <v>15</v>
      </c>
      <c r="G681" s="2" t="s">
        <v>1937</v>
      </c>
      <c r="H681" s="2" t="s">
        <v>44</v>
      </c>
      <c r="I681" s="2" t="str">
        <f>IFERROR(__xludf.DUMMYFUNCTION("GOOGLETRANSLATE(C681,""fr"",""en"")"),"A break in ice in 1 year and a half a vandalism in my workplace and the same as everyone a termination of course by an AR this morning. Obviously on the information statement I am marked as terminated by insurance and does not find an insurer when I have "&amp;"a bonus of 0.80.")</f>
        <v>A break in ice in 1 year and a half a vandalism in my workplace and the same as everyone a termination of course by an AR this morning. Obviously on the information statement I am marked as terminated by insurance and does not find an insurer when I have a bonus of 0.80.</v>
      </c>
    </row>
    <row r="682" ht="15.75" customHeight="1">
      <c r="A682" s="2">
        <v>1.0</v>
      </c>
      <c r="B682" s="2" t="s">
        <v>1938</v>
      </c>
      <c r="C682" s="2" t="s">
        <v>1939</v>
      </c>
      <c r="D682" s="2" t="s">
        <v>42</v>
      </c>
      <c r="E682" s="2" t="s">
        <v>32</v>
      </c>
      <c r="F682" s="2" t="s">
        <v>15</v>
      </c>
      <c r="G682" s="2" t="s">
        <v>1940</v>
      </c>
      <c r="H682" s="2" t="s">
        <v>521</v>
      </c>
      <c r="I682" s="2" t="str">
        <f>IFERROR(__xludf.DUMMYFUNCTION("GOOGLETRANSLATE(C682,""fr"",""en"")"),"I found the MGEN very expensive for shabby reimbursements but since confinement it is catastrophic. Impossible to have the assets at the phones, the sections are closed, when you send an email you are more likely to win the lottery than to have an answer "&amp;"to the email.
And what about the incompetence and the lack of knowledge of the employees (worse with the management which does not understand anything). I was lucky (or unlucky) to meet a ""pseudo responsible"" responsible during their tour in the establ"&amp;"ishments and I was afflicted by his ignorance of the MGEN. She was right there to drink the coffee.
I left the MGEN recently and I am at the mage which for the moment gives me fully satisfaction (good price good refund, reachable and competent personal ."&amp;"..... all that is missing at MGEN")</f>
        <v>I found the MGEN very expensive for shabby reimbursements but since confinement it is catastrophic. Impossible to have the assets at the phones, the sections are closed, when you send an email you are more likely to win the lottery than to have an answer to the email.
And what about the incompetence and the lack of knowledge of the employees (worse with the management which does not understand anything). I was lucky (or unlucky) to meet a "pseudo responsible" responsible during their tour in the establishments and I was afflicted by his ignorance of the MGEN. She was right there to drink the coffee.
I left the MGEN recently and I am at the mage which for the moment gives me fully satisfaction (good price good refund, reachable and competent personal ...... all that is missing at MGEN</v>
      </c>
    </row>
    <row r="683" ht="15.75" customHeight="1">
      <c r="A683" s="2">
        <v>5.0</v>
      </c>
      <c r="B683" s="2" t="s">
        <v>1941</v>
      </c>
      <c r="C683" s="2" t="s">
        <v>1942</v>
      </c>
      <c r="D683" s="2" t="s">
        <v>37</v>
      </c>
      <c r="E683" s="2" t="s">
        <v>14</v>
      </c>
      <c r="F683" s="2" t="s">
        <v>15</v>
      </c>
      <c r="G683" s="2" t="s">
        <v>1943</v>
      </c>
      <c r="H683" s="2" t="s">
        <v>98</v>
      </c>
      <c r="I683" s="2" t="str">
        <f>IFERROR(__xludf.DUMMYFUNCTION("GOOGLETRANSLATE(C683,""fr"",""en"")"),"Already subscribed to another insurance company I can say in comparison that I am very satisfied with the service offered by the olive tree that I recommend 200%, the prices are very attractive and customer service at the top!")</f>
        <v>Already subscribed to another insurance company I can say in comparison that I am very satisfied with the service offered by the olive tree that I recommend 200%, the prices are very attractive and customer service at the top!</v>
      </c>
    </row>
    <row r="684" ht="15.75" customHeight="1">
      <c r="A684" s="2">
        <v>5.0</v>
      </c>
      <c r="B684" s="2" t="s">
        <v>1944</v>
      </c>
      <c r="C684" s="2" t="s">
        <v>1945</v>
      </c>
      <c r="D684" s="2" t="s">
        <v>37</v>
      </c>
      <c r="E684" s="2" t="s">
        <v>14</v>
      </c>
      <c r="F684" s="2" t="s">
        <v>15</v>
      </c>
      <c r="G684" s="2" t="s">
        <v>267</v>
      </c>
      <c r="H684" s="2" t="s">
        <v>86</v>
      </c>
      <c r="I684" s="2" t="str">
        <f>IFERROR(__xludf.DUMMYFUNCTION("GOOGLETRANSLATE(C684,""fr"",""en"")"),"Hello
I am satisfied 10/10 The staff is pleasant and always available also the correct sound prices with interesting options.
thanks to the whole team")</f>
        <v>Hello
I am satisfied 10/10 The staff is pleasant and always available also the correct sound prices with interesting options.
thanks to the whole team</v>
      </c>
    </row>
    <row r="685" ht="15.75" customHeight="1">
      <c r="A685" s="2">
        <v>3.0</v>
      </c>
      <c r="B685" s="2" t="s">
        <v>1946</v>
      </c>
      <c r="C685" s="2" t="s">
        <v>1947</v>
      </c>
      <c r="D685" s="2" t="s">
        <v>75</v>
      </c>
      <c r="E685" s="2" t="s">
        <v>14</v>
      </c>
      <c r="F685" s="2" t="s">
        <v>15</v>
      </c>
      <c r="G685" s="2" t="s">
        <v>1948</v>
      </c>
      <c r="H685" s="2" t="s">
        <v>86</v>
      </c>
      <c r="I685" s="2" t="str">
        <f>IFERROR(__xludf.DUMMYFUNCTION("GOOGLETRANSLATE(C685,""fr"",""en"")"),"Yes quite happy I am happy with the speed of the contract it seems very very well seen I recommend this insurance for the well -being of all and all")</f>
        <v>Yes quite happy I am happy with the speed of the contract it seems very very well seen I recommend this insurance for the well -being of all and all</v>
      </c>
    </row>
    <row r="686" ht="15.75" customHeight="1">
      <c r="A686" s="2">
        <v>1.0</v>
      </c>
      <c r="B686" s="2" t="s">
        <v>1949</v>
      </c>
      <c r="C686" s="2" t="s">
        <v>1950</v>
      </c>
      <c r="D686" s="2" t="s">
        <v>26</v>
      </c>
      <c r="E686" s="2" t="s">
        <v>14</v>
      </c>
      <c r="F686" s="2" t="s">
        <v>15</v>
      </c>
      <c r="G686" s="2" t="s">
        <v>663</v>
      </c>
      <c r="H686" s="2" t="s">
        <v>28</v>
      </c>
      <c r="I686" s="2" t="str">
        <f>IFERROR(__xludf.DUMMYFUNCTION("GOOGLETRANSLATE(C686,""fr"",""en"")"),"A group like AXA are unable to make a change of address ... in a hassle with this insurance since 23/04/2021 to date on 3/06/2021 My mail arrives at my old address ...... .Brovo the dummies")</f>
        <v>A group like AXA are unable to make a change of address ... in a hassle with this insurance since 23/04/2021 to date on 3/06/2021 My mail arrives at my old address ...... .Brovo the dummies</v>
      </c>
    </row>
    <row r="687" ht="15.75" customHeight="1">
      <c r="A687" s="2">
        <v>2.0</v>
      </c>
      <c r="B687" s="2" t="s">
        <v>1951</v>
      </c>
      <c r="C687" s="2" t="s">
        <v>1952</v>
      </c>
      <c r="D687" s="2" t="s">
        <v>199</v>
      </c>
      <c r="E687" s="2" t="s">
        <v>32</v>
      </c>
      <c r="F687" s="2" t="s">
        <v>15</v>
      </c>
      <c r="G687" s="2" t="s">
        <v>1953</v>
      </c>
      <c r="H687" s="2" t="s">
        <v>34</v>
      </c>
      <c r="I687" s="2" t="str">
        <f>IFERROR(__xludf.DUMMYFUNCTION("GOOGLETRANSLATE(C687,""fr"",""en"")"),"No administrative follow -up. I wait in vain that this mutual is doing what is necessary for remote transmission. Despite my requests no response by email or telephone. At the end of the year I leave them without regret")</f>
        <v>No administrative follow -up. I wait in vain that this mutual is doing what is necessary for remote transmission. Despite my requests no response by email or telephone. At the end of the year I leave them without regret</v>
      </c>
    </row>
    <row r="688" ht="15.75" customHeight="1">
      <c r="A688" s="2">
        <v>4.0</v>
      </c>
      <c r="B688" s="2" t="s">
        <v>1954</v>
      </c>
      <c r="C688" s="2" t="s">
        <v>1955</v>
      </c>
      <c r="D688" s="2" t="s">
        <v>75</v>
      </c>
      <c r="E688" s="2" t="s">
        <v>14</v>
      </c>
      <c r="F688" s="2" t="s">
        <v>15</v>
      </c>
      <c r="G688" s="2" t="s">
        <v>769</v>
      </c>
      <c r="H688" s="2" t="s">
        <v>107</v>
      </c>
      <c r="I688" s="2" t="str">
        <f>IFERROR(__xludf.DUMMYFUNCTION("GOOGLETRANSLATE(C688,""fr"",""en"")"),"I am satisfied with the service, the support is serious and patient.
The prices are correct. The conditions and the offers are clear and unequivocal.")</f>
        <v>I am satisfied with the service, the support is serious and patient.
The prices are correct. The conditions and the offers are clear and unequivocal.</v>
      </c>
    </row>
    <row r="689" ht="15.75" customHeight="1">
      <c r="A689" s="2">
        <v>5.0</v>
      </c>
      <c r="B689" s="2" t="s">
        <v>1956</v>
      </c>
      <c r="C689" s="2" t="s">
        <v>1957</v>
      </c>
      <c r="D689" s="2" t="s">
        <v>37</v>
      </c>
      <c r="E689" s="2" t="s">
        <v>14</v>
      </c>
      <c r="F689" s="2" t="s">
        <v>15</v>
      </c>
      <c r="G689" s="2" t="s">
        <v>239</v>
      </c>
      <c r="H689" s="2" t="s">
        <v>193</v>
      </c>
      <c r="I689" s="2" t="str">
        <f>IFERROR(__xludf.DUMMYFUNCTION("GOOGLETRANSLATE(C689,""fr"",""en"")"),"Fast and efficient .. I did everything online and that in a very short time ..ma green card arrived at home in 4 days .. I really start this insurance again")</f>
        <v>Fast and efficient .. I did everything online and that in a very short time ..ma green card arrived at home in 4 days .. I really start this insurance again</v>
      </c>
    </row>
    <row r="690" ht="15.75" customHeight="1">
      <c r="A690" s="2">
        <v>1.0</v>
      </c>
      <c r="B690" s="2" t="s">
        <v>1958</v>
      </c>
      <c r="C690" s="2" t="s">
        <v>1959</v>
      </c>
      <c r="D690" s="2" t="s">
        <v>152</v>
      </c>
      <c r="E690" s="2" t="s">
        <v>153</v>
      </c>
      <c r="F690" s="2" t="s">
        <v>15</v>
      </c>
      <c r="G690" s="2" t="s">
        <v>1960</v>
      </c>
      <c r="H690" s="2" t="s">
        <v>804</v>
      </c>
      <c r="I690" s="2" t="str">
        <f>IFERROR(__xludf.DUMMYFUNCTION("GOOGLETRANSLATE(C690,""fr"",""en"")"),"Find all the means to have the file dragged. And when they answer they ask to prove that the sky is not blue. And during this time they do not pay. A month between each letter and when we explain to them that they did not understand, we leave for a month")</f>
        <v>Find all the means to have the file dragged. And when they answer they ask to prove that the sky is not blue. And during this time they do not pay. A month between each letter and when we explain to them that they did not understand, we leave for a month</v>
      </c>
    </row>
    <row r="691" ht="15.75" customHeight="1">
      <c r="A691" s="2">
        <v>4.0</v>
      </c>
      <c r="B691" s="2" t="s">
        <v>1961</v>
      </c>
      <c r="C691" s="2" t="s">
        <v>1962</v>
      </c>
      <c r="D691" s="2" t="s">
        <v>70</v>
      </c>
      <c r="E691" s="2" t="s">
        <v>14</v>
      </c>
      <c r="F691" s="2" t="s">
        <v>15</v>
      </c>
      <c r="G691" s="2" t="s">
        <v>1963</v>
      </c>
      <c r="H691" s="2" t="s">
        <v>39</v>
      </c>
      <c r="I691" s="2" t="str">
        <f>IFERROR(__xludf.DUMMYFUNCTION("GOOGLETRANSLATE(C691,""fr"",""en"")"),"thank you nothing added always fast I just received the opinion concerning a claim the regulation is sent
Cordially
Nothing added ;;;;;;;;;;;;;;")</f>
        <v>thank you nothing added always fast I just received the opinion concerning a claim the regulation is sent
Cordially
Nothing added ;;;;;;;;;;;;;;</v>
      </c>
    </row>
    <row r="692" ht="15.75" customHeight="1">
      <c r="A692" s="2">
        <v>2.0</v>
      </c>
      <c r="B692" s="2" t="s">
        <v>1964</v>
      </c>
      <c r="C692" s="2" t="s">
        <v>1965</v>
      </c>
      <c r="D692" s="2" t="s">
        <v>75</v>
      </c>
      <c r="E692" s="2" t="s">
        <v>14</v>
      </c>
      <c r="F692" s="2" t="s">
        <v>15</v>
      </c>
      <c r="G692" s="2" t="s">
        <v>159</v>
      </c>
      <c r="H692" s="2" t="s">
        <v>39</v>
      </c>
      <c r="I692" s="2" t="str">
        <f>IFERROR(__xludf.DUMMYFUNCTION("GOOGLETRANSLATE(C692,""fr"",""en"")"),"Very competitive price for a new registration, but which flies very quickly in the following years ..... very unpleasant. I realize everything to go back to a mutual.")</f>
        <v>Very competitive price for a new registration, but which flies very quickly in the following years ..... very unpleasant. I realize everything to go back to a mutual.</v>
      </c>
    </row>
    <row r="693" ht="15.75" customHeight="1">
      <c r="A693" s="2">
        <v>1.0</v>
      </c>
      <c r="B693" s="2" t="s">
        <v>1966</v>
      </c>
      <c r="C693" s="2" t="s">
        <v>1967</v>
      </c>
      <c r="D693" s="2" t="s">
        <v>579</v>
      </c>
      <c r="E693" s="2" t="s">
        <v>14</v>
      </c>
      <c r="F693" s="2" t="s">
        <v>15</v>
      </c>
      <c r="G693" s="2" t="s">
        <v>1968</v>
      </c>
      <c r="H693" s="2" t="s">
        <v>125</v>
      </c>
      <c r="I693" s="2" t="str">
        <f>IFERROR(__xludf.DUMMYFUNCTION("GOOGLETRANSLATE(C693,""fr"",""en"")"),"To flee / dry loss of your deposit: especially if you buy a new vehicle. Mutable insurance that automatically terminates your contract after 30 days, because you do not have a final gray card (which is normal, because the vehicle is new). The certificate "&amp;"I provided is however valid for 4 months and therefore completely legal.")</f>
        <v>To flee / dry loss of your deposit: especially if you buy a new vehicle. Mutable insurance that automatically terminates your contract after 30 days, because you do not have a final gray card (which is normal, because the vehicle is new). The certificate I provided is however valid for 4 months and therefore completely legal.</v>
      </c>
    </row>
    <row r="694" ht="15.75" customHeight="1">
      <c r="A694" s="2">
        <v>1.0</v>
      </c>
      <c r="B694" s="2" t="s">
        <v>1969</v>
      </c>
      <c r="C694" s="2" t="s">
        <v>1970</v>
      </c>
      <c r="D694" s="2" t="s">
        <v>692</v>
      </c>
      <c r="E694" s="2" t="s">
        <v>14</v>
      </c>
      <c r="F694" s="2" t="s">
        <v>15</v>
      </c>
      <c r="G694" s="2" t="s">
        <v>443</v>
      </c>
      <c r="H694" s="2" t="s">
        <v>193</v>
      </c>
      <c r="I694" s="2" t="str">
        <f>IFERROR(__xludf.DUMMYFUNCTION("GOOGLETRANSLATE(C694,""fr"",""en"")"),"Because of the Matmut, I have been running without insurance for 3 months.
I have taken out a new contract for a new vehicle. I specified them that it was a second vehicle. They understood that it was a replacement, and ended me the contract of my firs"&amp;"t vehicle !!
On this new vehicle, I should have received the green card automatically. I'm still waiting !
The customer line is always difficult to obtain. At 5.30 p.m., it's already closed!")</f>
        <v>Because of the Matmut, I have been running without insurance for 3 months.
I have taken out a new contract for a new vehicle. I specified them that it was a second vehicle. They understood that it was a replacement, and ended me the contract of my first vehicle !!
On this new vehicle, I should have received the green card automatically. I'm still waiting !
The customer line is always difficult to obtain. At 5.30 p.m., it's already closed!</v>
      </c>
    </row>
    <row r="695" ht="15.75" customHeight="1">
      <c r="A695" s="2">
        <v>5.0</v>
      </c>
      <c r="B695" s="2" t="s">
        <v>1971</v>
      </c>
      <c r="C695" s="2" t="s">
        <v>1972</v>
      </c>
      <c r="D695" s="2" t="s">
        <v>37</v>
      </c>
      <c r="E695" s="2" t="s">
        <v>14</v>
      </c>
      <c r="F695" s="2" t="s">
        <v>15</v>
      </c>
      <c r="G695" s="2" t="s">
        <v>1600</v>
      </c>
      <c r="H695" s="2" t="s">
        <v>111</v>
      </c>
      <c r="I695" s="2" t="str">
        <f>IFERROR(__xludf.DUMMYFUNCTION("GOOGLETRANSLATE(C695,""fr"",""en"")"),"Super welcome, clear and precise information, good listening, the advisor has effectively answered all my requests and questions, I am completely satisfied with the exchange I had with the olive tree insurance")</f>
        <v>Super welcome, clear and precise information, good listening, the advisor has effectively answered all my requests and questions, I am completely satisfied with the exchange I had with the olive tree insurance</v>
      </c>
    </row>
    <row r="696" ht="15.75" customHeight="1">
      <c r="A696" s="2">
        <v>2.0</v>
      </c>
      <c r="B696" s="2" t="s">
        <v>1973</v>
      </c>
      <c r="C696" s="2" t="s">
        <v>1974</v>
      </c>
      <c r="D696" s="2" t="s">
        <v>64</v>
      </c>
      <c r="E696" s="2" t="s">
        <v>65</v>
      </c>
      <c r="F696" s="2" t="s">
        <v>15</v>
      </c>
      <c r="G696" s="2" t="s">
        <v>1975</v>
      </c>
      <c r="H696" s="2" t="s">
        <v>321</v>
      </c>
      <c r="I696" s="2" t="str">
        <f>IFERROR(__xludf.DUMMYFUNCTION("GOOGLETRANSLATE(C696,""fr"",""en"")"),"To place money, correct
To transmit to children or to a third party: to avoid
totally incompetent sweat service, causing the files dragged
already denounced by the magazine Que Choisir")</f>
        <v>To place money, correct
To transmit to children or to a third party: to avoid
totally incompetent sweat service, causing the files dragged
already denounced by the magazine Que Choisir</v>
      </c>
    </row>
    <row r="697" ht="15.75" customHeight="1">
      <c r="A697" s="2">
        <v>2.0</v>
      </c>
      <c r="B697" s="2" t="s">
        <v>1976</v>
      </c>
      <c r="C697" s="2" t="s">
        <v>1977</v>
      </c>
      <c r="D697" s="2" t="s">
        <v>95</v>
      </c>
      <c r="E697" s="2" t="s">
        <v>96</v>
      </c>
      <c r="F697" s="2" t="s">
        <v>15</v>
      </c>
      <c r="G697" s="2" t="s">
        <v>1978</v>
      </c>
      <c r="H697" s="2" t="s">
        <v>28</v>
      </c>
      <c r="I697" s="2" t="str">
        <f>IFERROR(__xludf.DUMMYFUNCTION("GOOGLETRANSLATE(C697,""fr"",""en"")"),"An advisor had to remind me of 15 hours to finalize my contract and pay but at 5:25 pm still no one !!!
I finished it alone on the internet
But it lacks a bit of serious for insurance")</f>
        <v>An advisor had to remind me of 15 hours to finalize my contract and pay but at 5:25 pm still no one !!!
I finished it alone on the internet
But it lacks a bit of serious for insurance</v>
      </c>
    </row>
    <row r="698" ht="15.75" customHeight="1">
      <c r="A698" s="2">
        <v>2.0</v>
      </c>
      <c r="B698" s="2" t="s">
        <v>1979</v>
      </c>
      <c r="C698" s="2" t="s">
        <v>1980</v>
      </c>
      <c r="D698" s="2" t="s">
        <v>579</v>
      </c>
      <c r="E698" s="2" t="s">
        <v>14</v>
      </c>
      <c r="F698" s="2" t="s">
        <v>15</v>
      </c>
      <c r="G698" s="2" t="s">
        <v>1934</v>
      </c>
      <c r="H698" s="2" t="s">
        <v>341</v>
      </c>
      <c r="I698" s="2" t="str">
        <f>IFERROR(__xludf.DUMMYFUNCTION("GOOGLETRANSLATE(C698,""fr"",""en"")"),"Aviva The parent company and Eurofil Aviva are not insurers but bankers I was insured 20 years at Aviva at the rate of € 3000 per year or € 60,000 My wife had a material accident not responsible in 2016 (the only one in 20 years) It was struck off because"&amp;" the damage on our car exceed the € 1,500 they had to put in their pocket they told me (go see your deputy who voted this law they said) I resumed Auto insurance at Eurofil Aviva unfortunately my wife typed the bumper of the viage which preceded it
(Smal"&amp;"l damage) She has just been struck off in their mail they specify that I can address their broker to have a new quote concerning them without comment! To flee your money alone interests them")</f>
        <v>Aviva The parent company and Eurofil Aviva are not insurers but bankers I was insured 20 years at Aviva at the rate of € 3000 per year or € 60,000 My wife had a material accident not responsible in 2016 (the only one in 20 years) It was struck off because the damage on our car exceed the € 1,500 they had to put in their pocket they told me (go see your deputy who voted this law they said) I resumed Auto insurance at Eurofil Aviva unfortunately my wife typed the bumper of the viage which preceded it
(Small damage) She has just been struck off in their mail they specify that I can address their broker to have a new quote concerning them without comment! To flee your money alone interests them</v>
      </c>
    </row>
    <row r="699" ht="15.75" customHeight="1">
      <c r="A699" s="2">
        <v>1.0</v>
      </c>
      <c r="B699" s="2" t="s">
        <v>1981</v>
      </c>
      <c r="C699" s="2" t="s">
        <v>1982</v>
      </c>
      <c r="D699" s="2" t="s">
        <v>980</v>
      </c>
      <c r="E699" s="2" t="s">
        <v>21</v>
      </c>
      <c r="F699" s="2" t="s">
        <v>15</v>
      </c>
      <c r="G699" s="2" t="s">
        <v>1983</v>
      </c>
      <c r="H699" s="2" t="s">
        <v>1151</v>
      </c>
      <c r="I699" s="2" t="str">
        <f>IFERROR(__xludf.DUMMYFUNCTION("GOOGLETRANSLATE(C699,""fr"",""en"")"),"For a ceiling painting, requests for supporting documents (reasons, repair, loss nature, trustee insurance)
Each proof on appeal. Waiting time to join them at such 1/2 to 1 hour. Impossible to treat by email either. For 3 weeks the file has been suspende"&amp;"d. I specify that the person I take care of at 80 years old, but that is not their business.")</f>
        <v>For a ceiling painting, requests for supporting documents (reasons, repair, loss nature, trustee insurance)
Each proof on appeal. Waiting time to join them at such 1/2 to 1 hour. Impossible to treat by email either. For 3 weeks the file has been suspended. I specify that the person I take care of at 80 years old, but that is not their business.</v>
      </c>
    </row>
    <row r="700" ht="15.75" customHeight="1">
      <c r="A700" s="2">
        <v>2.0</v>
      </c>
      <c r="B700" s="2" t="s">
        <v>1984</v>
      </c>
      <c r="C700" s="2" t="s">
        <v>1985</v>
      </c>
      <c r="D700" s="2" t="s">
        <v>692</v>
      </c>
      <c r="E700" s="2" t="s">
        <v>14</v>
      </c>
      <c r="F700" s="2" t="s">
        <v>15</v>
      </c>
      <c r="G700" s="2" t="s">
        <v>778</v>
      </c>
      <c r="H700" s="2" t="s">
        <v>39</v>
      </c>
      <c r="I700" s="2" t="str">
        <f>IFERROR(__xludf.DUMMYFUNCTION("GOOGLETRANSLATE(C700,""fr"",""en"")"),"Very unhappy, I declared a claim while I am assured of all risks, the Matmut did not recognize this claim after several letters or telephone calls The interlocutors are very unpleasant. Wearing war I had my vehicle repaired at my expense.")</f>
        <v>Very unhappy, I declared a claim while I am assured of all risks, the Matmut did not recognize this claim after several letters or telephone calls The interlocutors are very unpleasant. Wearing war I had my vehicle repaired at my expense.</v>
      </c>
    </row>
    <row r="701" ht="15.75" customHeight="1">
      <c r="A701" s="2">
        <v>3.0</v>
      </c>
      <c r="B701" s="2" t="s">
        <v>1986</v>
      </c>
      <c r="C701" s="2" t="s">
        <v>1987</v>
      </c>
      <c r="D701" s="2" t="s">
        <v>37</v>
      </c>
      <c r="E701" s="2" t="s">
        <v>14</v>
      </c>
      <c r="F701" s="2" t="s">
        <v>15</v>
      </c>
      <c r="G701" s="2" t="s">
        <v>1828</v>
      </c>
      <c r="H701" s="2" t="s">
        <v>193</v>
      </c>
      <c r="I701" s="2" t="str">
        <f>IFERROR(__xludf.DUMMYFUNCTION("GOOGLETRANSLATE(C701,""fr"",""en"")"),"Eleve price compared to guarantees and deductibles
Lack of visibility on guarantees when urgent subscription by phone and/or internet. THANK YOU")</f>
        <v>Eleve price compared to guarantees and deductibles
Lack of visibility on guarantees when urgent subscription by phone and/or internet. THANK YOU</v>
      </c>
    </row>
    <row r="702" ht="15.75" customHeight="1">
      <c r="A702" s="2">
        <v>4.0</v>
      </c>
      <c r="B702" s="2" t="s">
        <v>1988</v>
      </c>
      <c r="C702" s="2" t="s">
        <v>1989</v>
      </c>
      <c r="D702" s="2" t="s">
        <v>95</v>
      </c>
      <c r="E702" s="2" t="s">
        <v>96</v>
      </c>
      <c r="F702" s="2" t="s">
        <v>15</v>
      </c>
      <c r="G702" s="2" t="s">
        <v>1990</v>
      </c>
      <c r="H702" s="2" t="s">
        <v>86</v>
      </c>
      <c r="I702" s="2" t="str">
        <f>IFERROR(__xludf.DUMMYFUNCTION("GOOGLETRANSLATE(C702,""fr"",""en"")"),"I am pleasantly received by your team ... and a good relationship and courtesy by thanking you in advance for your positive answer thank you goodbye")</f>
        <v>I am pleasantly received by your team ... and a good relationship and courtesy by thanking you in advance for your positive answer thank you goodbye</v>
      </c>
    </row>
    <row r="703" ht="15.75" customHeight="1">
      <c r="A703" s="2">
        <v>5.0</v>
      </c>
      <c r="B703" s="2" t="s">
        <v>1991</v>
      </c>
      <c r="C703" s="2" t="s">
        <v>1992</v>
      </c>
      <c r="D703" s="2" t="s">
        <v>75</v>
      </c>
      <c r="E703" s="2" t="s">
        <v>14</v>
      </c>
      <c r="F703" s="2" t="s">
        <v>15</v>
      </c>
      <c r="G703" s="2" t="s">
        <v>431</v>
      </c>
      <c r="H703" s="2" t="s">
        <v>86</v>
      </c>
      <c r="I703" s="2" t="str">
        <f>IFERROR(__xludf.DUMMYFUNCTION("GOOGLETRANSLATE(C703,""fr"",""en"")"),"The prices and guarantees are very good, rapid and clear quote.
I have already been a client and I have never encountered any particular difficulties. Glad to come back to Direct Assurance
")</f>
        <v>The prices and guarantees are very good, rapid and clear quote.
I have already been a client and I have never encountered any particular difficulties. Glad to come back to Direct Assurance
</v>
      </c>
    </row>
    <row r="704" ht="15.75" customHeight="1">
      <c r="A704" s="2">
        <v>5.0</v>
      </c>
      <c r="B704" s="2" t="s">
        <v>1993</v>
      </c>
      <c r="C704" s="2" t="s">
        <v>1994</v>
      </c>
      <c r="D704" s="2" t="s">
        <v>37</v>
      </c>
      <c r="E704" s="2" t="s">
        <v>14</v>
      </c>
      <c r="F704" s="2" t="s">
        <v>15</v>
      </c>
      <c r="G704" s="2" t="s">
        <v>1606</v>
      </c>
      <c r="H704" s="2" t="s">
        <v>107</v>
      </c>
      <c r="I704" s="2" t="str">
        <f>IFERROR(__xludf.DUMMYFUNCTION("GOOGLETRANSLATE(C704,""fr"",""en"")"),"Satisfied, fast and reliable service. With quality customer service! Requests are treated with efficiency. Anyway, finally insurance that is on the side of the insured.")</f>
        <v>Satisfied, fast and reliable service. With quality customer service! Requests are treated with efficiency. Anyway, finally insurance that is on the side of the insured.</v>
      </c>
    </row>
    <row r="705" ht="15.75" customHeight="1">
      <c r="A705" s="2">
        <v>1.0</v>
      </c>
      <c r="B705" s="2" t="s">
        <v>1995</v>
      </c>
      <c r="C705" s="2" t="s">
        <v>1996</v>
      </c>
      <c r="D705" s="2" t="s">
        <v>75</v>
      </c>
      <c r="E705" s="2" t="s">
        <v>14</v>
      </c>
      <c r="F705" s="2" t="s">
        <v>15</v>
      </c>
      <c r="G705" s="2" t="s">
        <v>239</v>
      </c>
      <c r="H705" s="2" t="s">
        <v>193</v>
      </c>
      <c r="I705" s="2" t="str">
        <f>IFERROR(__xludf.DUMMYFUNCTION("GOOGLETRANSLATE(C705,""fr"",""en"")"),"Hello
Not very happy to have had an increase in my deadline of more than 8%
Even less happy to have undergone material damage (not responsible) on December 1 and to wait again to reimburse the deductible following repairs made 2 months ago")</f>
        <v>Hello
Not very happy to have had an increase in my deadline of more than 8%
Even less happy to have undergone material damage (not responsible) on December 1 and to wait again to reimburse the deductible following repairs made 2 months ago</v>
      </c>
    </row>
    <row r="706" ht="15.75" customHeight="1">
      <c r="A706" s="2">
        <v>4.0</v>
      </c>
      <c r="B706" s="2" t="s">
        <v>1997</v>
      </c>
      <c r="C706" s="2" t="s">
        <v>1998</v>
      </c>
      <c r="D706" s="2" t="s">
        <v>75</v>
      </c>
      <c r="E706" s="2" t="s">
        <v>14</v>
      </c>
      <c r="F706" s="2" t="s">
        <v>15</v>
      </c>
      <c r="G706" s="2" t="s">
        <v>1229</v>
      </c>
      <c r="H706" s="2" t="s">
        <v>28</v>
      </c>
      <c r="I706" s="2" t="str">
        <f>IFERROR(__xludf.DUMMYFUNCTION("GOOGLETRANSLATE(C706,""fr"",""en"")"),"Satisfied with the service! Very well, excellent value for money, I hope that the good start will be an essential condition for the continuation and that all the course of our report continues with clarity and efficiency!")</f>
        <v>Satisfied with the service! Very well, excellent value for money, I hope that the good start will be an essential condition for the continuation and that all the course of our report continues with clarity and efficiency!</v>
      </c>
    </row>
    <row r="707" ht="15.75" customHeight="1">
      <c r="A707" s="2">
        <v>1.0</v>
      </c>
      <c r="B707" s="2" t="s">
        <v>1999</v>
      </c>
      <c r="C707" s="2" t="s">
        <v>2000</v>
      </c>
      <c r="D707" s="2" t="s">
        <v>26</v>
      </c>
      <c r="E707" s="2" t="s">
        <v>65</v>
      </c>
      <c r="F707" s="2" t="s">
        <v>15</v>
      </c>
      <c r="G707" s="2" t="s">
        <v>2001</v>
      </c>
      <c r="H707" s="2" t="s">
        <v>72</v>
      </c>
      <c r="I707" s="2" t="str">
        <f>IFERROR(__xludf.DUMMYFUNCTION("GOOGLETRANSLATE(C707,""fr"",""en"")"),"After having terminated my life insurance contract, a withdrawal was made on my account 3 weeks later, I must provide them with proof of this withdrawal in order to be reimbursed !!!")</f>
        <v>After having terminated my life insurance contract, a withdrawal was made on my account 3 weeks later, I must provide them with proof of this withdrawal in order to be reimbursed !!!</v>
      </c>
    </row>
    <row r="708" ht="15.75" customHeight="1">
      <c r="A708" s="2">
        <v>2.0</v>
      </c>
      <c r="B708" s="2" t="s">
        <v>2002</v>
      </c>
      <c r="C708" s="2" t="s">
        <v>2003</v>
      </c>
      <c r="D708" s="2" t="s">
        <v>313</v>
      </c>
      <c r="E708" s="2" t="s">
        <v>90</v>
      </c>
      <c r="F708" s="2" t="s">
        <v>15</v>
      </c>
      <c r="G708" s="2" t="s">
        <v>1196</v>
      </c>
      <c r="H708" s="2" t="s">
        <v>77</v>
      </c>
      <c r="I708" s="2" t="str">
        <f>IFERROR(__xludf.DUMMYFUNCTION("GOOGLETRANSLATE(C708,""fr"",""en"")"),"Hello, Insurance that takes you the day after the subcription. But on the other hand when you ask for a termination, for this retracting it is something else. Already he does not make your decision in account before 3 weeks, they want to force you to stay"&amp;". And the height is that after a month, I am still not reimbursing. Insurance not serious ....")</f>
        <v>Hello, Insurance that takes you the day after the subcription. But on the other hand when you ask for a termination, for this retracting it is something else. Already he does not make your decision in account before 3 weeks, they want to force you to stay. And the height is that after a month, I am still not reimbursing. Insurance not serious ....</v>
      </c>
    </row>
    <row r="709" ht="15.75" customHeight="1">
      <c r="A709" s="2">
        <v>3.0</v>
      </c>
      <c r="B709" s="2" t="s">
        <v>2004</v>
      </c>
      <c r="C709" s="2" t="s">
        <v>2005</v>
      </c>
      <c r="D709" s="2" t="s">
        <v>13</v>
      </c>
      <c r="E709" s="2" t="s">
        <v>14</v>
      </c>
      <c r="F709" s="2" t="s">
        <v>15</v>
      </c>
      <c r="G709" s="2" t="s">
        <v>1408</v>
      </c>
      <c r="H709" s="2" t="s">
        <v>735</v>
      </c>
      <c r="I709" s="2" t="str">
        <f>IFERROR(__xludf.DUMMYFUNCTION("GOOGLETRANSLATE(C709,""fr"",""en"")"),"Do not insure themselves at home!")</f>
        <v>Do not insure themselves at home!</v>
      </c>
    </row>
    <row r="710" ht="15.75" customHeight="1">
      <c r="A710" s="2">
        <v>1.0</v>
      </c>
      <c r="B710" s="2" t="s">
        <v>2006</v>
      </c>
      <c r="C710" s="2" t="s">
        <v>2007</v>
      </c>
      <c r="D710" s="2" t="s">
        <v>55</v>
      </c>
      <c r="E710" s="2" t="s">
        <v>14</v>
      </c>
      <c r="F710" s="2" t="s">
        <v>15</v>
      </c>
      <c r="G710" s="2" t="s">
        <v>1239</v>
      </c>
      <c r="H710" s="2" t="s">
        <v>501</v>
      </c>
      <c r="I710" s="2" t="str">
        <f>IFERROR(__xludf.DUMMYFUNCTION("GOOGLETRANSLATE(C710,""fr"",""en"")"),"Despite a bonus at 0.50 for more than 20 years, an 8%winner rate, after 4 claims in 2 years, (1 ice broken, 2 non -responsible claims and 1 light liable liable), it is a doubling of franchise. Refusal to raise the franchise, I was ejected illico by Maaf. "&amp;"No recognition of the customer's loyalty (more than 20 years of seniority), it is the double penalty, victim of claims and victim of the insurer, lamentable and unjust.")</f>
        <v>Despite a bonus at 0.50 for more than 20 years, an 8%winner rate, after 4 claims in 2 years, (1 ice broken, 2 non -responsible claims and 1 light liable liable), it is a doubling of franchise. Refusal to raise the franchise, I was ejected illico by Maaf. No recognition of the customer's loyalty (more than 20 years of seniority), it is the double penalty, victim of claims and victim of the insurer, lamentable and unjust.</v>
      </c>
    </row>
    <row r="711" ht="15.75" customHeight="1">
      <c r="A711" s="2">
        <v>3.0</v>
      </c>
      <c r="B711" s="2" t="s">
        <v>2008</v>
      </c>
      <c r="C711" s="2" t="s">
        <v>2009</v>
      </c>
      <c r="D711" s="2" t="s">
        <v>75</v>
      </c>
      <c r="E711" s="2" t="s">
        <v>14</v>
      </c>
      <c r="F711" s="2" t="s">
        <v>15</v>
      </c>
      <c r="G711" s="2" t="s">
        <v>2010</v>
      </c>
      <c r="H711" s="2" t="s">
        <v>193</v>
      </c>
      <c r="I711" s="2" t="str">
        <f>IFERROR(__xludf.DUMMYFUNCTION("GOOGLETRANSLATE(C711,""fr"",""en"")"),"I give myself another year at Direct Insurance to see the evolution of prices because this year, +€ 20 increase with a bad excuse ... to see next year if I stay or not")</f>
        <v>I give myself another year at Direct Insurance to see the evolution of prices because this year, +€ 20 increase with a bad excuse ... to see next year if I stay or not</v>
      </c>
    </row>
    <row r="712" ht="15.75" customHeight="1">
      <c r="A712" s="2">
        <v>2.0</v>
      </c>
      <c r="B712" s="2" t="s">
        <v>2011</v>
      </c>
      <c r="C712" s="2" t="s">
        <v>2012</v>
      </c>
      <c r="D712" s="2" t="s">
        <v>692</v>
      </c>
      <c r="E712" s="2" t="s">
        <v>14</v>
      </c>
      <c r="F712" s="2" t="s">
        <v>15</v>
      </c>
      <c r="G712" s="2" t="s">
        <v>2013</v>
      </c>
      <c r="H712" s="2" t="s">
        <v>86</v>
      </c>
      <c r="I712" s="2" t="str">
        <f>IFERROR(__xludf.DUMMYFUNCTION("GOOGLETRANSLATE(C712,""fr"",""en"")"),"It's been 23 years since my whole family has been a customer at Matmut. A company stole my car and sold by Mr X.10 July I receive a letter from Matmut to notify me that they are paying compensation for My car at Mr X.ma car was stolen and Matmut is paying"&amp;" someone who bought a stolen car. The day I went to put the car gray card and the 2 keys and the other documents to the Matmut agency in Creteil used gave me a receipt in the name of Mr X. She receives all the documents in my name The gray card with my na"&amp;"me and 2 car keys and it gives me a receipt in the name of Mr X. I was annoyed because I gave her all the documents in my name and she gave me a receipt in the name of Mr X. After his colleague with great aggressiveness
. said what right you are upset an"&amp;"d now leave this agency and you never set foot in this agency. 12 years old I paid insurance for my car, I never sold my car, the Insurance never received a certificate from the sale of my car and she received the minutes of my complaint against Mr X and "&amp;"I have been with this insurance for 23 years. If I was one day late from my trip to receive the letter from Matmut and a day late for filing a complaint then Mr X or only had my car in addition he received the amount of compensation. So neither only I los"&amp;"t my car too I lost the amount of compensation. And all that because of Matmut to whom I stayed 23 years faithful.
Bravo Matmut")</f>
        <v>It's been 23 years since my whole family has been a customer at Matmut. A company stole my car and sold by Mr X.10 July I receive a letter from Matmut to notify me that they are paying compensation for My car at Mr X.ma car was stolen and Matmut is paying someone who bought a stolen car. The day I went to put the car gray card and the 2 keys and the other documents to the Matmut agency in Creteil used gave me a receipt in the name of Mr X. She receives all the documents in my name The gray card with my name and 2 car keys and it gives me a receipt in the name of Mr X. I was annoyed because I gave her all the documents in my name and she gave me a receipt in the name of Mr X. After his colleague with great aggressiveness
. said what right you are upset and now leave this agency and you never set foot in this agency. 12 years old I paid insurance for my car, I never sold my car, the Insurance never received a certificate from the sale of my car and she received the minutes of my complaint against Mr X and I have been with this insurance for 23 years. If I was one day late from my trip to receive the letter from Matmut and a day late for filing a complaint then Mr X or only had my car in addition he received the amount of compensation. So neither only I lost my car too I lost the amount of compensation. And all that because of Matmut to whom I stayed 23 years faithful.
Bravo Matmut</v>
      </c>
    </row>
    <row r="713" ht="15.75" customHeight="1">
      <c r="A713" s="2">
        <v>4.0</v>
      </c>
      <c r="B713" s="2" t="s">
        <v>2014</v>
      </c>
      <c r="C713" s="2" t="s">
        <v>2015</v>
      </c>
      <c r="D713" s="2" t="s">
        <v>55</v>
      </c>
      <c r="E713" s="2" t="s">
        <v>14</v>
      </c>
      <c r="F713" s="2" t="s">
        <v>15</v>
      </c>
      <c r="G713" s="2" t="s">
        <v>2016</v>
      </c>
      <c r="H713" s="2" t="s">
        <v>677</v>
      </c>
      <c r="I713" s="2" t="str">
        <f>IFERROR(__xludf.DUMMYFUNCTION("GOOGLETRANSLATE(C713,""fr"",""en"")"),"I have been at Maaf for several years, I had 2 accidents 1 responsible, 1 other non -responsible, I also have the home, where 2 years ago lightning did damage. Whenever I contacted the MAAF, the person was very kind, and each time the deadlines were fast."&amp;" To date I will not change insurance. I do not understand all these negative opinions. I add that I am not paid by Maaf.")</f>
        <v>I have been at Maaf for several years, I had 2 accidents 1 responsible, 1 other non -responsible, I also have the home, where 2 years ago lightning did damage. Whenever I contacted the MAAF, the person was very kind, and each time the deadlines were fast. To date I will not change insurance. I do not understand all these negative opinions. I add that I am not paid by Maaf.</v>
      </c>
    </row>
    <row r="714" ht="15.75" customHeight="1">
      <c r="A714" s="2">
        <v>5.0</v>
      </c>
      <c r="B714" s="2" t="s">
        <v>2017</v>
      </c>
      <c r="C714" s="2" t="s">
        <v>2018</v>
      </c>
      <c r="D714" s="2" t="s">
        <v>31</v>
      </c>
      <c r="E714" s="2" t="s">
        <v>32</v>
      </c>
      <c r="F714" s="2" t="s">
        <v>15</v>
      </c>
      <c r="G714" s="2" t="s">
        <v>962</v>
      </c>
      <c r="H714" s="2" t="s">
        <v>201</v>
      </c>
      <c r="I714" s="2" t="str">
        <f>IFERROR(__xludf.DUMMYFUNCTION("GOOGLETRANSLATE(C714,""fr"",""en"")"),"Always pleasant to the assets on the phone.
Always very responsive to our requests, the waiting time to join them is low.
I have been satisfied with them for several years")</f>
        <v>Always pleasant to the assets on the phone.
Always very responsive to our requests, the waiting time to join them is low.
I have been satisfied with them for several years</v>
      </c>
    </row>
    <row r="715" ht="15.75" customHeight="1">
      <c r="A715" s="2">
        <v>2.0</v>
      </c>
      <c r="B715" s="2" t="s">
        <v>2019</v>
      </c>
      <c r="C715" s="2" t="s">
        <v>2020</v>
      </c>
      <c r="D715" s="2" t="s">
        <v>31</v>
      </c>
      <c r="E715" s="2" t="s">
        <v>32</v>
      </c>
      <c r="F715" s="2" t="s">
        <v>15</v>
      </c>
      <c r="G715" s="2" t="s">
        <v>2021</v>
      </c>
      <c r="H715" s="2" t="s">
        <v>44</v>
      </c>
      <c r="I715" s="2" t="str">
        <f>IFERROR(__xludf.DUMMYFUNCTION("GOOGLETRANSLATE(C715,""fr"",""en"")"),"Even if the services rendered are good, the subscription is very high!
In addition I do not understand that the MGP is a partner of certain sports teams; The money invested in an advertisement would be more useful in improving the services rendered, espe"&amp;"cially in certain reimbursements!")</f>
        <v>Even if the services rendered are good, the subscription is very high!
In addition I do not understand that the MGP is a partner of certain sports teams; The money invested in an advertisement would be more useful in improving the services rendered, especially in certain reimbursements!</v>
      </c>
    </row>
    <row r="716" ht="15.75" customHeight="1">
      <c r="A716" s="2">
        <v>4.0</v>
      </c>
      <c r="B716" s="2" t="s">
        <v>2022</v>
      </c>
      <c r="C716" s="2" t="s">
        <v>2023</v>
      </c>
      <c r="D716" s="2" t="s">
        <v>31</v>
      </c>
      <c r="E716" s="2" t="s">
        <v>32</v>
      </c>
      <c r="F716" s="2" t="s">
        <v>15</v>
      </c>
      <c r="G716" s="2" t="s">
        <v>2024</v>
      </c>
      <c r="H716" s="2" t="s">
        <v>34</v>
      </c>
      <c r="I716" s="2" t="str">
        <f>IFERROR(__xludf.DUMMYFUNCTION("GOOGLETRANSLATE(C716,""fr"",""en"")"),"Competent mutual insurance company, calls for its free is the telephone service responding to requests without problem.
Refunds are always very fast.
100% satisfied.")</f>
        <v>Competent mutual insurance company, calls for its free is the telephone service responding to requests without problem.
Refunds are always very fast.
100% satisfied.</v>
      </c>
    </row>
    <row r="717" ht="15.75" customHeight="1">
      <c r="A717" s="2">
        <v>5.0</v>
      </c>
      <c r="B717" s="2" t="s">
        <v>2025</v>
      </c>
      <c r="C717" s="2" t="s">
        <v>2026</v>
      </c>
      <c r="D717" s="2" t="s">
        <v>95</v>
      </c>
      <c r="E717" s="2" t="s">
        <v>96</v>
      </c>
      <c r="F717" s="2" t="s">
        <v>15</v>
      </c>
      <c r="G717" s="2" t="s">
        <v>749</v>
      </c>
      <c r="H717" s="2" t="s">
        <v>28</v>
      </c>
      <c r="I717" s="2" t="str">
        <f>IFERROR(__xludf.DUMMYFUNCTION("GOOGLETRANSLATE(C717,""fr"",""en"")"),"I am very happy and satisfied by your very actual service and price for the Flags any risk and the options are very interesting. And that there are more choices")</f>
        <v>I am very happy and satisfied by your very actual service and price for the Flags any risk and the options are very interesting. And that there are more choices</v>
      </c>
    </row>
    <row r="718" ht="15.75" customHeight="1">
      <c r="A718" s="2">
        <v>4.0</v>
      </c>
      <c r="B718" s="2" t="s">
        <v>2027</v>
      </c>
      <c r="C718" s="2" t="s">
        <v>2028</v>
      </c>
      <c r="D718" s="2" t="s">
        <v>830</v>
      </c>
      <c r="E718" s="2" t="s">
        <v>32</v>
      </c>
      <c r="F718" s="2" t="s">
        <v>15</v>
      </c>
      <c r="G718" s="2" t="s">
        <v>2029</v>
      </c>
      <c r="H718" s="2" t="s">
        <v>193</v>
      </c>
      <c r="I718" s="2" t="str">
        <f>IFERROR(__xludf.DUMMYFUNCTION("GOOGLETRANSLATE(C718,""fr"",""en"")"),"Client at home for almost eight years I had decided to change for a little cheaper badly took it disaster with the other mutual I came back to April and that is now 5 years I am only praise Formulate fast in the RBTS as long as you have done the entire fi"&amp;"le properly .... a little negative on the hearing rebt on the other hand rating hospitalization no concern ... but still you have to have the means to take a high level and A privilege pack .... remains cheap but competent with any high -end mutuals are e"&amp;"xpensive you have to know what we want little restaurant but a slices of health not negligible when you have a concern. A good mutual insurance as a whole.")</f>
        <v>Client at home for almost eight years I had decided to change for a little cheaper badly took it disaster with the other mutual I came back to April and that is now 5 years I am only praise Formulate fast in the RBTS as long as you have done the entire file properly .... a little negative on the hearing rebt on the other hand rating hospitalization no concern ... but still you have to have the means to take a high level and A privilege pack .... remains cheap but competent with any high -end mutuals are expensive you have to know what we want little restaurant but a slices of health not negligible when you have a concern. A good mutual insurance as a whole.</v>
      </c>
    </row>
    <row r="719" ht="15.75" customHeight="1">
      <c r="A719" s="2">
        <v>5.0</v>
      </c>
      <c r="B719" s="2" t="s">
        <v>2030</v>
      </c>
      <c r="C719" s="2" t="s">
        <v>2031</v>
      </c>
      <c r="D719" s="2" t="s">
        <v>37</v>
      </c>
      <c r="E719" s="2" t="s">
        <v>14</v>
      </c>
      <c r="F719" s="2" t="s">
        <v>15</v>
      </c>
      <c r="G719" s="2" t="s">
        <v>1115</v>
      </c>
      <c r="H719" s="2" t="s">
        <v>39</v>
      </c>
      <c r="I719" s="2" t="str">
        <f>IFERROR(__xludf.DUMMYFUNCTION("GOOGLETRANSLATE(C719,""fr"",""en"")"),"I am very satisfied thank you very much the people on the phone are very nice and explain to us well and in addition the wait on the phone and quite fast thank you")</f>
        <v>I am very satisfied thank you very much the people on the phone are very nice and explain to us well and in addition the wait on the phone and quite fast thank you</v>
      </c>
    </row>
    <row r="720" ht="15.75" customHeight="1">
      <c r="A720" s="2">
        <v>1.0</v>
      </c>
      <c r="B720" s="2" t="s">
        <v>2032</v>
      </c>
      <c r="C720" s="2" t="s">
        <v>2033</v>
      </c>
      <c r="D720" s="2" t="s">
        <v>75</v>
      </c>
      <c r="E720" s="2" t="s">
        <v>14</v>
      </c>
      <c r="F720" s="2" t="s">
        <v>15</v>
      </c>
      <c r="G720" s="2" t="s">
        <v>1495</v>
      </c>
      <c r="H720" s="2" t="s">
        <v>98</v>
      </c>
      <c r="I720" s="2" t="str">
        <f>IFERROR(__xludf.DUMMYFUNCTION("GOOGLETRANSLATE(C720,""fr"",""en"")"),"Not really satisfied with the service !!
16 to euros per year for a 0 kilometer option is just huge !!
Probably a change in a short time")</f>
        <v>Not really satisfied with the service !!
16 to euros per year for a 0 kilometer option is just huge !!
Probably a change in a short time</v>
      </c>
    </row>
    <row r="721" ht="15.75" customHeight="1">
      <c r="A721" s="2">
        <v>5.0</v>
      </c>
      <c r="B721" s="2" t="s">
        <v>2034</v>
      </c>
      <c r="C721" s="2" t="s">
        <v>2035</v>
      </c>
      <c r="D721" s="2" t="s">
        <v>75</v>
      </c>
      <c r="E721" s="2" t="s">
        <v>14</v>
      </c>
      <c r="F721" s="2" t="s">
        <v>15</v>
      </c>
      <c r="G721" s="2" t="s">
        <v>1737</v>
      </c>
      <c r="H721" s="2" t="s">
        <v>193</v>
      </c>
      <c r="I721" s="2" t="str">
        <f>IFERROR(__xludf.DUMMYFUNCTION("GOOGLETRANSLATE(C721,""fr"",""en"")"),"I am very satisfied with the service and my exchanges with my advisor. My advisor was immediately listening to my needs and offered me the appropriate contract.")</f>
        <v>I am very satisfied with the service and my exchanges with my advisor. My advisor was immediately listening to my needs and offered me the appropriate contract.</v>
      </c>
    </row>
    <row r="722" ht="15.75" customHeight="1">
      <c r="A722" s="2">
        <v>1.0</v>
      </c>
      <c r="B722" s="2" t="s">
        <v>2036</v>
      </c>
      <c r="C722" s="2" t="s">
        <v>2037</v>
      </c>
      <c r="D722" s="2" t="s">
        <v>639</v>
      </c>
      <c r="E722" s="2" t="s">
        <v>90</v>
      </c>
      <c r="F722" s="2" t="s">
        <v>15</v>
      </c>
      <c r="G722" s="2" t="s">
        <v>2038</v>
      </c>
      <c r="H722" s="2" t="s">
        <v>206</v>
      </c>
      <c r="I722" s="2" t="str">
        <f>IFERROR(__xludf.DUMMYFUNCTION("GOOGLETRANSLATE(C722,""fr"",""en"")"),"To know before adhering to an Assur O Night contract ...
Insured at Assur o hair for about a year I had the very unpleasant surprise to receive recently a very nice letter from them informing that my subscription will go from € 34.04 to € 53.96 from Ja"&amp;"nuary 2018 or almost 60 % increase! ! !
In a year it's a bit strong! ...
By questioning them by phone, their answer was very simple: this increase results from consumption during the past year! ...
At Assur O Happy Consumption It is actually the re"&amp;"imbursements made ...
At the beginning of the year our cat had some health problems but fortunately without gravity which gave rise to reimbursements (80% and far from reaching the ceiling of € 1300)) but for 6 months and fortunately absolutely nothing"&amp;" and therefore No reimbursed euro penny.
Nevertheless Assur o Hairy considered it good to increase the subscription by 60 %! ...
You should know that it is indicated in very small in the general conditions that Assur O Hairy reserves the right to incr"&amp;"ease the subscription as he sees fit according to various criteria including this famous consumption without indicating of course no calculation basis is a Little like automobile insurance with unhealthy bonus with the difference that at Assur o hair ther"&amp;"e are only penalties and not least! ... to know! ! ! ...
As it is stipulated in the general conditions Assur o Hairy must warn the member by mail of any rate variation at least 2 months before the anniversary date of the contract and the Chatel law for"&amp;"tunately allows to terminate the contract within 20 J from the date of dispatch of the mail and not the date of receipt ...
Building on this, Assur O'Poil Post Le Courrier 2 J after the date and in mass eco-most which takes a few days to reach us and t"&amp;"hus I received this letter more than a week after the date indicated on the mail Here is how Assur O Hairy thus reduces the delay to only ten days ...
It is therefore necessary to be very reactive to terminate the contract and avoid leaving for twelve mo"&amp;"nths of contributions impacted with an abusive increase of 60 % ... So to know also! ! ! ...
Fortunately I have been it and well took it because not only I was able to terminate my contract in time but moreover and I thank Assur o Hatre I was able to f"&amp;"ind another cheaper insurance with superior guarantees and Especially with increases in moderate contributions of a few % at the anniversary deadline in no way impacted by the number and the amount of the sums reimbursed ...
So know too! ! ! ...
So th"&amp;"is is dear consumers what awaits you if you become members at Assur O Hairy ...
You are warned ...
Cordial greetings to the whole community.
Claude Leplat
")</f>
        <v>To know before adhering to an Assur O Night contract ...
Insured at Assur o hair for about a year I had the very unpleasant surprise to receive recently a very nice letter from them informing that my subscription will go from € 34.04 to € 53.96 from January 2018 or almost 60 % increase! ! !
In a year it's a bit strong! ...
By questioning them by phone, their answer was very simple: this increase results from consumption during the past year! ...
At Assur O Happy Consumption It is actually the reimbursements made ...
At the beginning of the year our cat had some health problems but fortunately without gravity which gave rise to reimbursements (80% and far from reaching the ceiling of € 1300)) but for 6 months and fortunately absolutely nothing and therefore No reimbursed euro penny.
Nevertheless Assur o Hairy considered it good to increase the subscription by 60 %! ...
You should know that it is indicated in very small in the general conditions that Assur O Hairy reserves the right to increase the subscription as he sees fit according to various criteria including this famous consumption without indicating of course no calculation basis is a Little like automobile insurance with unhealthy bonus with the difference that at Assur o hair there are only penalties and not least! ... to know! ! ! ...
As it is stipulated in the general conditions Assur o Hairy must warn the member by mail of any rate variation at least 2 months before the anniversary date of the contract and the Chatel law fortunately allows to terminate the contract within 20 J from the date of dispatch of the mail and not the date of receipt ...
Building on this, Assur O'Poil Post Le Courrier 2 J after the date and in mass eco-most which takes a few days to reach us and thus I received this letter more than a week after the date indicated on the mail Here is how Assur O Hairy thus reduces the delay to only ten days ...
It is therefore necessary to be very reactive to terminate the contract and avoid leaving for twelve months of contributions impacted with an abusive increase of 60 % ... So to know also! ! ! ...
Fortunately I have been it and well took it because not only I was able to terminate my contract in time but moreover and I thank Assur o Hatre I was able to find another cheaper insurance with superior guarantees and Especially with increases in moderate contributions of a few % at the anniversary deadline in no way impacted by the number and the amount of the sums reimbursed ...
So know too! ! ! ...
So this is dear consumers what awaits you if you become members at Assur O Hairy ...
You are warned ...
Cordial greetings to the whole community.
Claude Leplat
</v>
      </c>
    </row>
    <row r="723" ht="15.75" customHeight="1">
      <c r="A723" s="2">
        <v>4.0</v>
      </c>
      <c r="B723" s="2" t="s">
        <v>2039</v>
      </c>
      <c r="C723" s="2" t="s">
        <v>2040</v>
      </c>
      <c r="D723" s="2" t="s">
        <v>173</v>
      </c>
      <c r="E723" s="2" t="s">
        <v>32</v>
      </c>
      <c r="F723" s="2" t="s">
        <v>15</v>
      </c>
      <c r="G723" s="2" t="s">
        <v>2041</v>
      </c>
      <c r="H723" s="2" t="s">
        <v>694</v>
      </c>
      <c r="I723" s="2" t="str">
        <f>IFERROR(__xludf.DUMMYFUNCTION("GOOGLETRANSLATE(C723,""fr"",""en"")"),"Superb interview, Caroline is a very professional, informed and pleasant advisor. She guides you not in your searches and it is a global satisfaction. Thank you again Caroline.")</f>
        <v>Superb interview, Caroline is a very professional, informed and pleasant advisor. She guides you not in your searches and it is a global satisfaction. Thank you again Caroline.</v>
      </c>
    </row>
    <row r="724" ht="15.75" customHeight="1">
      <c r="A724" s="2">
        <v>3.0</v>
      </c>
      <c r="B724" s="2" t="s">
        <v>2042</v>
      </c>
      <c r="C724" s="2" t="s">
        <v>2043</v>
      </c>
      <c r="D724" s="2" t="s">
        <v>1573</v>
      </c>
      <c r="E724" s="2" t="s">
        <v>81</v>
      </c>
      <c r="F724" s="2" t="s">
        <v>15</v>
      </c>
      <c r="G724" s="2" t="s">
        <v>2044</v>
      </c>
      <c r="H724" s="2" t="s">
        <v>357</v>
      </c>
      <c r="I724" s="2" t="str">
        <f>IFERROR(__xludf.DUMMYFUNCTION("GOOGLETRANSLATE(C724,""fr"",""en"")"),"Provident insurance for the liberal professions, certainly within the framework of the Madelin law with a certain deduction, but all the same starts in July 2011 at € 1,166 and today contributions at € 2,163 !!!!!!")</f>
        <v>Provident insurance for the liberal professions, certainly within the framework of the Madelin law with a certain deduction, but all the same starts in July 2011 at € 1,166 and today contributions at € 2,163 !!!!!!</v>
      </c>
    </row>
    <row r="725" ht="15.75" customHeight="1">
      <c r="A725" s="2">
        <v>2.0</v>
      </c>
      <c r="B725" s="2" t="s">
        <v>2045</v>
      </c>
      <c r="C725" s="2" t="s">
        <v>2046</v>
      </c>
      <c r="D725" s="2" t="s">
        <v>13</v>
      </c>
      <c r="E725" s="2" t="s">
        <v>21</v>
      </c>
      <c r="F725" s="2" t="s">
        <v>15</v>
      </c>
      <c r="G725" s="2" t="s">
        <v>2047</v>
      </c>
      <c r="H725" s="2" t="s">
        <v>175</v>
      </c>
      <c r="I725" s="2" t="str">
        <f>IFERROR(__xludf.DUMMYFUNCTION("GOOGLETRANSLATE(C725,""fr"",""en"")"),"Customer for 45 years, I am a very good customer (no claims) I underwent a break in neutral from EDF, I cannot be reimbursed correctly with an expert deemed light by others recognized experts. I reported to the Macif approx. 120,000 euros. I plan to leave"&amp;" this insurance.")</f>
        <v>Customer for 45 years, I am a very good customer (no claims) I underwent a break in neutral from EDF, I cannot be reimbursed correctly with an expert deemed light by others recognized experts. I reported to the Macif approx. 120,000 euros. I plan to leave this insurance.</v>
      </c>
    </row>
    <row r="726" ht="15.75" customHeight="1">
      <c r="A726" s="2">
        <v>4.0</v>
      </c>
      <c r="B726" s="2" t="s">
        <v>2048</v>
      </c>
      <c r="C726" s="2" t="s">
        <v>2049</v>
      </c>
      <c r="D726" s="2" t="s">
        <v>95</v>
      </c>
      <c r="E726" s="2" t="s">
        <v>96</v>
      </c>
      <c r="F726" s="2" t="s">
        <v>15</v>
      </c>
      <c r="G726" s="2" t="s">
        <v>860</v>
      </c>
      <c r="H726" s="2" t="s">
        <v>86</v>
      </c>
      <c r="I726" s="2" t="str">
        <f>IFERROR(__xludf.DUMMYFUNCTION("GOOGLETRANSLATE(C726,""fr"",""en"")"),"I am very satisfied. The subscription is fast, the site is clear. I will recommend this site to my friends.
Thank you.
Cordially
Mr Maiziere")</f>
        <v>I am very satisfied. The subscription is fast, the site is clear. I will recommend this site to my friends.
Thank you.
Cordially
Mr Maiziere</v>
      </c>
    </row>
    <row r="727" ht="15.75" customHeight="1">
      <c r="A727" s="2">
        <v>3.0</v>
      </c>
      <c r="B727" s="2" t="s">
        <v>2050</v>
      </c>
      <c r="C727" s="2" t="s">
        <v>2051</v>
      </c>
      <c r="D727" s="2" t="s">
        <v>26</v>
      </c>
      <c r="E727" s="2" t="s">
        <v>21</v>
      </c>
      <c r="F727" s="2" t="s">
        <v>15</v>
      </c>
      <c r="G727" s="2" t="s">
        <v>2052</v>
      </c>
      <c r="H727" s="2" t="s">
        <v>52</v>
      </c>
      <c r="I727" s="2" t="str">
        <f>IFERROR(__xludf.DUMMYFUNCTION("GOOGLETRANSLATE(C727,""fr"",""en"")"),"Our tenant broke two windows from the house that we rented him.
We had nothing to do.
Axa dispatched a glazier
The glazier is going to pick up the keys from our notary, made his quote and sent it to Axa.
He returned a few weeks after changing the wind"&amp;"ows.
AXA paid the glazier directly.
")</f>
        <v>Our tenant broke two windows from the house that we rented him.
We had nothing to do.
Axa dispatched a glazier
The glazier is going to pick up the keys from our notary, made his quote and sent it to Axa.
He returned a few weeks after changing the windows.
AXA paid the glazier directly.
</v>
      </c>
    </row>
    <row r="728" ht="15.75" customHeight="1">
      <c r="A728" s="2">
        <v>4.0</v>
      </c>
      <c r="B728" s="2" t="s">
        <v>2053</v>
      </c>
      <c r="C728" s="2" t="s">
        <v>2054</v>
      </c>
      <c r="D728" s="2" t="s">
        <v>75</v>
      </c>
      <c r="E728" s="2" t="s">
        <v>14</v>
      </c>
      <c r="F728" s="2" t="s">
        <v>15</v>
      </c>
      <c r="G728" s="2" t="s">
        <v>481</v>
      </c>
      <c r="H728" s="2" t="s">
        <v>98</v>
      </c>
      <c r="I728" s="2" t="str">
        <f>IFERROR(__xludf.DUMMYFUNCTION("GOOGLETRANSLATE(C728,""fr"",""en"")"),"The prices suit me, very easy registration. . Termination of my former insurance made by Direct Insurance, that's fine. Now to confirm my opinion, to see in the future.")</f>
        <v>The prices suit me, very easy registration. . Termination of my former insurance made by Direct Insurance, that's fine. Now to confirm my opinion, to see in the future.</v>
      </c>
    </row>
    <row r="729" ht="15.75" customHeight="1">
      <c r="A729" s="2">
        <v>1.0</v>
      </c>
      <c r="B729" s="2" t="s">
        <v>2055</v>
      </c>
      <c r="C729" s="2" t="s">
        <v>2056</v>
      </c>
      <c r="D729" s="2" t="s">
        <v>233</v>
      </c>
      <c r="E729" s="2" t="s">
        <v>32</v>
      </c>
      <c r="F729" s="2" t="s">
        <v>15</v>
      </c>
      <c r="G729" s="2" t="s">
        <v>2057</v>
      </c>
      <c r="H729" s="2" t="s">
        <v>286</v>
      </c>
      <c r="I729" s="2" t="str">
        <f>IFERROR(__xludf.DUMMYFUNCTION("GOOGLETRANSLATE(C729,""fr"",""en"")"),"Very bad experience: to take the deadlines, work very well: I was taken too much, forced to claim otherwise nothing happens; I strongly advise against")</f>
        <v>Very bad experience: to take the deadlines, work very well: I was taken too much, forced to claim otherwise nothing happens; I strongly advise against</v>
      </c>
    </row>
    <row r="730" ht="15.75" customHeight="1">
      <c r="A730" s="2">
        <v>3.0</v>
      </c>
      <c r="B730" s="2" t="s">
        <v>2058</v>
      </c>
      <c r="C730" s="2" t="s">
        <v>2059</v>
      </c>
      <c r="D730" s="2" t="s">
        <v>229</v>
      </c>
      <c r="E730" s="2" t="s">
        <v>96</v>
      </c>
      <c r="F730" s="2" t="s">
        <v>15</v>
      </c>
      <c r="G730" s="2" t="s">
        <v>868</v>
      </c>
      <c r="H730" s="2" t="s">
        <v>107</v>
      </c>
      <c r="I730" s="2" t="str">
        <f>IFERROR(__xludf.DUMMYFUNCTION("GOOGLETRANSLATE(C730,""fr"",""en"")"),"Quite satisfied overall, quote quick and easy to validate.
The electronic signature allows great flexibility in the procedures.
Good first approach.")</f>
        <v>Quite satisfied overall, quote quick and easy to validate.
The electronic signature allows great flexibility in the procedures.
Good first approach.</v>
      </c>
    </row>
    <row r="731" ht="15.75" customHeight="1">
      <c r="A731" s="2">
        <v>5.0</v>
      </c>
      <c r="B731" s="2" t="s">
        <v>2060</v>
      </c>
      <c r="C731" s="2" t="s">
        <v>2061</v>
      </c>
      <c r="D731" s="2" t="s">
        <v>95</v>
      </c>
      <c r="E731" s="2" t="s">
        <v>96</v>
      </c>
      <c r="F731" s="2" t="s">
        <v>15</v>
      </c>
      <c r="G731" s="2" t="s">
        <v>513</v>
      </c>
      <c r="H731" s="2" t="s">
        <v>86</v>
      </c>
      <c r="I731" s="2" t="str">
        <f>IFERROR(__xludf.DUMMYFUNCTION("GOOGLETRANSLATE(C731,""fr"",""en"")"),"I carried out all the procedures online. Hyper simple! 8 steps to go, in 10 minutes it is settled! For the moment nothing to complain about. Look forward to riding!")</f>
        <v>I carried out all the procedures online. Hyper simple! 8 steps to go, in 10 minutes it is settled! For the moment nothing to complain about. Look forward to riding!</v>
      </c>
    </row>
    <row r="732" ht="15.75" customHeight="1">
      <c r="A732" s="2">
        <v>3.0</v>
      </c>
      <c r="B732" s="2" t="s">
        <v>2062</v>
      </c>
      <c r="C732" s="2" t="s">
        <v>2063</v>
      </c>
      <c r="D732" s="2" t="s">
        <v>13</v>
      </c>
      <c r="E732" s="2" t="s">
        <v>81</v>
      </c>
      <c r="F732" s="2" t="s">
        <v>15</v>
      </c>
      <c r="G732" s="2" t="s">
        <v>1924</v>
      </c>
      <c r="H732" s="2" t="s">
        <v>406</v>
      </c>
      <c r="I732" s="2" t="str">
        <f>IFERROR(__xludf.DUMMYFUNCTION("GOOGLETRANSLATE(C732,""fr"",""en"")"),"My husband died, the Macif never paid me the death capital. And yet, a certain sum for me for the funeral. It's been 13 years. Invents contracts that do not exist. Change version when you ask for supporting documents.")</f>
        <v>My husband died, the Macif never paid me the death capital. And yet, a certain sum for me for the funeral. It's been 13 years. Invents contracts that do not exist. Change version when you ask for supporting documents.</v>
      </c>
    </row>
    <row r="733" ht="15.75" customHeight="1">
      <c r="A733" s="2">
        <v>2.0</v>
      </c>
      <c r="B733" s="2" t="s">
        <v>2064</v>
      </c>
      <c r="C733" s="2" t="s">
        <v>2065</v>
      </c>
      <c r="D733" s="2" t="s">
        <v>75</v>
      </c>
      <c r="E733" s="2" t="s">
        <v>14</v>
      </c>
      <c r="F733" s="2" t="s">
        <v>15</v>
      </c>
      <c r="G733" s="2" t="s">
        <v>86</v>
      </c>
      <c r="H733" s="2" t="s">
        <v>86</v>
      </c>
      <c r="I733" s="2" t="str">
        <f>IFERROR(__xludf.DUMMYFUNCTION("GOOGLETRANSLATE(C733,""fr"",""en"")"),"I am satisfied I wish to receive my documents by post the price suits me your services suits me your nature of service suits me it's good it was out together")</f>
        <v>I am satisfied I wish to receive my documents by post the price suits me your services suits me your nature of service suits me it's good it was out together</v>
      </c>
    </row>
    <row r="734" ht="15.75" customHeight="1">
      <c r="A734" s="2">
        <v>4.0</v>
      </c>
      <c r="B734" s="2" t="s">
        <v>2066</v>
      </c>
      <c r="C734" s="2" t="s">
        <v>2067</v>
      </c>
      <c r="D734" s="2" t="s">
        <v>75</v>
      </c>
      <c r="E734" s="2" t="s">
        <v>14</v>
      </c>
      <c r="F734" s="2" t="s">
        <v>15</v>
      </c>
      <c r="G734" s="2" t="s">
        <v>531</v>
      </c>
      <c r="H734" s="2" t="s">
        <v>39</v>
      </c>
      <c r="I734" s="2" t="str">
        <f>IFERROR(__xludf.DUMMYFUNCTION("GOOGLETRANSLATE(C734,""fr"",""en"")"),"Quick registration, clear offers, recommended by a friend
Quick registration, clear offers, recommended by a friend
Quick registration, clear offers, recommended by a friend")</f>
        <v>Quick registration, clear offers, recommended by a friend
Quick registration, clear offers, recommended by a friend
Quick registration, clear offers, recommended by a friend</v>
      </c>
    </row>
    <row r="735" ht="15.75" customHeight="1">
      <c r="A735" s="2">
        <v>1.0</v>
      </c>
      <c r="B735" s="2" t="s">
        <v>2068</v>
      </c>
      <c r="C735" s="2" t="s">
        <v>2069</v>
      </c>
      <c r="D735" s="2" t="s">
        <v>80</v>
      </c>
      <c r="E735" s="2" t="s">
        <v>32</v>
      </c>
      <c r="F735" s="2" t="s">
        <v>15</v>
      </c>
      <c r="G735" s="2" t="s">
        <v>2070</v>
      </c>
      <c r="H735" s="2" t="s">
        <v>1392</v>
      </c>
      <c r="I735" s="2" t="str">
        <f>IFERROR(__xludf.DUMMYFUNCTION("GOOGLETRANSLATE(C735,""fr"",""en"")"),"Following the non-reimbursement of a healthcare professional, customer service cannot give information on the reason for refusal. What is this customer service in this case? Date of date of birth and social security number for my son on my mutual card. Qu"&amp;"ality of customer service, mobile apps and lamentable website, mutual to flee.")</f>
        <v>Following the non-reimbursement of a healthcare professional, customer service cannot give information on the reason for refusal. What is this customer service in this case? Date of date of birth and social security number for my son on my mutual card. Quality of customer service, mobile apps and lamentable website, mutual to flee.</v>
      </c>
    </row>
    <row r="736" ht="15.75" customHeight="1">
      <c r="A736" s="2">
        <v>4.0</v>
      </c>
      <c r="B736" s="2" t="s">
        <v>2071</v>
      </c>
      <c r="C736" s="2" t="s">
        <v>2072</v>
      </c>
      <c r="D736" s="2" t="s">
        <v>37</v>
      </c>
      <c r="E736" s="2" t="s">
        <v>14</v>
      </c>
      <c r="F736" s="2" t="s">
        <v>15</v>
      </c>
      <c r="G736" s="2" t="s">
        <v>2073</v>
      </c>
      <c r="H736" s="2" t="s">
        <v>501</v>
      </c>
      <c r="I736" s="2" t="str">
        <f>IFERROR(__xludf.DUMMYFUNCTION("GOOGLETRANSLATE(C736,""fr"",""en"")"),"I had two auto contracts at home but I terminated a contract with regret. I declared on another contract a disaster for troubleshooting and I was converted in less than 30 minutes.")</f>
        <v>I had two auto contracts at home but I terminated a contract with regret. I declared on another contract a disaster for troubleshooting and I was converted in less than 30 minutes.</v>
      </c>
    </row>
    <row r="737" ht="15.75" customHeight="1">
      <c r="A737" s="2">
        <v>5.0</v>
      </c>
      <c r="B737" s="2" t="s">
        <v>2074</v>
      </c>
      <c r="C737" s="2" t="s">
        <v>2075</v>
      </c>
      <c r="D737" s="2" t="s">
        <v>37</v>
      </c>
      <c r="E737" s="2" t="s">
        <v>14</v>
      </c>
      <c r="F737" s="2" t="s">
        <v>15</v>
      </c>
      <c r="G737" s="2" t="s">
        <v>1504</v>
      </c>
      <c r="H737" s="2" t="s">
        <v>77</v>
      </c>
      <c r="I737" s="2" t="str">
        <f>IFERROR(__xludf.DUMMYFUNCTION("GOOGLETRANSLATE(C737,""fr"",""en"")"),"Very good service. Everything is clear. Excellent value for money. I will recommend the olive tree to my knowledge. In addition I benefited from a sponsorship of 50 euros and my godfather too. Thank you ; It's nice.")</f>
        <v>Very good service. Everything is clear. Excellent value for money. I will recommend the olive tree to my knowledge. In addition I benefited from a sponsorship of 50 euros and my godfather too. Thank you ; It's nice.</v>
      </c>
    </row>
    <row r="738" ht="15.75" customHeight="1">
      <c r="A738" s="2">
        <v>4.0</v>
      </c>
      <c r="B738" s="2" t="s">
        <v>2076</v>
      </c>
      <c r="C738" s="2" t="s">
        <v>2077</v>
      </c>
      <c r="D738" s="2" t="s">
        <v>75</v>
      </c>
      <c r="E738" s="2" t="s">
        <v>14</v>
      </c>
      <c r="F738" s="2" t="s">
        <v>15</v>
      </c>
      <c r="G738" s="2" t="s">
        <v>192</v>
      </c>
      <c r="H738" s="2" t="s">
        <v>193</v>
      </c>
      <c r="I738" s="2" t="str">
        <f>IFERROR(__xludf.DUMMYFUNCTION("GOOGLETRANSLATE(C738,""fr"",""en"")"),"I was welcome on the phone ?? And the information is well assimilated
And for the intervention on my car with the tug has the taxi fast
 For the moment everything is well")</f>
        <v>I was welcome on the phone ?? And the information is well assimilated
And for the intervention on my car with the tug has the taxi fast
 For the moment everything is well</v>
      </c>
    </row>
    <row r="739" ht="15.75" customHeight="1">
      <c r="A739" s="2">
        <v>1.0</v>
      </c>
      <c r="B739" s="2" t="s">
        <v>2078</v>
      </c>
      <c r="C739" s="2" t="s">
        <v>2079</v>
      </c>
      <c r="D739" s="2" t="s">
        <v>158</v>
      </c>
      <c r="E739" s="2" t="s">
        <v>21</v>
      </c>
      <c r="F739" s="2" t="s">
        <v>15</v>
      </c>
      <c r="G739" s="2" t="s">
        <v>2080</v>
      </c>
      <c r="H739" s="2" t="s">
        <v>44</v>
      </c>
      <c r="I739" s="2" t="str">
        <f>IFERROR(__xludf.DUMMYFUNCTION("GOOGLETRANSLATE(C739,""fr"",""en"")"),"MAIF has become an empty shell, ineffective advisers who wisely await their bonus on profitability. The member is treated with contempt, it's just the milk cow.
Ineffective insurance that does not have anything")</f>
        <v>MAIF has become an empty shell, ineffective advisers who wisely await their bonus on profitability. The member is treated with contempt, it's just the milk cow.
Ineffective insurance that does not have anything</v>
      </c>
    </row>
    <row r="740" ht="15.75" customHeight="1">
      <c r="A740" s="2">
        <v>2.0</v>
      </c>
      <c r="B740" s="2" t="s">
        <v>2081</v>
      </c>
      <c r="C740" s="2" t="s">
        <v>2082</v>
      </c>
      <c r="D740" s="2" t="s">
        <v>221</v>
      </c>
      <c r="E740" s="2" t="s">
        <v>21</v>
      </c>
      <c r="F740" s="2" t="s">
        <v>15</v>
      </c>
      <c r="G740" s="2" t="s">
        <v>417</v>
      </c>
      <c r="H740" s="2" t="s">
        <v>155</v>
      </c>
      <c r="I740" s="2" t="str">
        <f>IFERROR(__xludf.DUMMYFUNCTION("GOOGLETRANSLATE(C740,""fr"",""en"")"),"Following Sinister I was dealing with a contemptuous and arrogant interlocutor. No empathy. Contrary to expertise the file was forgotten at its level which generated me parallel worries but no excuses")</f>
        <v>Following Sinister I was dealing with a contemptuous and arrogant interlocutor. No empathy. Contrary to expertise the file was forgotten at its level which generated me parallel worries but no excuses</v>
      </c>
    </row>
    <row r="741" ht="15.75" customHeight="1">
      <c r="A741" s="2">
        <v>4.0</v>
      </c>
      <c r="B741" s="2" t="s">
        <v>2083</v>
      </c>
      <c r="C741" s="2" t="s">
        <v>2084</v>
      </c>
      <c r="D741" s="2" t="s">
        <v>37</v>
      </c>
      <c r="E741" s="2" t="s">
        <v>14</v>
      </c>
      <c r="F741" s="2" t="s">
        <v>15</v>
      </c>
      <c r="G741" s="2" t="s">
        <v>2085</v>
      </c>
      <c r="H741" s="2" t="s">
        <v>67</v>
      </c>
      <c r="I741" s="2" t="str">
        <f>IFERROR(__xludf.DUMMYFUNCTION("GOOGLETRANSLATE(C741,""fr"",""en"")"),"I totally oppose the obligation to sign a SEPA mandate to obtain my documents. You already have my money by credit card, you don't need my Iban. If I want to renew with you next year, I will use my credit card again. It's bad practice")</f>
        <v>I totally oppose the obligation to sign a SEPA mandate to obtain my documents. You already have my money by credit card, you don't need my Iban. If I want to renew with you next year, I will use my credit card again. It's bad practice</v>
      </c>
    </row>
    <row r="742" ht="15.75" customHeight="1">
      <c r="A742" s="2">
        <v>4.0</v>
      </c>
      <c r="B742" s="2" t="s">
        <v>2086</v>
      </c>
      <c r="C742" s="2" t="s">
        <v>2087</v>
      </c>
      <c r="D742" s="2" t="s">
        <v>846</v>
      </c>
      <c r="E742" s="2" t="s">
        <v>153</v>
      </c>
      <c r="F742" s="2" t="s">
        <v>15</v>
      </c>
      <c r="G742" s="2" t="s">
        <v>2088</v>
      </c>
      <c r="H742" s="2" t="s">
        <v>331</v>
      </c>
      <c r="I742" s="2" t="str">
        <f>IFERROR(__xludf.DUMMYFUNCTION("GOOGLETRANSLATE(C742,""fr"",""en"")"),"Contact and ease of completion of contract, nevertheless, the satisfaction questionnaire is premature since the file has just been created")</f>
        <v>Contact and ease of completion of contract, nevertheless, the satisfaction questionnaire is premature since the file has just been created</v>
      </c>
    </row>
    <row r="743" ht="15.75" customHeight="1">
      <c r="A743" s="2">
        <v>2.0</v>
      </c>
      <c r="B743" s="2" t="s">
        <v>2089</v>
      </c>
      <c r="C743" s="2" t="s">
        <v>2090</v>
      </c>
      <c r="D743" s="2" t="s">
        <v>394</v>
      </c>
      <c r="E743" s="2" t="s">
        <v>32</v>
      </c>
      <c r="F743" s="2" t="s">
        <v>15</v>
      </c>
      <c r="G743" s="2" t="s">
        <v>2091</v>
      </c>
      <c r="H743" s="2" t="s">
        <v>249</v>
      </c>
      <c r="I743" s="2" t="str">
        <f>IFERROR(__xludf.DUMMYFUNCTION("GOOGLETRANSLATE(C743,""fr"",""en"")"),"New member, for the year 2021, at Néoliane Santé, I did not receive my paid third party card and we are on 12/31/2020 !!!
We immediately see the seriousness of this company, which does not care about members but will be able to take on my account on 5/01"&amp;"/2021 the amount of membership .... weird !!!
Impossible to reach them on the phone and when, after several attempts you have a kind person who tells you, I take care of you right away and that nothing comes ..... it leaves it, seems well installed , I f"&amp;"ear it -
Barely registered, I want to spin elsewhere I fear that the reimbursements do not be done!
If I do not receive my card I would go through a mediator to cancel my registration -
In any case, I am not a robot that denigrates in favor of competit"&amp;"ion ...
I sign my name to prove it: Hélène LECOMPTE")</f>
        <v>New member, for the year 2021, at Néoliane Santé, I did not receive my paid third party card and we are on 12/31/2020 !!!
We immediately see the seriousness of this company, which does not care about members but will be able to take on my account on 5/01/2021 the amount of membership .... weird !!!
Impossible to reach them on the phone and when, after several attempts you have a kind person who tells you, I take care of you right away and that nothing comes ..... it leaves it, seems well installed , I fear it -
Barely registered, I want to spin elsewhere I fear that the reimbursements do not be done!
If I do not receive my card I would go through a mediator to cancel my registration -
In any case, I am not a robot that denigrates in favor of competition ...
I sign my name to prove it: Hélène LECOMPTE</v>
      </c>
    </row>
    <row r="744" ht="15.75" customHeight="1">
      <c r="A744" s="2">
        <v>1.0</v>
      </c>
      <c r="B744" s="2" t="s">
        <v>2092</v>
      </c>
      <c r="C744" s="2" t="s">
        <v>2093</v>
      </c>
      <c r="D744" s="2" t="s">
        <v>70</v>
      </c>
      <c r="E744" s="2" t="s">
        <v>21</v>
      </c>
      <c r="F744" s="2" t="s">
        <v>15</v>
      </c>
      <c r="G744" s="2" t="s">
        <v>1718</v>
      </c>
      <c r="H744" s="2" t="s">
        <v>201</v>
      </c>
      <c r="I744" s="2" t="str">
        <f>IFERROR(__xludf.DUMMYFUNCTION("GOOGLETRANSLATE(C744,""fr"",""en"")"),"Removing after 32 years (1989) as a GMF member
Reason: alteration of the commercial relationship ... Go understand
No explanation has been given to us to date")</f>
        <v>Removing after 32 years (1989) as a GMF member
Reason: alteration of the commercial relationship ... Go understand
No explanation has been given to us to date</v>
      </c>
    </row>
    <row r="745" ht="15.75" customHeight="1">
      <c r="A745" s="2">
        <v>3.0</v>
      </c>
      <c r="B745" s="2" t="s">
        <v>2094</v>
      </c>
      <c r="C745" s="2" t="s">
        <v>2095</v>
      </c>
      <c r="D745" s="2" t="s">
        <v>75</v>
      </c>
      <c r="E745" s="2" t="s">
        <v>14</v>
      </c>
      <c r="F745" s="2" t="s">
        <v>15</v>
      </c>
      <c r="G745" s="2" t="s">
        <v>1045</v>
      </c>
      <c r="H745" s="2" t="s">
        <v>44</v>
      </c>
      <c r="I745" s="2" t="str">
        <f>IFERROR(__xludf.DUMMYFUNCTION("GOOGLETRANSLATE(C745,""fr"",""en"")"),"I do not see how I can give a notice of 150 letters when I do not know if my file will be accepted. I want to add that we see if an insurer is serious that after needing him.")</f>
        <v>I do not see how I can give a notice of 150 letters when I do not know if my file will be accepted. I want to add that we see if an insurer is serious that after needing him.</v>
      </c>
    </row>
    <row r="746" ht="15.75" customHeight="1">
      <c r="A746" s="2">
        <v>2.0</v>
      </c>
      <c r="B746" s="2" t="s">
        <v>2096</v>
      </c>
      <c r="C746" s="2" t="s">
        <v>2097</v>
      </c>
      <c r="D746" s="2" t="s">
        <v>13</v>
      </c>
      <c r="E746" s="2" t="s">
        <v>21</v>
      </c>
      <c r="F746" s="2" t="s">
        <v>15</v>
      </c>
      <c r="G746" s="2" t="s">
        <v>1704</v>
      </c>
      <c r="H746" s="2" t="s">
        <v>34</v>
      </c>
      <c r="I746" s="2" t="str">
        <f>IFERROR(__xludf.DUMMYFUNCTION("GOOGLETRANSLATE(C746,""fr"",""en"")"),"Good insurer if you do not have a disaster, if not if, like us, you have three (3) claims in the year (including one classified without follow -up) we refuse to renew this contract - we turn you like Malpropers without notice - (even with 35 years of seni"&amp;"ority) on the other hand we accept your other contracts (we have 10 at home) not inflated the Macif")</f>
        <v>Good insurer if you do not have a disaster, if not if, like us, you have three (3) claims in the year (including one classified without follow -up) we refuse to renew this contract - we turn you like Malpropers without notice - (even with 35 years of seniority) on the other hand we accept your other contracts (we have 10 at home) not inflated the Macif</v>
      </c>
    </row>
    <row r="747" ht="15.75" customHeight="1">
      <c r="A747" s="2">
        <v>2.0</v>
      </c>
      <c r="B747" s="2" t="s">
        <v>2098</v>
      </c>
      <c r="C747" s="2" t="s">
        <v>2099</v>
      </c>
      <c r="D747" s="2" t="s">
        <v>229</v>
      </c>
      <c r="E747" s="2" t="s">
        <v>96</v>
      </c>
      <c r="F747" s="2" t="s">
        <v>15</v>
      </c>
      <c r="G747" s="2" t="s">
        <v>2100</v>
      </c>
      <c r="H747" s="2" t="s">
        <v>402</v>
      </c>
      <c r="I747" s="2" t="str">
        <f>IFERROR(__xludf.DUMMYFUNCTION("GOOGLETRANSLATE(C747,""fr"",""en"")"),"Do not subscribe to them, especially for a 2 wheels, he does no file follow -up and no contribution payment control and is content to tell you that he is not received your payment and plays with repeated sterile dialogue, imagine in Cases the difficulty o"&amp;"f being heard.
AMV Thank you for your very demonstrative negative incompetence.")</f>
        <v>Do not subscribe to them, especially for a 2 wheels, he does no file follow -up and no contribution payment control and is content to tell you that he is not received your payment and plays with repeated sterile dialogue, imagine in Cases the difficulty of being heard.
AMV Thank you for your very demonstrative negative incompetence.</v>
      </c>
    </row>
    <row r="748" ht="15.75" customHeight="1">
      <c r="A748" s="2">
        <v>1.0</v>
      </c>
      <c r="B748" s="2" t="s">
        <v>2101</v>
      </c>
      <c r="C748" s="2" t="s">
        <v>2102</v>
      </c>
      <c r="D748" s="2" t="s">
        <v>75</v>
      </c>
      <c r="E748" s="2" t="s">
        <v>14</v>
      </c>
      <c r="F748" s="2" t="s">
        <v>15</v>
      </c>
      <c r="G748" s="2" t="s">
        <v>546</v>
      </c>
      <c r="H748" s="2" t="s">
        <v>77</v>
      </c>
      <c r="I748" s="2" t="str">
        <f>IFERROR(__xludf.DUMMYFUNCTION("GOOGLETRANSLATE(C748,""fr"",""en"")"),"The prices are ... this is my second contract with you without any claim in addition I drive very very little, I wish a review of my contract if not I will go see the competition")</f>
        <v>The prices are ... this is my second contract with you without any claim in addition I drive very very little, I wish a review of my contract if not I will go see the competition</v>
      </c>
    </row>
    <row r="749" ht="15.75" customHeight="1">
      <c r="A749" s="2">
        <v>4.0</v>
      </c>
      <c r="B749" s="2" t="s">
        <v>2103</v>
      </c>
      <c r="C749" s="2" t="s">
        <v>2104</v>
      </c>
      <c r="D749" s="2" t="s">
        <v>31</v>
      </c>
      <c r="E749" s="2" t="s">
        <v>81</v>
      </c>
      <c r="F749" s="2" t="s">
        <v>15</v>
      </c>
      <c r="G749" s="2" t="s">
        <v>1611</v>
      </c>
      <c r="H749" s="2" t="s">
        <v>34</v>
      </c>
      <c r="I749" s="2" t="str">
        <f>IFERROR(__xludf.DUMMYFUNCTION("GOOGLETRANSLATE(C749,""fr"",""en"")"),"Perfect. The person I had on the phone was very pro and very kind. I never had a problem with the MGP.
Good mutual listening to his members.
.
")</f>
        <v>Perfect. The person I had on the phone was very pro and very kind. I never had a problem with the MGP.
Good mutual listening to his members.
.
</v>
      </c>
    </row>
    <row r="750" ht="15.75" customHeight="1">
      <c r="A750" s="2">
        <v>2.0</v>
      </c>
      <c r="B750" s="2" t="s">
        <v>2105</v>
      </c>
      <c r="C750" s="2" t="s">
        <v>2106</v>
      </c>
      <c r="D750" s="2" t="s">
        <v>13</v>
      </c>
      <c r="E750" s="2" t="s">
        <v>21</v>
      </c>
      <c r="F750" s="2" t="s">
        <v>15</v>
      </c>
      <c r="G750" s="2" t="s">
        <v>488</v>
      </c>
      <c r="H750" s="2" t="s">
        <v>98</v>
      </c>
      <c r="I750" s="2" t="str">
        <f>IFERROR(__xludf.DUMMYFUNCTION("GOOGLETRANSLATE(C750,""fr"",""en"")"),"Macif has become like his competitors a machine to earn money without against games for his customers (no service, no follow -up, does not answer emails yet it is the least of politeness, becomes tentacular, on the phone It's never the right person, no pe"&amp;"rson is responsible) in short only the prices remain interesting for the moment")</f>
        <v>Macif has become like his competitors a machine to earn money without against games for his customers (no service, no follow -up, does not answer emails yet it is the least of politeness, becomes tentacular, on the phone It's never the right person, no person is responsible) in short only the prices remain interesting for the moment</v>
      </c>
    </row>
    <row r="751" ht="15.75" customHeight="1">
      <c r="A751" s="2">
        <v>1.0</v>
      </c>
      <c r="B751" s="2" t="s">
        <v>2107</v>
      </c>
      <c r="C751" s="2" t="s">
        <v>2108</v>
      </c>
      <c r="D751" s="2" t="s">
        <v>55</v>
      </c>
      <c r="E751" s="2" t="s">
        <v>96</v>
      </c>
      <c r="F751" s="2" t="s">
        <v>15</v>
      </c>
      <c r="G751" s="2" t="s">
        <v>2109</v>
      </c>
      <c r="H751" s="2" t="s">
        <v>1392</v>
      </c>
      <c r="I751" s="2" t="str">
        <f>IFERROR(__xludf.DUMMYFUNCTION("GOOGLETRANSLATE(C751,""fr"",""en"")"),"Still no expert report for more than 15 days despite our reminders 2 times a week")</f>
        <v>Still no expert report for more than 15 days despite our reminders 2 times a week</v>
      </c>
    </row>
    <row r="752" ht="15.75" customHeight="1">
      <c r="A752" s="2">
        <v>1.0</v>
      </c>
      <c r="B752" s="2" t="s">
        <v>2110</v>
      </c>
      <c r="C752" s="2" t="s">
        <v>2111</v>
      </c>
      <c r="D752" s="2" t="s">
        <v>75</v>
      </c>
      <c r="E752" s="2" t="s">
        <v>14</v>
      </c>
      <c r="F752" s="2" t="s">
        <v>15</v>
      </c>
      <c r="G752" s="2" t="s">
        <v>2112</v>
      </c>
      <c r="H752" s="2" t="s">
        <v>86</v>
      </c>
      <c r="I752" s="2" t="str">
        <f>IFERROR(__xludf.DUMMYFUNCTION("GOOGLETRANSLATE(C752,""fr"",""en"")"),"Cheaper insurance, but I would still like a reduction because despite not ensuring a car long, never had a gram of problem in 16 years of license and driving.
Ideal will be a monthly payment of 12 euros. I am an excellent driver.
Please. thanks in advan"&amp;"ce,")</f>
        <v>Cheaper insurance, but I would still like a reduction because despite not ensuring a car long, never had a gram of problem in 16 years of license and driving.
Ideal will be a monthly payment of 12 euros. I am an excellent driver.
Please. thanks in advance,</v>
      </c>
    </row>
    <row r="753" ht="15.75" customHeight="1">
      <c r="A753" s="2">
        <v>5.0</v>
      </c>
      <c r="B753" s="2" t="s">
        <v>2113</v>
      </c>
      <c r="C753" s="2" t="s">
        <v>2114</v>
      </c>
      <c r="D753" s="2" t="s">
        <v>37</v>
      </c>
      <c r="E753" s="2" t="s">
        <v>14</v>
      </c>
      <c r="F753" s="2" t="s">
        <v>15</v>
      </c>
      <c r="G753" s="2" t="s">
        <v>2115</v>
      </c>
      <c r="H753" s="2" t="s">
        <v>111</v>
      </c>
      <c r="I753" s="2" t="str">
        <f>IFERROR(__xludf.DUMMYFUNCTION("GOOGLETRANSLATE(C753,""fr"",""en"")"),"I am very pleasantly surprised by the professionalism and the responsiveness of the commercial service, 1st experience for me of the dematerialized insurance service and I find that top.")</f>
        <v>I am very pleasantly surprised by the professionalism and the responsiveness of the commercial service, 1st experience for me of the dematerialized insurance service and I find that top.</v>
      </c>
    </row>
    <row r="754" ht="15.75" customHeight="1">
      <c r="A754" s="2">
        <v>1.0</v>
      </c>
      <c r="B754" s="2" t="s">
        <v>2116</v>
      </c>
      <c r="C754" s="2" t="s">
        <v>2117</v>
      </c>
      <c r="D754" s="2" t="s">
        <v>42</v>
      </c>
      <c r="E754" s="2" t="s">
        <v>32</v>
      </c>
      <c r="F754" s="2" t="s">
        <v>15</v>
      </c>
      <c r="G754" s="2" t="s">
        <v>91</v>
      </c>
      <c r="H754" s="2" t="s">
        <v>92</v>
      </c>
      <c r="I754" s="2" t="str">
        <f>IFERROR(__xludf.DUMMYFUNCTION("GOOGLETRANSLATE(C754,""fr"",""en"")"),"They must be restarted for taking into account the termination request with LRAR.")</f>
        <v>They must be restarted for taking into account the termination request with LRAR.</v>
      </c>
    </row>
    <row r="755" ht="15.75" customHeight="1">
      <c r="A755" s="2">
        <v>3.0</v>
      </c>
      <c r="B755" s="2" t="s">
        <v>2118</v>
      </c>
      <c r="C755" s="2" t="s">
        <v>2119</v>
      </c>
      <c r="D755" s="2" t="s">
        <v>75</v>
      </c>
      <c r="E755" s="2" t="s">
        <v>14</v>
      </c>
      <c r="F755" s="2" t="s">
        <v>15</v>
      </c>
      <c r="G755" s="2" t="s">
        <v>2120</v>
      </c>
      <c r="H755" s="2" t="s">
        <v>17</v>
      </c>
      <c r="I755" s="2" t="str">
        <f>IFERROR(__xludf.DUMMYFUNCTION("GOOGLETRANSLATE(C755,""fr"",""en"")"),"An annual contribution constantly increasing and more than doubtful clauses")</f>
        <v>An annual contribution constantly increasing and more than doubtful clauses</v>
      </c>
    </row>
    <row r="756" ht="15.75" customHeight="1">
      <c r="A756" s="2">
        <v>5.0</v>
      </c>
      <c r="B756" s="2" t="s">
        <v>2121</v>
      </c>
      <c r="C756" s="2" t="s">
        <v>2122</v>
      </c>
      <c r="D756" s="2" t="s">
        <v>37</v>
      </c>
      <c r="E756" s="2" t="s">
        <v>14</v>
      </c>
      <c r="F756" s="2" t="s">
        <v>15</v>
      </c>
      <c r="G756" s="2" t="s">
        <v>118</v>
      </c>
      <c r="H756" s="2" t="s">
        <v>77</v>
      </c>
      <c r="I756" s="2" t="str">
        <f>IFERROR(__xludf.DUMMYFUNCTION("GOOGLETRANSLATE(C756,""fr"",""en"")"),"I am satisfied with the service, the telephone reception was impeccable, professional, friendly and efficient! Continue like that!
On the other hand, watch out for your site which was by maintaining at least for 4 hours !!! Just when I finished my inscri"&amp;"ption, too bad.")</f>
        <v>I am satisfied with the service, the telephone reception was impeccable, professional, friendly and efficient! Continue like that!
On the other hand, watch out for your site which was by maintaining at least for 4 hours !!! Just when I finished my inscription, too bad.</v>
      </c>
    </row>
    <row r="757" ht="15.75" customHeight="1">
      <c r="A757" s="2">
        <v>4.0</v>
      </c>
      <c r="B757" s="2" t="s">
        <v>2123</v>
      </c>
      <c r="C757" s="2" t="s">
        <v>2124</v>
      </c>
      <c r="D757" s="2" t="s">
        <v>75</v>
      </c>
      <c r="E757" s="2" t="s">
        <v>14</v>
      </c>
      <c r="F757" s="2" t="s">
        <v>15</v>
      </c>
      <c r="G757" s="2" t="s">
        <v>434</v>
      </c>
      <c r="H757" s="2" t="s">
        <v>39</v>
      </c>
      <c r="I757" s="2" t="str">
        <f>IFERROR(__xludf.DUMMYFUNCTION("GOOGLETRANSLATE(C757,""fr"",""en"")"),"Satisfactory service, the price can be even more aggressive.
The simplicity of the subscription is also very well done.
Hoping for more commercial offers.")</f>
        <v>Satisfactory service, the price can be even more aggressive.
The simplicity of the subscription is also very well done.
Hoping for more commercial offers.</v>
      </c>
    </row>
    <row r="758" ht="15.75" customHeight="1">
      <c r="A758" s="2">
        <v>2.0</v>
      </c>
      <c r="B758" s="2" t="s">
        <v>2125</v>
      </c>
      <c r="C758" s="2" t="s">
        <v>2126</v>
      </c>
      <c r="D758" s="2" t="s">
        <v>75</v>
      </c>
      <c r="E758" s="2" t="s">
        <v>14</v>
      </c>
      <c r="F758" s="2" t="s">
        <v>15</v>
      </c>
      <c r="G758" s="2" t="s">
        <v>2127</v>
      </c>
      <c r="H758" s="2" t="s">
        <v>193</v>
      </c>
      <c r="I758" s="2" t="str">
        <f>IFERROR(__xludf.DUMMYFUNCTION("GOOGLETRANSLATE(C758,""fr"",""en"")"),"Some imperfections !!! notorious !! Despite prices appearing to be attractive. You have to see the whole service !! Especially on the youth driver driving box! Missing an effective online telephone advisor !!")</f>
        <v>Some imperfections !!! notorious !! Despite prices appearing to be attractive. You have to see the whole service !! Especially on the youth driver driving box! Missing an effective online telephone advisor !!</v>
      </c>
    </row>
    <row r="759" ht="15.75" customHeight="1">
      <c r="A759" s="2">
        <v>5.0</v>
      </c>
      <c r="B759" s="2" t="s">
        <v>2128</v>
      </c>
      <c r="C759" s="2" t="s">
        <v>2129</v>
      </c>
      <c r="D759" s="2" t="s">
        <v>37</v>
      </c>
      <c r="E759" s="2" t="s">
        <v>14</v>
      </c>
      <c r="F759" s="2" t="s">
        <v>15</v>
      </c>
      <c r="G759" s="2" t="s">
        <v>716</v>
      </c>
      <c r="H759" s="2" t="s">
        <v>77</v>
      </c>
      <c r="I759" s="2" t="str">
        <f>IFERROR(__xludf.DUMMYFUNCTION("GOOGLETRANSLATE(C759,""fr"",""en"")"),"I was looking for correct insurance and it suits me as much in terms of guarantees as price. I highly recommend this insurance.
Best regards")</f>
        <v>I was looking for correct insurance and it suits me as much in terms of guarantees as price. I highly recommend this insurance.
Best regards</v>
      </c>
    </row>
    <row r="760" ht="15.75" customHeight="1">
      <c r="A760" s="2">
        <v>5.0</v>
      </c>
      <c r="B760" s="2" t="s">
        <v>2130</v>
      </c>
      <c r="C760" s="2" t="s">
        <v>2131</v>
      </c>
      <c r="D760" s="2" t="s">
        <v>75</v>
      </c>
      <c r="E760" s="2" t="s">
        <v>14</v>
      </c>
      <c r="F760" s="2" t="s">
        <v>15</v>
      </c>
      <c r="G760" s="2" t="s">
        <v>463</v>
      </c>
      <c r="H760" s="2" t="s">
        <v>39</v>
      </c>
      <c r="I760" s="2" t="str">
        <f>IFERROR(__xludf.DUMMYFUNCTION("GOOGLETRANSLATE(C760,""fr"",""en"")"),"Support by phone just perfect. I was perfectly recommended.
Contracts adapted to my needs and my budget.
Direct TOP insurance!")</f>
        <v>Support by phone just perfect. I was perfectly recommended.
Contracts adapted to my needs and my budget.
Direct TOP insurance!</v>
      </c>
    </row>
    <row r="761" ht="15.75" customHeight="1">
      <c r="A761" s="2">
        <v>5.0</v>
      </c>
      <c r="B761" s="2" t="s">
        <v>2132</v>
      </c>
      <c r="C761" s="2" t="s">
        <v>2133</v>
      </c>
      <c r="D761" s="2" t="s">
        <v>31</v>
      </c>
      <c r="E761" s="2" t="s">
        <v>32</v>
      </c>
      <c r="F761" s="2" t="s">
        <v>15</v>
      </c>
      <c r="G761" s="2" t="s">
        <v>34</v>
      </c>
      <c r="H761" s="2" t="s">
        <v>34</v>
      </c>
      <c r="I761" s="2" t="str">
        <f>IFERROR(__xludf.DUMMYFUNCTION("GOOGLETRANSLATE(C761,""fr"",""en"")"),"Only downside is reimbursements for my osteopath, 4 reimbursements of € 15, too bad we cannot assemble them given the price of osteopaths.")</f>
        <v>Only downside is reimbursements for my osteopath, 4 reimbursements of € 15, too bad we cannot assemble them given the price of osteopaths.</v>
      </c>
    </row>
    <row r="762" ht="15.75" customHeight="1">
      <c r="A762" s="2">
        <v>1.0</v>
      </c>
      <c r="B762" s="2" t="s">
        <v>2134</v>
      </c>
      <c r="C762" s="2" t="s">
        <v>2135</v>
      </c>
      <c r="D762" s="2" t="s">
        <v>80</v>
      </c>
      <c r="E762" s="2" t="s">
        <v>81</v>
      </c>
      <c r="F762" s="2" t="s">
        <v>15</v>
      </c>
      <c r="G762" s="2" t="s">
        <v>2136</v>
      </c>
      <c r="H762" s="2" t="s">
        <v>402</v>
      </c>
      <c r="I762" s="2" t="str">
        <f>IFERROR(__xludf.DUMMYFUNCTION("GOOGLETRANSLATE(C762,""fr"",""en"")"),"Hello
Deplorable insurance, no listening and despite many emails and telephone calls nothing moves. In retirement since October 1, 2019, not one euro paid. My file being closed, the samples persisted at the rate of 2 samples per month! I had to stop the "&amp;"levy authorization. In December I was promised my regularization before the end of the year, today still nothing. How do people do a little liquidity advance? I do not recommend this insurance at all and regret having contributed for so long with them, I "&amp;"give them a good advertisement in my professional environment!
 ")</f>
        <v>Hello
Deplorable insurance, no listening and despite many emails and telephone calls nothing moves. In retirement since October 1, 2019, not one euro paid. My file being closed, the samples persisted at the rate of 2 samples per month! I had to stop the levy authorization. In December I was promised my regularization before the end of the year, today still nothing. How do people do a little liquidity advance? I do not recommend this insurance at all and regret having contributed for so long with them, I give them a good advertisement in my professional environment!
 </v>
      </c>
    </row>
    <row r="763" ht="15.75" customHeight="1">
      <c r="A763" s="2">
        <v>5.0</v>
      </c>
      <c r="B763" s="2" t="s">
        <v>2137</v>
      </c>
      <c r="C763" s="2" t="s">
        <v>2138</v>
      </c>
      <c r="D763" s="2" t="s">
        <v>70</v>
      </c>
      <c r="E763" s="2" t="s">
        <v>14</v>
      </c>
      <c r="F763" s="2" t="s">
        <v>15</v>
      </c>
      <c r="G763" s="2" t="s">
        <v>440</v>
      </c>
      <c r="H763" s="2" t="s">
        <v>107</v>
      </c>
      <c r="I763" s="2" t="str">
        <f>IFERROR(__xludf.DUMMYFUNCTION("GOOGLETRANSLATE(C763,""fr"",""en"")"),"In the family, we have been at GMF since the 1960s, and we are still there, and satisfied !! Prices are barely superior to certain companies, quality, communication and satisfaction are much superior from what I hear, and to believe colleagues, friends an"&amp;"d relationships, we are right to stay there!")</f>
        <v>In the family, we have been at GMF since the 1960s, and we are still there, and satisfied !! Prices are barely superior to certain companies, quality, communication and satisfaction are much superior from what I hear, and to believe colleagues, friends and relationships, we are right to stay there!</v>
      </c>
    </row>
    <row r="764" ht="15.75" customHeight="1">
      <c r="A764" s="2">
        <v>1.0</v>
      </c>
      <c r="B764" s="2" t="s">
        <v>2139</v>
      </c>
      <c r="C764" s="2" t="s">
        <v>2140</v>
      </c>
      <c r="D764" s="2" t="s">
        <v>158</v>
      </c>
      <c r="E764" s="2" t="s">
        <v>14</v>
      </c>
      <c r="F764" s="2" t="s">
        <v>15</v>
      </c>
      <c r="G764" s="2" t="s">
        <v>193</v>
      </c>
      <c r="H764" s="2" t="s">
        <v>193</v>
      </c>
      <c r="I764" s="2" t="str">
        <f>IFERROR(__xludf.DUMMYFUNCTION("GOOGLETRANSLATE(C764,""fr"",""en"")"),"Bad payers. My mom was killed in an accident (not responsible) more than a year ago by one of their insured (declared guilty 6 months ago by a court). Still no compensation. While this compensation is not very high however! A shame.")</f>
        <v>Bad payers. My mom was killed in an accident (not responsible) more than a year ago by one of their insured (declared guilty 6 months ago by a court). Still no compensation. While this compensation is not very high however! A shame.</v>
      </c>
    </row>
    <row r="765" ht="15.75" customHeight="1">
      <c r="A765" s="2">
        <v>1.0</v>
      </c>
      <c r="B765" s="2" t="s">
        <v>2141</v>
      </c>
      <c r="C765" s="2" t="s">
        <v>2142</v>
      </c>
      <c r="D765" s="2" t="s">
        <v>37</v>
      </c>
      <c r="E765" s="2" t="s">
        <v>14</v>
      </c>
      <c r="F765" s="2" t="s">
        <v>15</v>
      </c>
      <c r="G765" s="2" t="s">
        <v>2143</v>
      </c>
      <c r="H765" s="2" t="s">
        <v>521</v>
      </c>
      <c r="I765" s="2" t="str">
        <f>IFERROR(__xludf.DUMMYFUNCTION("GOOGLETRANSLATE(C765,""fr"",""en"")"),"Hello,
12/12/2019, I validate a third -party comfort quote (having declared 2 non -responsible disaster over 36 months).
10/16/19, I receive my provisional green card with a spelling error: Athur instead of Arthur (an error, it can happen ... but it"&amp;"'s already a sign!)
19/12/19: after many attempts to reach them, I finally receive the right provisional green card
24/12/19: I finally receive the RI of my former insurer (with the 2 non -responsible claims confirmed over the last 36 months)
The 6/01/"&amp;"20: I complete my folder by downloading the latest supporting documents including the RI.
7/01/20: I receive my final green card
And on the same day later, I receive an amendment, called fallaciously: backing up ""with 15 euros of billed for the addendu"&amp;"m and a report"" errors ""on prior declaration of claims:
My ri says:
1-Sinistre not responsible in 02/2019 (I made a typing error by typing 201 ... 8) on their site.
2-Sinistre not responsible on 10/22/19 (I declared it from memory for 11/2019 on thei"&amp;"r site)
All invoices 117 euro more on my annual subscription.
Post confidence, I discover here ... and complaint door ....
I am told .... After a small inter -service walk from 1/2h: ""Well, I reimburse you 15 euros .... and if you do not agree with "&amp;"the amendment, you refuse it by simple Email and on the other hand, this terminates your contract (and you will be reimbursed for your membership fee already paid to the Prérata Temporis) ""
Except that here:
If he had paid more attention, themselves "&amp;"(rigor and professionalism ...) to the amendment attached to the email of 7/01/20 and especially to my RI:
The 2 claims declared in my quote are confirmed (at 1 striking error for 2018 for 2019+10 days, Oct. 22 for November ... of memory) ... 117 euros"&amp;" for that, without dec ?????? (that wouldn't have trampled on an advisor to tell me ?? !!)
But above all, they count my 2018 error for 2019 in claims which is not even mentioned in the RI of my previous insurer ..... !!!
And there, it is who must pa"&amp;"y to redo an amendment as much as a ""rebuilding"", huh !!! ????
In the meantime, it's a refusal !!!!!
And I'm not talking about the promised reimbursements (advertising campaign at the end of the year for Dashcam):
1-development but validated for the "&amp;"purchase of a cam
2-A with only 1 norauto out of 6 (in the Toulouse region) which has the right tech, I took weeks for 1 appointment .... the olive tree which promised up to 120 euros for the installation (it I cost me 60 euros) .... only wants to reimbu"&amp;"rse me 30 euros ... ""dixit an Olivier operator""
I spend too much time to wait to have them to ask them for a return on my refund requests by reporting their mistakes.
I will terminate, that's all! (n ° 1080436119)
")</f>
        <v>Hello,
12/12/2019, I validate a third -party comfort quote (having declared 2 non -responsible disaster over 36 months).
10/16/19, I receive my provisional green card with a spelling error: Athur instead of Arthur (an error, it can happen ... but it's already a sign!)
19/12/19: after many attempts to reach them, I finally receive the right provisional green card
24/12/19: I finally receive the RI of my former insurer (with the 2 non -responsible claims confirmed over the last 36 months)
The 6/01/20: I complete my folder by downloading the latest supporting documents including the RI.
7/01/20: I receive my final green card
And on the same day later, I receive an amendment, called fallaciously: backing up "with 15 euros of billed for the addendum and a report" errors "on prior declaration of claims:
My ri says:
1-Sinistre not responsible in 02/2019 (I made a typing error by typing 201 ... 8) on their site.
2-Sinistre not responsible on 10/22/19 (I declared it from memory for 11/2019 on their site)
All invoices 117 euro more on my annual subscription.
Post confidence, I discover here ... and complaint door ....
I am told .... After a small inter -service walk from 1/2h: "Well, I reimburse you 15 euros .... and if you do not agree with the amendment, you refuse it by simple Email and on the other hand, this terminates your contract (and you will be reimbursed for your membership fee already paid to the Prérata Temporis) "
Except that here:
If he had paid more attention, themselves (rigor and professionalism ...) to the amendment attached to the email of 7/01/20 and especially to my RI:
The 2 claims declared in my quote are confirmed (at 1 striking error for 2018 for 2019+10 days, Oct. 22 for November ... of memory) ... 117 euros for that, without dec ?????? (that wouldn't have trampled on an advisor to tell me ?? !!)
But above all, they count my 2018 error for 2019 in claims which is not even mentioned in the RI of my previous insurer ..... !!!
And there, it is who must pay to redo an amendment as much as a "rebuilding", huh !!! ????
In the meantime, it's a refusal !!!!!
And I'm not talking about the promised reimbursements (advertising campaign at the end of the year for Dashcam):
1-development but validated for the purchase of a cam
2-A with only 1 norauto out of 6 (in the Toulouse region) which has the right tech, I took weeks for 1 appointment .... the olive tree which promised up to 120 euros for the installation (it I cost me 60 euros) .... only wants to reimburse me 30 euros ... "dixit an Olivier operator"
I spend too much time to wait to have them to ask them for a return on my refund requests by reporting their mistakes.
I will terminate, that's all! (n ° 1080436119)
</v>
      </c>
    </row>
    <row r="766" ht="15.75" customHeight="1">
      <c r="A766" s="2">
        <v>3.0</v>
      </c>
      <c r="B766" s="2" t="s">
        <v>2144</v>
      </c>
      <c r="C766" s="2" t="s">
        <v>2145</v>
      </c>
      <c r="D766" s="2" t="s">
        <v>173</v>
      </c>
      <c r="E766" s="2" t="s">
        <v>32</v>
      </c>
      <c r="F766" s="2" t="s">
        <v>15</v>
      </c>
      <c r="G766" s="2" t="s">
        <v>2146</v>
      </c>
      <c r="H766" s="2" t="s">
        <v>926</v>
      </c>
      <c r="I766" s="2" t="str">
        <f>IFERROR(__xludf.DUMMYFUNCTION("GOOGLETRANSLATE(C766,""fr"",""en"")"),"very good explanation; Very available and attentive person. no one listening which is not always easy ......")</f>
        <v>very good explanation; Very available and attentive person. no one listening which is not always easy ......</v>
      </c>
    </row>
    <row r="767" ht="15.75" customHeight="1">
      <c r="A767" s="2">
        <v>5.0</v>
      </c>
      <c r="B767" s="2" t="s">
        <v>2147</v>
      </c>
      <c r="C767" s="2" t="s">
        <v>2148</v>
      </c>
      <c r="D767" s="2" t="s">
        <v>75</v>
      </c>
      <c r="E767" s="2" t="s">
        <v>14</v>
      </c>
      <c r="F767" s="2" t="s">
        <v>15</v>
      </c>
      <c r="G767" s="2" t="s">
        <v>267</v>
      </c>
      <c r="H767" s="2" t="s">
        <v>86</v>
      </c>
      <c r="I767" s="2" t="str">
        <f>IFERROR(__xludf.DUMMYFUNCTION("GOOGLETRANSLATE(C767,""fr"",""en"")"),"Advisers available and at the top, as before! They took the time to advise me and make a new quote with me! Glad to meet you and sorry for my little infidelity! ;)")</f>
        <v>Advisers available and at the top, as before! They took the time to advise me and make a new quote with me! Glad to meet you and sorry for my little infidelity! ;)</v>
      </c>
    </row>
    <row r="768" ht="15.75" customHeight="1">
      <c r="A768" s="2">
        <v>2.0</v>
      </c>
      <c r="B768" s="2" t="s">
        <v>2149</v>
      </c>
      <c r="C768" s="2" t="s">
        <v>2150</v>
      </c>
      <c r="D768" s="2" t="s">
        <v>247</v>
      </c>
      <c r="E768" s="2" t="s">
        <v>32</v>
      </c>
      <c r="F768" s="2" t="s">
        <v>15</v>
      </c>
      <c r="G768" s="2" t="s">
        <v>2151</v>
      </c>
      <c r="H768" s="2" t="s">
        <v>115</v>
      </c>
      <c r="I768" s="2" t="str">
        <f>IFERROR(__xludf.DUMMYFUNCTION("GOOGLETRANSLATE(C768,""fr"",""en"")"),"Hello, it's been 15 days since I had my appointment with the ophthalmologist and despite the revival mail with sending the count on my part of the CPAM and a sending on their part I still have not had my refund!
I am told that I haven't sent anything but"&amp;" it's been 3 times that I send my count. Still no answers! Nor reimbursement !!! What is the point of paying a mutual for no refunds to be done !!! I have to be in this mutual with my business.")</f>
        <v>Hello, it's been 15 days since I had my appointment with the ophthalmologist and despite the revival mail with sending the count on my part of the CPAM and a sending on their part I still have not had my refund!
I am told that I haven't sent anything but it's been 3 times that I send my count. Still no answers! Nor reimbursement !!! What is the point of paying a mutual for no refunds to be done !!! I have to be in this mutual with my business.</v>
      </c>
    </row>
    <row r="769" ht="15.75" customHeight="1">
      <c r="A769" s="2">
        <v>2.0</v>
      </c>
      <c r="B769" s="2" t="s">
        <v>2152</v>
      </c>
      <c r="C769" s="2" t="s">
        <v>2153</v>
      </c>
      <c r="D769" s="2" t="s">
        <v>242</v>
      </c>
      <c r="E769" s="2" t="s">
        <v>14</v>
      </c>
      <c r="F769" s="2" t="s">
        <v>15</v>
      </c>
      <c r="G769" s="2" t="s">
        <v>2154</v>
      </c>
      <c r="H769" s="2" t="s">
        <v>206</v>
      </c>
      <c r="I769" s="2" t="str">
        <f>IFERROR(__xludf.DUMMYFUNCTION("GOOGLETRANSLATE(C769,""fr"",""en"")"),"contract n ° 257241
I signed a contract to this insurance but not having been able to send the definitive gray card in the month they would have to cancel my contract since all the paper were not in rules after several calls and email from them asking me"&amp;" Final gray card telling me that if I did not send it before the end of the insurance month would be canceled. After the month I no longer had any news on their part I therefore did so that the contract was canceled but by looking at my accounts I noticed"&amp;" that they always led me the monthly amount of insurance, they have So some tassely accepted my contract when the papers were not in the rules having noticed this I called them they confirmed to me that my contract had been accepted I asked them that even"&amp;" if the papers were not in the rules they had nevertheless accepted it the answer were the same yes my contract was accepted but still not having the definitive gray card I asked them to cancel the contract with letter recommend more than 10 days before t"&amp;"he following monthly setback.
-I never received the acknowledgment of receipt of my letter recommend
-I received a call from their pars telling me that they had received the letter recommended (they therefore opened the letter before signing the recomme"&amp;"nding to the factor which is illegal or we do not even signed at all because I n 'I never received the accused of reception) could not terminate the contract without the final gray card (while the contract was accepted from their pars without the gray car"&amp;"d)
-I did it with the 10 days of previsor indicated before the celebrating date of the monthly direct debit but they tried to take anyway 1 days before the date (having blocked the sample it did not pass) they ignore my emails their Saying to cancel the "&amp;"undocumented contract undoubtedly and ask me to pay them the sum of insurance which is not correct at all. Given that nothing is in terms and that they would have to cancel the contract since I could not send the final gray card.")</f>
        <v>contract n ° 257241
I signed a contract to this insurance but not having been able to send the definitive gray card in the month they would have to cancel my contract since all the paper were not in rules after several calls and email from them asking me Final gray card telling me that if I did not send it before the end of the insurance month would be canceled. After the month I no longer had any news on their part I therefore did so that the contract was canceled but by looking at my accounts I noticed that they always led me the monthly amount of insurance, they have So some tassely accepted my contract when the papers were not in the rules having noticed this I called them they confirmed to me that my contract had been accepted I asked them that even if the papers were not in the rules they had nevertheless accepted it the answer were the same yes my contract was accepted but still not having the definitive gray card I asked them to cancel the contract with letter recommend more than 10 days before the following monthly setback.
-I never received the acknowledgment of receipt of my letter recommend
-I received a call from their pars telling me that they had received the letter recommended (they therefore opened the letter before signing the recommending to the factor which is illegal or we do not even signed at all because I n 'I never received the accused of reception) could not terminate the contract without the final gray card (while the contract was accepted from their pars without the gray card)
-I did it with the 10 days of previsor indicated before the celebrating date of the monthly direct debit but they tried to take anyway 1 days before the date (having blocked the sample it did not pass) they ignore my emails their Saying to cancel the undocumented contract undoubtedly and ask me to pay them the sum of insurance which is not correct at all. Given that nothing is in terms and that they would have to cancel the contract since I could not send the final gray card.</v>
      </c>
    </row>
    <row r="770" ht="15.75" customHeight="1">
      <c r="A770" s="2">
        <v>5.0</v>
      </c>
      <c r="B770" s="2" t="s">
        <v>2155</v>
      </c>
      <c r="C770" s="2" t="s">
        <v>2156</v>
      </c>
      <c r="D770" s="2" t="s">
        <v>37</v>
      </c>
      <c r="E770" s="2" t="s">
        <v>14</v>
      </c>
      <c r="F770" s="2" t="s">
        <v>15</v>
      </c>
      <c r="G770" s="2" t="s">
        <v>200</v>
      </c>
      <c r="H770" s="2" t="s">
        <v>107</v>
      </c>
      <c r="I770" s="2" t="str">
        <f>IFERROR(__xludf.DUMMYFUNCTION("GOOGLETRANSLATE(C770,""fr"",""en"")"),"I am satisfied with the service from the start until the end of my subscription, I can recommend without worries,
Thank you for continuing in this logic.
Thank you a lot")</f>
        <v>I am satisfied with the service from the start until the end of my subscription, I can recommend without worries,
Thank you for continuing in this logic.
Thank you a lot</v>
      </c>
    </row>
    <row r="771" ht="15.75" customHeight="1">
      <c r="A771" s="2">
        <v>4.0</v>
      </c>
      <c r="B771" s="2" t="s">
        <v>2157</v>
      </c>
      <c r="C771" s="2" t="s">
        <v>2158</v>
      </c>
      <c r="D771" s="2" t="s">
        <v>199</v>
      </c>
      <c r="E771" s="2" t="s">
        <v>32</v>
      </c>
      <c r="F771" s="2" t="s">
        <v>15</v>
      </c>
      <c r="G771" s="2" t="s">
        <v>2159</v>
      </c>
      <c r="H771" s="2" t="s">
        <v>61</v>
      </c>
      <c r="I771" s="2" t="str">
        <f>IFERROR(__xludf.DUMMYFUNCTION("GOOGLETRANSLATE(C771,""fr"",""en"")"),"Super happy with the contract made for my father
The salesperson always responds to requests by phone or email
I recommend
Nothing to do with my old mutual")</f>
        <v>Super happy with the contract made for my father
The salesperson always responds to requests by phone or email
I recommend
Nothing to do with my old mutual</v>
      </c>
    </row>
    <row r="772" ht="15.75" customHeight="1">
      <c r="A772" s="2">
        <v>1.0</v>
      </c>
      <c r="B772" s="2" t="s">
        <v>2160</v>
      </c>
      <c r="C772" s="2" t="s">
        <v>2161</v>
      </c>
      <c r="D772" s="2" t="s">
        <v>75</v>
      </c>
      <c r="E772" s="2" t="s">
        <v>14</v>
      </c>
      <c r="F772" s="2" t="s">
        <v>15</v>
      </c>
      <c r="G772" s="2" t="s">
        <v>2162</v>
      </c>
      <c r="H772" s="2" t="s">
        <v>331</v>
      </c>
      <c r="I772" s="2" t="str">
        <f>IFERROR(__xludf.DUMMYFUNCTION("GOOGLETRANSLATE(C772,""fr"",""en"")"),"Upon signing your 1st contract, a call rate for very preferential rates. to the renewal of catch -up rates with an exponential increase (15.06 % for me in all risks insurance), indisputable because my calculations are not theirs.
1st year at the signatur"&amp;"e, annual subscription TTC after bonus, all risks formula 244.82.
2nd year renewal, annual subscription TTC after bonus, 281.70, calculate.
                                      For them 2 + 2 do not make 4.
These are the bizarre secrets of insurance")</f>
        <v>Upon signing your 1st contract, a call rate for very preferential rates. to the renewal of catch -up rates with an exponential increase (15.06 % for me in all risks insurance), indisputable because my calculations are not theirs.
1st year at the signature, annual subscription TTC after bonus, all risks formula 244.82.
2nd year renewal, annual subscription TTC after bonus, 281.70, calculate.
                                      For them 2 + 2 do not make 4.
These are the bizarre secrets of insurance</v>
      </c>
    </row>
    <row r="773" ht="15.75" customHeight="1">
      <c r="A773" s="2">
        <v>3.0</v>
      </c>
      <c r="B773" s="2" t="s">
        <v>2163</v>
      </c>
      <c r="C773" s="2" t="s">
        <v>2164</v>
      </c>
      <c r="D773" s="2" t="s">
        <v>579</v>
      </c>
      <c r="E773" s="2" t="s">
        <v>14</v>
      </c>
      <c r="F773" s="2" t="s">
        <v>15</v>
      </c>
      <c r="G773" s="2" t="s">
        <v>1629</v>
      </c>
      <c r="H773" s="2" t="s">
        <v>926</v>
      </c>
      <c r="I773" s="2" t="str">
        <f>IFERROR(__xludf.DUMMYFUNCTION("GOOGLETRANSLATE(C773,""fr"",""en"")"),"Quality contracts. However, I did not have (fortunately) to test the claims service not having to date.")</f>
        <v>Quality contracts. However, I did not have (fortunately) to test the claims service not having to date.</v>
      </c>
    </row>
    <row r="774" ht="15.75" customHeight="1">
      <c r="A774" s="2">
        <v>1.0</v>
      </c>
      <c r="B774" s="2" t="s">
        <v>2165</v>
      </c>
      <c r="C774" s="2" t="s">
        <v>2166</v>
      </c>
      <c r="D774" s="2" t="s">
        <v>75</v>
      </c>
      <c r="E774" s="2" t="s">
        <v>14</v>
      </c>
      <c r="F774" s="2" t="s">
        <v>15</v>
      </c>
      <c r="G774" s="2" t="s">
        <v>193</v>
      </c>
      <c r="H774" s="2" t="s">
        <v>193</v>
      </c>
      <c r="I774" s="2" t="str">
        <f>IFERROR(__xludf.DUMMYFUNCTION("GOOGLETRANSLATE(C774,""fr"",""en"")"),"disappointed by the prices !! The prices do not evolve ... MEM in case of non -sinister unlike other insurance companies ... I will go to see elsewhere!")</f>
        <v>disappointed by the prices !! The prices do not evolve ... MEM in case of non -sinister unlike other insurance companies ... I will go to see elsewhere!</v>
      </c>
    </row>
    <row r="775" ht="15.75" customHeight="1">
      <c r="A775" s="2">
        <v>1.0</v>
      </c>
      <c r="B775" s="2" t="s">
        <v>2167</v>
      </c>
      <c r="C775" s="2" t="s">
        <v>2168</v>
      </c>
      <c r="D775" s="2" t="s">
        <v>75</v>
      </c>
      <c r="E775" s="2" t="s">
        <v>14</v>
      </c>
      <c r="F775" s="2" t="s">
        <v>15</v>
      </c>
      <c r="G775" s="2" t="s">
        <v>1810</v>
      </c>
      <c r="H775" s="2" t="s">
        <v>244</v>
      </c>
      <c r="I775" s="2" t="str">
        <f>IFERROR(__xludf.DUMMYFUNCTION("GOOGLETRANSLATE(C775,""fr"",""en"")"),"Please note the franchise is not fixed! 10% of the repair costs must be added. The whole does not exceed 650 euros. We can quickly end up with a total of in 400/500 euros")</f>
        <v>Please note the franchise is not fixed! 10% of the repair costs must be added. The whole does not exceed 650 euros. We can quickly end up with a total of in 400/500 euros</v>
      </c>
    </row>
    <row r="776" ht="15.75" customHeight="1">
      <c r="A776" s="2">
        <v>5.0</v>
      </c>
      <c r="B776" s="2" t="s">
        <v>2169</v>
      </c>
      <c r="C776" s="2" t="s">
        <v>2170</v>
      </c>
      <c r="D776" s="2" t="s">
        <v>37</v>
      </c>
      <c r="E776" s="2" t="s">
        <v>14</v>
      </c>
      <c r="F776" s="2" t="s">
        <v>15</v>
      </c>
      <c r="G776" s="2" t="s">
        <v>28</v>
      </c>
      <c r="H776" s="2" t="s">
        <v>28</v>
      </c>
      <c r="I776" s="2" t="str">
        <f>IFERROR(__xludf.DUMMYFUNCTION("GOOGLETRANSLATE(C776,""fr"",""en"")"),"I have been satisfied with the olive assurance because I have contact for multi auto for two years and I am still alive at the Olivier Insurance.")</f>
        <v>I have been satisfied with the olive assurance because I have contact for multi auto for two years and I am still alive at the Olivier Insurance.</v>
      </c>
    </row>
    <row r="777" ht="15.75" customHeight="1">
      <c r="A777" s="2">
        <v>1.0</v>
      </c>
      <c r="B777" s="2" t="s">
        <v>2171</v>
      </c>
      <c r="C777" s="2" t="s">
        <v>2172</v>
      </c>
      <c r="D777" s="2" t="s">
        <v>394</v>
      </c>
      <c r="E777" s="2" t="s">
        <v>32</v>
      </c>
      <c r="F777" s="2" t="s">
        <v>15</v>
      </c>
      <c r="G777" s="2" t="s">
        <v>2173</v>
      </c>
      <c r="H777" s="2" t="s">
        <v>528</v>
      </c>
      <c r="I777" s="2" t="str">
        <f>IFERROR(__xludf.DUMMYFUNCTION("GOOGLETRANSLATE(C777,""fr"",""en"")"),"big disappointment. No people is capable of responding correctly.")</f>
        <v>big disappointment. No people is capable of responding correctly.</v>
      </c>
    </row>
    <row r="778" ht="15.75" customHeight="1">
      <c r="A778" s="2">
        <v>3.0</v>
      </c>
      <c r="B778" s="2" t="s">
        <v>2174</v>
      </c>
      <c r="C778" s="2" t="s">
        <v>2175</v>
      </c>
      <c r="D778" s="2" t="s">
        <v>31</v>
      </c>
      <c r="E778" s="2" t="s">
        <v>32</v>
      </c>
      <c r="F778" s="2" t="s">
        <v>15</v>
      </c>
      <c r="G778" s="2" t="s">
        <v>2176</v>
      </c>
      <c r="H778" s="2" t="s">
        <v>34</v>
      </c>
      <c r="I778" s="2" t="str">
        <f>IFERROR(__xludf.DUMMYFUNCTION("GOOGLETRANSLATE(C778,""fr"",""en"")"),"Good mutual satisfaction in general on reimbursement but also on the possibility of having services at very advantageous prices, see practitioners with razable prices.")</f>
        <v>Good mutual satisfaction in general on reimbursement but also on the possibility of having services at very advantageous prices, see practitioners with razable prices.</v>
      </c>
    </row>
    <row r="779" ht="15.75" customHeight="1">
      <c r="A779" s="2">
        <v>4.0</v>
      </c>
      <c r="B779" s="2" t="s">
        <v>2177</v>
      </c>
      <c r="C779" s="2" t="s">
        <v>2178</v>
      </c>
      <c r="D779" s="2" t="s">
        <v>394</v>
      </c>
      <c r="E779" s="2" t="s">
        <v>32</v>
      </c>
      <c r="F779" s="2" t="s">
        <v>15</v>
      </c>
      <c r="G779" s="2" t="s">
        <v>2179</v>
      </c>
      <c r="H779" s="2" t="s">
        <v>67</v>
      </c>
      <c r="I779" s="2" t="str">
        <f>IFERROR(__xludf.DUMMYFUNCTION("GOOGLETRANSLATE(C779,""fr"",""en"")"),"It is perfect, very good communication, I think I had the right information, I am not expected for too long, I hope that my request for withdrawal will be taken into account")</f>
        <v>It is perfect, very good communication, I think I had the right information, I am not expected for too long, I hope that my request for withdrawal will be taken into account</v>
      </c>
    </row>
    <row r="780" ht="15.75" customHeight="1">
      <c r="A780" s="2">
        <v>1.0</v>
      </c>
      <c r="B780" s="2" t="s">
        <v>2180</v>
      </c>
      <c r="C780" s="2" t="s">
        <v>2181</v>
      </c>
      <c r="D780" s="2" t="s">
        <v>13</v>
      </c>
      <c r="E780" s="2" t="s">
        <v>81</v>
      </c>
      <c r="F780" s="2" t="s">
        <v>15</v>
      </c>
      <c r="G780" s="2" t="s">
        <v>401</v>
      </c>
      <c r="H780" s="2" t="s">
        <v>402</v>
      </c>
      <c r="I780" s="2" t="str">
        <f>IFERROR(__xludf.DUMMYFUNCTION("GOOGLETRANSLATE(C780,""fr"",""en"")"),"Customer service to interlocutors often in ignorance. The Macif abandons its members to be 65 years with regard to accident provident, the legal service often gives erroneous information. Generally disrespect for the member.")</f>
        <v>Customer service to interlocutors often in ignorance. The Macif abandons its members to be 65 years with regard to accident provident, the legal service often gives erroneous information. Generally disrespect for the member.</v>
      </c>
    </row>
    <row r="781" ht="15.75" customHeight="1">
      <c r="A781" s="2">
        <v>1.0</v>
      </c>
      <c r="B781" s="2" t="s">
        <v>2182</v>
      </c>
      <c r="C781" s="2" t="s">
        <v>2183</v>
      </c>
      <c r="D781" s="2" t="s">
        <v>13</v>
      </c>
      <c r="E781" s="2" t="s">
        <v>65</v>
      </c>
      <c r="F781" s="2" t="s">
        <v>15</v>
      </c>
      <c r="G781" s="2" t="s">
        <v>1718</v>
      </c>
      <c r="H781" s="2" t="s">
        <v>201</v>
      </c>
      <c r="I781" s="2" t="str">
        <f>IFERROR(__xludf.DUMMYFUNCTION("GOOGLETRANSLATE(C781,""fr"",""en"")"),"Following a trip to the local agency, the person who received me omitted to update my file, he enabled himself to photocopy my passport to be said to complete it out of my connection via my mutavie account I I went against that nothing was done as he has "&amp;"all my contact details telephone address personal email he can sell a good price all my information and received the cash, I warned the CNIL of this action for this insurance to be sanctioned But they too touch wine pots in etc ... so beware and be carefu"&amp;"l")</f>
        <v>Following a trip to the local agency, the person who received me omitted to update my file, he enabled himself to photocopy my passport to be said to complete it out of my connection via my mutavie account I I went against that nothing was done as he has all my contact details telephone address personal email he can sell a good price all my information and received the cash, I warned the CNIL of this action for this insurance to be sanctioned But they too touch wine pots in etc ... so beware and be careful</v>
      </c>
    </row>
    <row r="782" ht="15.75" customHeight="1">
      <c r="A782" s="2">
        <v>3.0</v>
      </c>
      <c r="B782" s="2" t="s">
        <v>2184</v>
      </c>
      <c r="C782" s="2" t="s">
        <v>2185</v>
      </c>
      <c r="D782" s="2" t="s">
        <v>394</v>
      </c>
      <c r="E782" s="2" t="s">
        <v>32</v>
      </c>
      <c r="F782" s="2" t="s">
        <v>15</v>
      </c>
      <c r="G782" s="2" t="s">
        <v>2186</v>
      </c>
      <c r="H782" s="2" t="s">
        <v>926</v>
      </c>
      <c r="I782" s="2" t="str">
        <f>IFERROR(__xludf.DUMMYFUNCTION("GOOGLETRANSLATE(C782,""fr"",""en"")"),"I have been at home since 2012 and I am satisfied with their service ........................")</f>
        <v>I have been at home since 2012 and I am satisfied with their service ........................</v>
      </c>
    </row>
    <row r="783" ht="15.75" customHeight="1">
      <c r="A783" s="2">
        <v>3.0</v>
      </c>
      <c r="B783" s="2" t="s">
        <v>2187</v>
      </c>
      <c r="C783" s="2" t="s">
        <v>2188</v>
      </c>
      <c r="D783" s="2" t="s">
        <v>229</v>
      </c>
      <c r="E783" s="2" t="s">
        <v>96</v>
      </c>
      <c r="F783" s="2" t="s">
        <v>15</v>
      </c>
      <c r="G783" s="2" t="s">
        <v>703</v>
      </c>
      <c r="H783" s="2" t="s">
        <v>86</v>
      </c>
      <c r="I783" s="2" t="str">
        <f>IFERROR(__xludf.DUMMYFUNCTION("GOOGLETRANSLATE(C783,""fr"",""en"")"),"I am satisfied with this online insurance service, simple, fast, and competitive at the rate level. It remains to be hoped that we never need it ...")</f>
        <v>I am satisfied with this online insurance service, simple, fast, and competitive at the rate level. It remains to be hoped that we never need it ...</v>
      </c>
    </row>
    <row r="784" ht="15.75" customHeight="1">
      <c r="A784" s="2">
        <v>2.0</v>
      </c>
      <c r="B784" s="2" t="s">
        <v>2189</v>
      </c>
      <c r="C784" s="2" t="s">
        <v>2190</v>
      </c>
      <c r="D784" s="2" t="s">
        <v>158</v>
      </c>
      <c r="E784" s="2" t="s">
        <v>14</v>
      </c>
      <c r="F784" s="2" t="s">
        <v>15</v>
      </c>
      <c r="G784" s="2" t="s">
        <v>114</v>
      </c>
      <c r="H784" s="2" t="s">
        <v>115</v>
      </c>
      <c r="I784" s="2" t="str">
        <f>IFERROR(__xludf.DUMMYFUNCTION("GOOGLETRANSLATE(C784,""fr"",""en"")"),"Insurance for those who have no accidents! Degraded vehicle in the work car park (4th case in this car park), ensured all risks it is with credulity that I contacted them to report the disaster for which I did not know the manager. Even with a complaint f"&amp;"iling and a counter expertise the conclusion: I am a liar, no compensation. 5 years without incidents before, we feel well protected!")</f>
        <v>Insurance for those who have no accidents! Degraded vehicle in the work car park (4th case in this car park), ensured all risks it is with credulity that I contacted them to report the disaster for which I did not know the manager. Even with a complaint filing and a counter expertise the conclusion: I am a liar, no compensation. 5 years without incidents before, we feel well protected!</v>
      </c>
    </row>
    <row r="785" ht="15.75" customHeight="1">
      <c r="A785" s="2">
        <v>1.0</v>
      </c>
      <c r="B785" s="2" t="s">
        <v>2191</v>
      </c>
      <c r="C785" s="2" t="s">
        <v>2192</v>
      </c>
      <c r="D785" s="2" t="s">
        <v>55</v>
      </c>
      <c r="E785" s="2" t="s">
        <v>14</v>
      </c>
      <c r="F785" s="2" t="s">
        <v>15</v>
      </c>
      <c r="G785" s="2" t="s">
        <v>2193</v>
      </c>
      <c r="H785" s="2" t="s">
        <v>125</v>
      </c>
      <c r="I785" s="2" t="str">
        <f>IFERROR(__xludf.DUMMYFUNCTION("GOOGLETRANSLATE(C785,""fr"",""en"")"),"
After having been the subject of a roller flight inside my vehicle (damage of around 1800 €), complaint filed, I learn from my insurer that I am not guaranteed for the flight of objects which were in the trunk, not having subscribed this option.
I have"&amp;" never been informed or advised by the MAAF for this option, I have been insured at home without a sinister involving my responsibility.
The appeal made, did not succeed, an end of not receiving, not even a small commercial gesture (circulating there is "&amp;"nothing to see), only your bonuses interest us.
I think Maaf should make less advertising on television, it borders on ridicule, and employing this money to better train their advisers in order to better respond to its customers.
What a disappointment, "&amp;"of course I will terminate all my contracts.
This is to warn you against this unscrupulous insurer.
")</f>
        <v>
After having been the subject of a roller flight inside my vehicle (damage of around 1800 €), complaint filed, I learn from my insurer that I am not guaranteed for the flight of objects which were in the trunk, not having subscribed this option.
I have never been informed or advised by the MAAF for this option, I have been insured at home without a sinister involving my responsibility.
The appeal made, did not succeed, an end of not receiving, not even a small commercial gesture (circulating there is nothing to see), only your bonuses interest us.
I think Maaf should make less advertising on television, it borders on ridicule, and employing this money to better train their advisers in order to better respond to its customers.
What a disappointment, of course I will terminate all my contracts.
This is to warn you against this unscrupulous insurer.
</v>
      </c>
    </row>
    <row r="786" ht="15.75" customHeight="1">
      <c r="A786" s="2">
        <v>1.0</v>
      </c>
      <c r="B786" s="2" t="s">
        <v>2194</v>
      </c>
      <c r="C786" s="2" t="s">
        <v>2195</v>
      </c>
      <c r="D786" s="2" t="s">
        <v>242</v>
      </c>
      <c r="E786" s="2" t="s">
        <v>14</v>
      </c>
      <c r="F786" s="2" t="s">
        <v>15</v>
      </c>
      <c r="G786" s="2" t="s">
        <v>2196</v>
      </c>
      <c r="H786" s="2" t="s">
        <v>103</v>
      </c>
      <c r="I786" s="2" t="str">
        <f>IFERROR(__xludf.DUMMYFUNCTION("GOOGLETRANSLATE(C786,""fr"",""en"")"),"Hey ben like most people on this site we were fooled by Active Insurance. On January 04, my partner subscribed to insurance at home following a quote the lynx. Following a 1st error on our part on the quote with a penalty at 1.00 we received our informati"&amp;"on statement with a penalty at 1.47. We called them to rectify the quote and they told us that it was not at all a concern because with the law of the rapid descent after 2 years without claims declared we descended to 1.00. And indeed my partner has not "&amp;"had a claim since 2013 and has not been insured since 2015. We have verified the information and have subscribed to them by paying 160th. On 17.01 they send us an email informing us that they could no longer assure us because of a too high penalty. And th"&amp;"at's how to get plucked 160th. When we call them we fall to the village with poor buggers who recite their text informing us that they can do nothing for us. And given the comments it seems to be amateurs. But I intend to prosecute them in court they will"&amp;" not get out of them as that.")</f>
        <v>Hey ben like most people on this site we were fooled by Active Insurance. On January 04, my partner subscribed to insurance at home following a quote the lynx. Following a 1st error on our part on the quote with a penalty at 1.00 we received our information statement with a penalty at 1.47. We called them to rectify the quote and they told us that it was not at all a concern because with the law of the rapid descent after 2 years without claims declared we descended to 1.00. And indeed my partner has not had a claim since 2013 and has not been insured since 2015. We have verified the information and have subscribed to them by paying 160th. On 17.01 they send us an email informing us that they could no longer assure us because of a too high penalty. And that's how to get plucked 160th. When we call them we fall to the village with poor buggers who recite their text informing us that they can do nothing for us. And given the comments it seems to be amateurs. But I intend to prosecute them in court they will not get out of them as that.</v>
      </c>
    </row>
    <row r="787" ht="15.75" customHeight="1">
      <c r="A787" s="2">
        <v>4.0</v>
      </c>
      <c r="B787" s="2" t="s">
        <v>2197</v>
      </c>
      <c r="C787" s="2" t="s">
        <v>2198</v>
      </c>
      <c r="D787" s="2" t="s">
        <v>173</v>
      </c>
      <c r="E787" s="2" t="s">
        <v>32</v>
      </c>
      <c r="F787" s="2" t="s">
        <v>15</v>
      </c>
      <c r="G787" s="2" t="s">
        <v>879</v>
      </c>
      <c r="H787" s="2" t="s">
        <v>52</v>
      </c>
      <c r="I787" s="2" t="str">
        <f>IFERROR(__xludf.DUMMYFUNCTION("GOOGLETRANSLATE(C787,""fr"",""en"")"),"I went through Snatiane because my mother is aged 75 years and at this age I sometimes wonder if it is not better not to have a mutual because when we see the price that it costs and the height of the reimbursements, it is almost More interesting to pay t"&amp;"he mutual part of your pocket if necessary. In short, in any case, I compared with the organsime Santiane in October 2016 and this year by changing insurer I keep my mother's guarantees and I save her 737 euros in a year .... I did not come back When I di"&amp;"d the total ... the brokers have a bright future ahead of them")</f>
        <v>I went through Snatiane because my mother is aged 75 years and at this age I sometimes wonder if it is not better not to have a mutual because when we see the price that it costs and the height of the reimbursements, it is almost More interesting to pay the mutual part of your pocket if necessary. In short, in any case, I compared with the organsime Santiane in October 2016 and this year by changing insurer I keep my mother's guarantees and I save her 737 euros in a year .... I did not come back When I did the total ... the brokers have a bright future ahead of them</v>
      </c>
    </row>
    <row r="788" ht="15.75" customHeight="1">
      <c r="A788" s="2">
        <v>4.0</v>
      </c>
      <c r="B788" s="2" t="s">
        <v>2199</v>
      </c>
      <c r="C788" s="2" t="s">
        <v>2200</v>
      </c>
      <c r="D788" s="2" t="s">
        <v>2201</v>
      </c>
      <c r="E788" s="2" t="s">
        <v>81</v>
      </c>
      <c r="F788" s="2" t="s">
        <v>15</v>
      </c>
      <c r="G788" s="2" t="s">
        <v>2202</v>
      </c>
      <c r="H788" s="2" t="s">
        <v>321</v>
      </c>
      <c r="I788" s="2" t="str">
        <f>IFERROR(__xludf.DUMMYFUNCTION("GOOGLETRANSLATE(C788,""fr"",""en"")"),"Operated with a meningioma just before confinement my file was processed by email. After reading the opinions and with the containment in addition I had scares in relation to the payment deadlines. Everything went very well. Fast, efficient and kind. Reli"&amp;"eved because the Carpimko is ""dragging"" the charge. I sent the requested parts from the start but they always ask me for a new certificate .... catastrophic.")</f>
        <v>Operated with a meningioma just before confinement my file was processed by email. After reading the opinions and with the containment in addition I had scares in relation to the payment deadlines. Everything went very well. Fast, efficient and kind. Relieved because the Carpimko is "dragging" the charge. I sent the requested parts from the start but they always ask me for a new certificate .... catastrophic.</v>
      </c>
    </row>
    <row r="789" ht="15.75" customHeight="1">
      <c r="A789" s="2">
        <v>5.0</v>
      </c>
      <c r="B789" s="2" t="s">
        <v>2203</v>
      </c>
      <c r="C789" s="2" t="s">
        <v>2204</v>
      </c>
      <c r="D789" s="2" t="s">
        <v>75</v>
      </c>
      <c r="E789" s="2" t="s">
        <v>14</v>
      </c>
      <c r="F789" s="2" t="s">
        <v>15</v>
      </c>
      <c r="G789" s="2" t="s">
        <v>2205</v>
      </c>
      <c r="H789" s="2" t="s">
        <v>193</v>
      </c>
      <c r="I789" s="2" t="str">
        <f>IFERROR(__xludf.DUMMYFUNCTION("GOOGLETRANSLATE(C789,""fr"",""en"")"),"I am satisfied with the service, very pleasant
And welcoming, listening and above all very patient
Thank you for your patience
Mme Trouillebout
have a good day
")</f>
        <v>I am satisfied with the service, very pleasant
And welcoming, listening and above all very patient
Thank you for your patience
Mme Trouillebout
have a good day
</v>
      </c>
    </row>
    <row r="790" ht="15.75" customHeight="1">
      <c r="A790" s="2">
        <v>5.0</v>
      </c>
      <c r="B790" s="2" t="s">
        <v>2206</v>
      </c>
      <c r="C790" s="2" t="s">
        <v>2207</v>
      </c>
      <c r="D790" s="2" t="s">
        <v>37</v>
      </c>
      <c r="E790" s="2" t="s">
        <v>14</v>
      </c>
      <c r="F790" s="2" t="s">
        <v>15</v>
      </c>
      <c r="G790" s="2" t="s">
        <v>437</v>
      </c>
      <c r="H790" s="2" t="s">
        <v>98</v>
      </c>
      <c r="I790" s="2" t="str">
        <f>IFERROR(__xludf.DUMMYFUNCTION("GOOGLETRANSLATE(C790,""fr"",""en"")"),"I am for once happy, after a disaster they were reactive certainly it always takes a little time for reimbursements but overall I am reassured.
I recommend this insurance because level value for money and responsiveness they are very good!")</f>
        <v>I am for once happy, after a disaster they were reactive certainly it always takes a little time for reimbursements but overall I am reassured.
I recommend this insurance because level value for money and responsiveness they are very good!</v>
      </c>
    </row>
    <row r="791" ht="15.75" customHeight="1">
      <c r="A791" s="2">
        <v>5.0</v>
      </c>
      <c r="B791" s="2" t="s">
        <v>2208</v>
      </c>
      <c r="C791" s="2" t="s">
        <v>2209</v>
      </c>
      <c r="D791" s="2" t="s">
        <v>394</v>
      </c>
      <c r="E791" s="2" t="s">
        <v>32</v>
      </c>
      <c r="F791" s="2" t="s">
        <v>15</v>
      </c>
      <c r="G791" s="2" t="s">
        <v>2210</v>
      </c>
      <c r="H791" s="2" t="s">
        <v>565</v>
      </c>
      <c r="I791" s="2" t="str">
        <f>IFERROR(__xludf.DUMMYFUNCTION("GOOGLETRANSLATE(C791,""fr"",""en"")"),"I am very delighted today to have insurance that manages my guarantees better compared to others:
Very easy on the side of care in consultations, pharmacy, medicines, and especially that we receive these care quickly.
By a concern for management on the "&amp;"dental side after sending a quote for a crown the wait is too long.
Because each consultations my dentist had still not received validation for a crown from March to June, the point which bothers me a little.")</f>
        <v>I am very delighted today to have insurance that manages my guarantees better compared to others:
Very easy on the side of care in consultations, pharmacy, medicines, and especially that we receive these care quickly.
By a concern for management on the dental side after sending a quote for a crown the wait is too long.
Because each consultations my dentist had still not received validation for a crown from March to June, the point which bothers me a little.</v>
      </c>
    </row>
    <row r="792" ht="15.75" customHeight="1">
      <c r="A792" s="2">
        <v>2.0</v>
      </c>
      <c r="B792" s="2" t="s">
        <v>2211</v>
      </c>
      <c r="C792" s="2" t="s">
        <v>2212</v>
      </c>
      <c r="D792" s="2" t="s">
        <v>75</v>
      </c>
      <c r="E792" s="2" t="s">
        <v>14</v>
      </c>
      <c r="F792" s="2" t="s">
        <v>15</v>
      </c>
      <c r="G792" s="2" t="s">
        <v>2213</v>
      </c>
      <c r="H792" s="2" t="s">
        <v>17</v>
      </c>
      <c r="I792" s="2" t="str">
        <f>IFERROR(__xludf.DUMMYFUNCTION("GOOGLETRANSLATE(C792,""fr"",""en"")"),"hello I have a claim on my car which and arrived at the ego August all risk and since the passage of the expert more new disaster service imposed to join and still not reimbursement I do not recommend this insurance no communication despite everything ema"&amp;"il and call without return")</f>
        <v>hello I have a claim on my car which and arrived at the ego August all risk and since the passage of the expert more new disaster service imposed to join and still not reimbursement I do not recommend this insurance no communication despite everything email and call without return</v>
      </c>
    </row>
    <row r="793" ht="15.75" customHeight="1">
      <c r="A793" s="2">
        <v>5.0</v>
      </c>
      <c r="B793" s="2" t="s">
        <v>2214</v>
      </c>
      <c r="C793" s="2" t="s">
        <v>2215</v>
      </c>
      <c r="D793" s="2" t="s">
        <v>75</v>
      </c>
      <c r="E793" s="2" t="s">
        <v>14</v>
      </c>
      <c r="F793" s="2" t="s">
        <v>15</v>
      </c>
      <c r="G793" s="2" t="s">
        <v>2216</v>
      </c>
      <c r="H793" s="2" t="s">
        <v>107</v>
      </c>
      <c r="I793" s="2" t="str">
        <f>IFERROR(__xludf.DUMMYFUNCTION("GOOGLETRANSLATE(C793,""fr"",""en"")"),"Satisfied, reasonable price, fewer questions, very fast answer, nothing to say impeccable service, very happy with insurance.
The speed is super cool.")</f>
        <v>Satisfied, reasonable price, fewer questions, very fast answer, nothing to say impeccable service, very happy with insurance.
The speed is super cool.</v>
      </c>
    </row>
    <row r="794" ht="15.75" customHeight="1">
      <c r="A794" s="2">
        <v>1.0</v>
      </c>
      <c r="B794" s="2" t="s">
        <v>2217</v>
      </c>
      <c r="C794" s="2" t="s">
        <v>2218</v>
      </c>
      <c r="D794" s="2" t="s">
        <v>487</v>
      </c>
      <c r="E794" s="2" t="s">
        <v>81</v>
      </c>
      <c r="F794" s="2" t="s">
        <v>15</v>
      </c>
      <c r="G794" s="2" t="s">
        <v>2219</v>
      </c>
      <c r="H794" s="2" t="s">
        <v>23</v>
      </c>
      <c r="I794" s="2" t="str">
        <f>IFERROR(__xludf.DUMMYFUNCTION("GOOGLETRANSLATE(C794,""fr"",""en"")"),"You can't do worse. They take the contributions and ... that's it. As you are sick, they just claim that you do not have a health problem and voila. I completely recommend.")</f>
        <v>You can't do worse. They take the contributions and ... that's it. As you are sick, they just claim that you do not have a health problem and voila. I completely recommend.</v>
      </c>
    </row>
    <row r="795" ht="15.75" customHeight="1">
      <c r="A795" s="2">
        <v>5.0</v>
      </c>
      <c r="B795" s="2" t="s">
        <v>2220</v>
      </c>
      <c r="C795" s="2" t="s">
        <v>2221</v>
      </c>
      <c r="D795" s="2" t="s">
        <v>37</v>
      </c>
      <c r="E795" s="2" t="s">
        <v>14</v>
      </c>
      <c r="F795" s="2" t="s">
        <v>15</v>
      </c>
      <c r="G795" s="2" t="s">
        <v>2222</v>
      </c>
      <c r="H795" s="2" t="s">
        <v>111</v>
      </c>
      <c r="I795" s="2" t="str">
        <f>IFERROR(__xludf.DUMMYFUNCTION("GOOGLETRANSLATE(C795,""fr"",""en"")"),"Super insurance! Very good prices
Very happy to be insured at the Olivier! I hope all the rest will go well but I am confident!")</f>
        <v>Super insurance! Very good prices
Very happy to be insured at the Olivier! I hope all the rest will go well but I am confident!</v>
      </c>
    </row>
    <row r="796" ht="15.75" customHeight="1">
      <c r="A796" s="2">
        <v>4.0</v>
      </c>
      <c r="B796" s="2" t="s">
        <v>2223</v>
      </c>
      <c r="C796" s="2" t="s">
        <v>2224</v>
      </c>
      <c r="D796" s="2" t="s">
        <v>75</v>
      </c>
      <c r="E796" s="2" t="s">
        <v>14</v>
      </c>
      <c r="F796" s="2" t="s">
        <v>15</v>
      </c>
      <c r="G796" s="2" t="s">
        <v>570</v>
      </c>
      <c r="H796" s="2" t="s">
        <v>107</v>
      </c>
      <c r="I796" s="2" t="str">
        <f>IFERROR(__xludf.DUMMYFUNCTION("GOOGLETRANSLATE(C796,""fr"",""en"")"),"The prices suit me, the subscription is easy and the youdrive is excellent.
The subscription system is simple and insurance is valid from the same day.")</f>
        <v>The prices suit me, the subscription is easy and the youdrive is excellent.
The subscription system is simple and insurance is valid from the same day.</v>
      </c>
    </row>
    <row r="797" ht="15.75" customHeight="1">
      <c r="A797" s="2">
        <v>5.0</v>
      </c>
      <c r="B797" s="2" t="s">
        <v>2225</v>
      </c>
      <c r="C797" s="2" t="s">
        <v>2226</v>
      </c>
      <c r="D797" s="2" t="s">
        <v>75</v>
      </c>
      <c r="E797" s="2" t="s">
        <v>14</v>
      </c>
      <c r="F797" s="2" t="s">
        <v>15</v>
      </c>
      <c r="G797" s="2" t="s">
        <v>431</v>
      </c>
      <c r="H797" s="2" t="s">
        <v>86</v>
      </c>
      <c r="I797" s="2" t="str">
        <f>IFERROR(__xludf.DUMMYFUNCTION("GOOGLETRANSLATE(C797,""fr"",""en"")"),"I am satisfied with the service, fast and efficient, fluid. I just hope that the offer with the Multidays promo code will work well since I have just paid the first two months of insurance. Supposed to be offered thanks to the offer.")</f>
        <v>I am satisfied with the service, fast and efficient, fluid. I just hope that the offer with the Multidays promo code will work well since I have just paid the first two months of insurance. Supposed to be offered thanks to the offer.</v>
      </c>
    </row>
    <row r="798" ht="15.75" customHeight="1">
      <c r="A798" s="2">
        <v>4.0</v>
      </c>
      <c r="B798" s="2" t="s">
        <v>2227</v>
      </c>
      <c r="C798" s="2" t="s">
        <v>2228</v>
      </c>
      <c r="D798" s="2" t="s">
        <v>75</v>
      </c>
      <c r="E798" s="2" t="s">
        <v>14</v>
      </c>
      <c r="F798" s="2" t="s">
        <v>15</v>
      </c>
      <c r="G798" s="2" t="s">
        <v>409</v>
      </c>
      <c r="H798" s="2" t="s">
        <v>39</v>
      </c>
      <c r="I798" s="2" t="str">
        <f>IFERROR(__xludf.DUMMYFUNCTION("GOOGLETRANSLATE(C798,""fr"",""en"")"),"The prices suit me and very practical to me.
Simple to make the quote and after taking out car insurance, fast payment and made in the minutes after subscription of the desired car insurance")</f>
        <v>The prices suit me and very practical to me.
Simple to make the quote and after taking out car insurance, fast payment and made in the minutes after subscription of the desired car insurance</v>
      </c>
    </row>
    <row r="799" ht="15.75" customHeight="1">
      <c r="A799" s="2">
        <v>4.0</v>
      </c>
      <c r="B799" s="2" t="s">
        <v>2229</v>
      </c>
      <c r="C799" s="2" t="s">
        <v>2230</v>
      </c>
      <c r="D799" s="2" t="s">
        <v>152</v>
      </c>
      <c r="E799" s="2" t="s">
        <v>153</v>
      </c>
      <c r="F799" s="2" t="s">
        <v>15</v>
      </c>
      <c r="G799" s="2" t="s">
        <v>2231</v>
      </c>
      <c r="H799" s="2" t="s">
        <v>103</v>
      </c>
      <c r="I799" s="2" t="str">
        <f>IFERROR(__xludf.DUMMYFUNCTION("GOOGLETRANSLATE(C799,""fr"",""en"")"),"After leaving a very negative opinion, I see all of this in a more positive way because an arrangement was found.
I think everything was to be related to the right service.
Thank you to the customer quality service.")</f>
        <v>After leaving a very negative opinion, I see all of this in a more positive way because an arrangement was found.
I think everything was to be related to the right service.
Thank you to the customer quality service.</v>
      </c>
    </row>
    <row r="800" ht="15.75" customHeight="1">
      <c r="A800" s="2">
        <v>1.0</v>
      </c>
      <c r="B800" s="2" t="s">
        <v>2232</v>
      </c>
      <c r="C800" s="2" t="s">
        <v>2233</v>
      </c>
      <c r="D800" s="2" t="s">
        <v>692</v>
      </c>
      <c r="E800" s="2" t="s">
        <v>21</v>
      </c>
      <c r="F800" s="2" t="s">
        <v>15</v>
      </c>
      <c r="G800" s="2" t="s">
        <v>2234</v>
      </c>
      <c r="H800" s="2" t="s">
        <v>107</v>
      </c>
      <c r="I800" s="2" t="str">
        <f>IFERROR(__xludf.DUMMYFUNCTION("GOOGLETRANSLATE(C800,""fr"",""en"")"),"Unfortunately
At the Matmut, you are now a number, more privileged contact, catastrophic management of claims, no exchange in the water queue, almost a year to settle a sinister file .., in short after 30 years at the Matmut I will Break all my contracts"&amp;".")</f>
        <v>Unfortunately
At the Matmut, you are now a number, more privileged contact, catastrophic management of claims, no exchange in the water queue, almost a year to settle a sinister file .., in short after 30 years at the Matmut I will Break all my contracts.</v>
      </c>
    </row>
    <row r="801" ht="15.75" customHeight="1">
      <c r="A801" s="2">
        <v>3.0</v>
      </c>
      <c r="B801" s="2" t="s">
        <v>2235</v>
      </c>
      <c r="C801" s="2" t="s">
        <v>2236</v>
      </c>
      <c r="D801" s="2" t="s">
        <v>184</v>
      </c>
      <c r="E801" s="2" t="s">
        <v>96</v>
      </c>
      <c r="F801" s="2" t="s">
        <v>15</v>
      </c>
      <c r="G801" s="2" t="s">
        <v>2237</v>
      </c>
      <c r="H801" s="2" t="s">
        <v>132</v>
      </c>
      <c r="I801" s="2" t="str">
        <f>IFERROR(__xludf.DUMMYFUNCTION("GOOGLETRANSLATE(C801,""fr"",""en"")"),"I hit 1 boar on a motorcycle, my friend who followed me also struck it. Race assessment, I am entitled to 1 franchise and 1 penalty, my friend in 1 other insurance, no franchise, no penalty. Wouldn't that make you want to change your insurance ???")</f>
        <v>I hit 1 boar on a motorcycle, my friend who followed me also struck it. Race assessment, I am entitled to 1 franchise and 1 penalty, my friend in 1 other insurance, no franchise, no penalty. Wouldn't that make you want to change your insurance ???</v>
      </c>
    </row>
    <row r="802" ht="15.75" customHeight="1">
      <c r="A802" s="2">
        <v>5.0</v>
      </c>
      <c r="B802" s="2" t="s">
        <v>2238</v>
      </c>
      <c r="C802" s="2" t="s">
        <v>2239</v>
      </c>
      <c r="D802" s="2" t="s">
        <v>37</v>
      </c>
      <c r="E802" s="2" t="s">
        <v>14</v>
      </c>
      <c r="F802" s="2" t="s">
        <v>15</v>
      </c>
      <c r="G802" s="2" t="s">
        <v>2240</v>
      </c>
      <c r="H802" s="2" t="s">
        <v>34</v>
      </c>
      <c r="I802" s="2" t="str">
        <f>IFERROR(__xludf.DUMMYFUNCTION("GOOGLETRANSLATE(C802,""fr"",""en"")"),"Excellent service, loving, speed and efficiency! Really every time I called them for my 2 vehicles, the welcome was courteous, kind and even friendly! I was quickly understood and the necessary actions were taken on the field! Cheer!")</f>
        <v>Excellent service, loving, speed and efficiency! Really every time I called them for my 2 vehicles, the welcome was courteous, kind and even friendly! I was quickly understood and the necessary actions were taken on the field! Cheer!</v>
      </c>
    </row>
    <row r="803" ht="15.75" customHeight="1">
      <c r="A803" s="2">
        <v>5.0</v>
      </c>
      <c r="B803" s="2" t="s">
        <v>2241</v>
      </c>
      <c r="C803" s="2" t="s">
        <v>2242</v>
      </c>
      <c r="D803" s="2" t="s">
        <v>830</v>
      </c>
      <c r="E803" s="2" t="s">
        <v>32</v>
      </c>
      <c r="F803" s="2" t="s">
        <v>15</v>
      </c>
      <c r="G803" s="2" t="s">
        <v>2243</v>
      </c>
      <c r="H803" s="2" t="s">
        <v>111</v>
      </c>
      <c r="I803" s="2" t="str">
        <f>IFERROR(__xludf.DUMMYFUNCTION("GOOGLETRANSLATE(C803,""fr"",""en"")"),"I have just subscribed to the offer, I expect to see how my mutual insurance company will accompany me in my needs and if the offer that I have subscribed corresponds to my expectations
")</f>
        <v>I have just subscribed to the offer, I expect to see how my mutual insurance company will accompany me in my needs and if the offer that I have subscribed corresponds to my expectations
</v>
      </c>
    </row>
    <row r="804" ht="15.75" customHeight="1">
      <c r="A804" s="2">
        <v>1.0</v>
      </c>
      <c r="B804" s="2" t="s">
        <v>2244</v>
      </c>
      <c r="C804" s="2" t="s">
        <v>2245</v>
      </c>
      <c r="D804" s="2" t="s">
        <v>242</v>
      </c>
      <c r="E804" s="2" t="s">
        <v>14</v>
      </c>
      <c r="F804" s="2" t="s">
        <v>15</v>
      </c>
      <c r="G804" s="2" t="s">
        <v>2246</v>
      </c>
      <c r="H804" s="2" t="s">
        <v>125</v>
      </c>
      <c r="I804" s="2" t="str">
        <f>IFERROR(__xludf.DUMMYFUNCTION("GOOGLETRANSLATE(C804,""fr"",""en"")"),"Request a date confirmation for termination and receive as an answer: ""We have just returned your green card"" anything !!!! And if it had only been that as bad experience .... what incompetence! Flee this ""insurance"" (I insist on the quotes) so can't "&amp;"wait to terminate !!!!!")</f>
        <v>Request a date confirmation for termination and receive as an answer: "We have just returned your green card" anything !!!! And if it had only been that as bad experience .... what incompetence! Flee this "insurance" (I insist on the quotes) so can't wait to terminate !!!!!</v>
      </c>
    </row>
    <row r="805" ht="15.75" customHeight="1">
      <c r="A805" s="2">
        <v>3.0</v>
      </c>
      <c r="B805" s="2" t="s">
        <v>2247</v>
      </c>
      <c r="C805" s="2" t="s">
        <v>2248</v>
      </c>
      <c r="D805" s="2" t="s">
        <v>37</v>
      </c>
      <c r="E805" s="2" t="s">
        <v>14</v>
      </c>
      <c r="F805" s="2" t="s">
        <v>15</v>
      </c>
      <c r="G805" s="2" t="s">
        <v>2249</v>
      </c>
      <c r="H805" s="2" t="s">
        <v>52</v>
      </c>
      <c r="I805" s="2" t="str">
        <f>IFERROR(__xludf.DUMMYFUNCTION("GOOGLETRANSLATE(C805,""fr"",""en"")"),"They don't even know a car out there is a (01/2016) ex: DS3 PureTech 130 S&amp;S BVM6 Sport Chic - For them it can only be a diesel automatic gearbox when it is a manual gearbox !! !")</f>
        <v>They don't even know a car out there is a (01/2016) ex: DS3 PureTech 130 S&amp;S BVM6 Sport Chic - For them it can only be a diesel automatic gearbox when it is a manual gearbox !! !</v>
      </c>
    </row>
    <row r="806" ht="15.75" customHeight="1">
      <c r="A806" s="2">
        <v>1.0</v>
      </c>
      <c r="B806" s="2" t="s">
        <v>2250</v>
      </c>
      <c r="C806" s="2" t="s">
        <v>2251</v>
      </c>
      <c r="D806" s="2" t="s">
        <v>221</v>
      </c>
      <c r="E806" s="2" t="s">
        <v>21</v>
      </c>
      <c r="F806" s="2" t="s">
        <v>15</v>
      </c>
      <c r="G806" s="2" t="s">
        <v>1403</v>
      </c>
      <c r="H806" s="2" t="s">
        <v>86</v>
      </c>
      <c r="I806" s="2" t="str">
        <f>IFERROR(__xludf.DUMMYFUNCTION("GOOGLETRANSLATE(C806,""fr"",""en"")"),"This is not real insurance: catastrophic management, unreachable service and never reimburses. Good to collect payments but subscribers absent for the regulations. A absolutely fleeing")</f>
        <v>This is not real insurance: catastrophic management, unreachable service and never reimburses. Good to collect payments but subscribers absent for the regulations. A absolutely fleeing</v>
      </c>
    </row>
    <row r="807" ht="15.75" customHeight="1">
      <c r="A807" s="2">
        <v>2.0</v>
      </c>
      <c r="B807" s="2" t="s">
        <v>2252</v>
      </c>
      <c r="C807" s="2" t="s">
        <v>2253</v>
      </c>
      <c r="D807" s="2" t="s">
        <v>242</v>
      </c>
      <c r="E807" s="2" t="s">
        <v>14</v>
      </c>
      <c r="F807" s="2" t="s">
        <v>15</v>
      </c>
      <c r="G807" s="2" t="s">
        <v>2254</v>
      </c>
      <c r="H807" s="2" t="s">
        <v>155</v>
      </c>
      <c r="I807" s="2" t="str">
        <f>IFERROR(__xludf.DUMMYFUNCTION("GOOGLETRANSLATE(C807,""fr"",""en"")"),"I am absolutely not satisfied with this insurance I did a quote sent the papers and settle the insurance for a year they told me that I could make sure that the advisor agreed but did not reimburse me the amount paid despite two recommended letters")</f>
        <v>I am absolutely not satisfied with this insurance I did a quote sent the papers and settle the insurance for a year they told me that I could make sure that the advisor agreed but did not reimburse me the amount paid despite two recommended letters</v>
      </c>
    </row>
    <row r="808" ht="15.75" customHeight="1">
      <c r="A808" s="2">
        <v>1.0</v>
      </c>
      <c r="B808" s="2" t="s">
        <v>2255</v>
      </c>
      <c r="C808" s="2" t="s">
        <v>2256</v>
      </c>
      <c r="D808" s="2" t="s">
        <v>394</v>
      </c>
      <c r="E808" s="2" t="s">
        <v>32</v>
      </c>
      <c r="F808" s="2" t="s">
        <v>15</v>
      </c>
      <c r="G808" s="2" t="s">
        <v>2257</v>
      </c>
      <c r="H808" s="2" t="s">
        <v>565</v>
      </c>
      <c r="I808" s="2" t="str">
        <f>IFERROR(__xludf.DUMMYFUNCTION("GOOGLETRANSLATE(C808,""fr"",""en"")"),"To flee ! I sent an termination letter with acknowledgment of receipt for January 1, 2018. Today we are early June and nothing has been done! The monthly samples continue and I have been paying 2 different mutuals since last January !!! Impossible to reac"&amp;"h them. What to do !!!")</f>
        <v>To flee ! I sent an termination letter with acknowledgment of receipt for January 1, 2018. Today we are early June and nothing has been done! The monthly samples continue and I have been paying 2 different mutuals since last January !!! Impossible to reach them. What to do !!!</v>
      </c>
    </row>
    <row r="809" ht="15.75" customHeight="1">
      <c r="A809" s="2">
        <v>5.0</v>
      </c>
      <c r="B809" s="2" t="s">
        <v>2258</v>
      </c>
      <c r="C809" s="2" t="s">
        <v>2259</v>
      </c>
      <c r="D809" s="2" t="s">
        <v>173</v>
      </c>
      <c r="E809" s="2" t="s">
        <v>32</v>
      </c>
      <c r="F809" s="2" t="s">
        <v>15</v>
      </c>
      <c r="G809" s="2" t="s">
        <v>2260</v>
      </c>
      <c r="H809" s="2" t="s">
        <v>926</v>
      </c>
      <c r="I809" s="2" t="str">
        <f>IFERROR(__xludf.DUMMYFUNCTION("GOOGLETRANSLATE(C809,""fr"",""en"")"),"I am very satisfied with the services of Santiane, whenever I need someone responds to me in less than five minutes and they find me a solution.
The signature system is fast and very practical. I recommend")</f>
        <v>I am very satisfied with the services of Santiane, whenever I need someone responds to me in less than five minutes and they find me a solution.
The signature system is fast and very practical. I recommend</v>
      </c>
    </row>
    <row r="810" ht="15.75" customHeight="1">
      <c r="A810" s="2">
        <v>2.0</v>
      </c>
      <c r="B810" s="2" t="s">
        <v>2261</v>
      </c>
      <c r="C810" s="2" t="s">
        <v>2262</v>
      </c>
      <c r="D810" s="2" t="s">
        <v>55</v>
      </c>
      <c r="E810" s="2" t="s">
        <v>14</v>
      </c>
      <c r="F810" s="2" t="s">
        <v>15</v>
      </c>
      <c r="G810" s="2" t="s">
        <v>2263</v>
      </c>
      <c r="H810" s="2" t="s">
        <v>2264</v>
      </c>
      <c r="I810" s="2" t="str">
        <f>IFERROR(__xludf.DUMMYFUNCTION("GOOGLETRANSLATE(C810,""fr"",""en"")"),"Strasbourg discriminatory agency! Explain to me why on the phone I am a quote and I am informed that I am accepting by Maaf who just have to bring documents! Arriving at the appointment at the agency on time I am received with 20 minute late once in front"&amp;" of the insurer she informs me in 1 minute really 1 minute !!! What is it possible? With false arguments pretend to be the seniority of permit then apologize and come out as a new pretext the power of the vehicle know that the quote was done with the same"&amp;" information given on the phone
I can only conclude one things! Discrimination.
The only difference on the phone is that I am not seen
I am going to Direct Assurance he don't have an agencd but he does not treat you like vulgar bandit")</f>
        <v>Strasbourg discriminatory agency! Explain to me why on the phone I am a quote and I am informed that I am accepting by Maaf who just have to bring documents! Arriving at the appointment at the agency on time I am received with 20 minute late once in front of the insurer she informs me in 1 minute really 1 minute !!! What is it possible? With false arguments pretend to be the seniority of permit then apologize and come out as a new pretext the power of the vehicle know that the quote was done with the same information given on the phone
I can only conclude one things! Discrimination.
The only difference on the phone is that I am not seen
I am going to Direct Assurance he don't have an agencd but he does not treat you like vulgar bandit</v>
      </c>
    </row>
    <row r="811" ht="15.75" customHeight="1">
      <c r="A811" s="2">
        <v>4.0</v>
      </c>
      <c r="B811" s="2" t="s">
        <v>2265</v>
      </c>
      <c r="C811" s="2" t="s">
        <v>2266</v>
      </c>
      <c r="D811" s="2" t="s">
        <v>37</v>
      </c>
      <c r="E811" s="2" t="s">
        <v>14</v>
      </c>
      <c r="F811" s="2" t="s">
        <v>15</v>
      </c>
      <c r="G811" s="2" t="s">
        <v>1076</v>
      </c>
      <c r="H811" s="2" t="s">
        <v>86</v>
      </c>
      <c r="I811" s="2" t="str">
        <f>IFERROR(__xludf.DUMMYFUNCTION("GOOGLETRANSLATE(C811,""fr"",""en"")"),"I just subscribed today to automotive insurance.
The first telephone contact satisfied me the person to give me all the information necessary")</f>
        <v>I just subscribed today to automotive insurance.
The first telephone contact satisfied me the person to give me all the information necessary</v>
      </c>
    </row>
    <row r="812" ht="15.75" customHeight="1">
      <c r="A812" s="2">
        <v>5.0</v>
      </c>
      <c r="B812" s="2" t="s">
        <v>2267</v>
      </c>
      <c r="C812" s="2" t="s">
        <v>2268</v>
      </c>
      <c r="D812" s="2" t="s">
        <v>75</v>
      </c>
      <c r="E812" s="2" t="s">
        <v>14</v>
      </c>
      <c r="F812" s="2" t="s">
        <v>15</v>
      </c>
      <c r="G812" s="2" t="s">
        <v>1444</v>
      </c>
      <c r="H812" s="2" t="s">
        <v>193</v>
      </c>
      <c r="I812" s="2" t="str">
        <f>IFERROR(__xludf.DUMMYFUNCTION("GOOGLETRANSLATE(C812,""fr"",""en"")"),"I am satisfied with the service I find attentive when I register.
Practical Youdrive case and allowing to save money, installed quickly, clear information.")</f>
        <v>I am satisfied with the service I find attentive when I register.
Practical Youdrive case and allowing to save money, installed quickly, clear information.</v>
      </c>
    </row>
    <row r="813" ht="15.75" customHeight="1">
      <c r="A813" s="2">
        <v>1.0</v>
      </c>
      <c r="B813" s="2" t="s">
        <v>2269</v>
      </c>
      <c r="C813" s="2" t="s">
        <v>2270</v>
      </c>
      <c r="D813" s="2" t="s">
        <v>13</v>
      </c>
      <c r="E813" s="2" t="s">
        <v>96</v>
      </c>
      <c r="F813" s="2" t="s">
        <v>15</v>
      </c>
      <c r="G813" s="2" t="s">
        <v>2271</v>
      </c>
      <c r="H813" s="2" t="s">
        <v>501</v>
      </c>
      <c r="I813" s="2" t="str">
        <f>IFERROR(__xludf.DUMMYFUNCTION("GOOGLETRANSLATE(C813,""fr"",""en"")"),"Almost 20 years of good and loyal service without accidents
From the slight clash in reverse with another vehicle I am held 100%responsible,
Insured any risk of no support for too fair advice and too light expertise.
With an incomplete estimate that "&amp;"goes from 400 to 250 euros on the pretext that the franchise is in my charcd
I am very unhappy with the services rendered by the Macif following a self -disaster
I made a complaint with a total care of the 400 euros otherwise I change insurance from Mon"&amp;"day
Do not mess around it's me who pay 90euros every month")</f>
        <v>Almost 20 years of good and loyal service without accidents
From the slight clash in reverse with another vehicle I am held 100%responsible,
Insured any risk of no support for too fair advice and too light expertise.
With an incomplete estimate that goes from 400 to 250 euros on the pretext that the franchise is in my charcd
I am very unhappy with the services rendered by the Macif following a self -disaster
I made a complaint with a total care of the 400 euros otherwise I change insurance from Monday
Do not mess around it's me who pay 90euros every month</v>
      </c>
    </row>
    <row r="814" ht="15.75" customHeight="1">
      <c r="A814" s="2">
        <v>3.0</v>
      </c>
      <c r="B814" s="2" t="s">
        <v>2272</v>
      </c>
      <c r="C814" s="2" t="s">
        <v>2273</v>
      </c>
      <c r="D814" s="2" t="s">
        <v>37</v>
      </c>
      <c r="E814" s="2" t="s">
        <v>14</v>
      </c>
      <c r="F814" s="2" t="s">
        <v>15</v>
      </c>
      <c r="G814" s="2" t="s">
        <v>106</v>
      </c>
      <c r="H814" s="2" t="s">
        <v>107</v>
      </c>
      <c r="I814" s="2" t="str">
        <f>IFERROR(__xludf.DUMMYFUNCTION("GOOGLETRANSLATE(C814,""fr"",""en"")"),"I am satisfied with their responsiveness but the prices are relatively high. However, they are very professional and the information is correct and effective.")</f>
        <v>I am satisfied with their responsiveness but the prices are relatively high. However, they are very professional and the information is correct and effective.</v>
      </c>
    </row>
    <row r="815" ht="15.75" customHeight="1">
      <c r="A815" s="2">
        <v>1.0</v>
      </c>
      <c r="B815" s="2" t="s">
        <v>2274</v>
      </c>
      <c r="C815" s="2" t="s">
        <v>2275</v>
      </c>
      <c r="D815" s="2" t="s">
        <v>233</v>
      </c>
      <c r="E815" s="2" t="s">
        <v>32</v>
      </c>
      <c r="F815" s="2" t="s">
        <v>15</v>
      </c>
      <c r="G815" s="2" t="s">
        <v>2276</v>
      </c>
      <c r="H815" s="2" t="s">
        <v>402</v>
      </c>
      <c r="I815" s="2" t="str">
        <f>IFERROR(__xludf.DUMMYFUNCTION("GOOGLETRANSLATE(C815,""fr"",""en"")"),"New work. I receive an affiliation email without prices I subscribe to the basic mutual and superior because my colleague tells me that she is 25 euros and what a surprise I am deduced 25 euros on my pay slip and 25 euros on my bank . Of the I contact the"&amp;"m to ask them to terminate the supervision and refuses everything")</f>
        <v>New work. I receive an affiliation email without prices I subscribe to the basic mutual and superior because my colleague tells me that she is 25 euros and what a surprise I am deduced 25 euros on my pay slip and 25 euros on my bank . Of the I contact them to ask them to terminate the supervision and refuses everything</v>
      </c>
    </row>
    <row r="816" ht="15.75" customHeight="1">
      <c r="A816" s="2">
        <v>2.0</v>
      </c>
      <c r="B816" s="2" t="s">
        <v>2277</v>
      </c>
      <c r="C816" s="2" t="s">
        <v>2278</v>
      </c>
      <c r="D816" s="2" t="s">
        <v>70</v>
      </c>
      <c r="E816" s="2" t="s">
        <v>21</v>
      </c>
      <c r="F816" s="2" t="s">
        <v>15</v>
      </c>
      <c r="G816" s="2" t="s">
        <v>2279</v>
      </c>
      <c r="H816" s="2" t="s">
        <v>23</v>
      </c>
      <c r="I816" s="2" t="str">
        <f>IFERROR(__xludf.DUMMYFUNCTION("GOOGLETRANSLATE(C816,""fr"",""en"")"),"Catastrophic sinister management, no possible response even in agency, to flee or be sure not to have a disaster, unreachable sinister service, a shame")</f>
        <v>Catastrophic sinister management, no possible response even in agency, to flee or be sure not to have a disaster, unreachable sinister service, a shame</v>
      </c>
    </row>
    <row r="817" ht="15.75" customHeight="1">
      <c r="A817" s="2">
        <v>3.0</v>
      </c>
      <c r="B817" s="2" t="s">
        <v>2280</v>
      </c>
      <c r="C817" s="2" t="s">
        <v>2281</v>
      </c>
      <c r="D817" s="2" t="s">
        <v>158</v>
      </c>
      <c r="E817" s="2" t="s">
        <v>21</v>
      </c>
      <c r="F817" s="2" t="s">
        <v>15</v>
      </c>
      <c r="G817" s="2" t="s">
        <v>2282</v>
      </c>
      <c r="H817" s="2" t="s">
        <v>467</v>
      </c>
      <c r="I817" s="2" t="str">
        <f>IFERROR(__xludf.DUMMYFUNCTION("GOOGLETRANSLATE(C817,""fr"",""en"")"),"What is the customer area for?
Impossible to print a certificate of housing insurance from my customer area to update my situation with my lessor on January 1.
Reduced staff between the holidays. Deadlines too long to receive a paper certificate tha"&amp;"t should be sent to me by mail since it is not left available in my customer area ...
I have also seen since the start of the school year that printing RC certificates from the customer area gives non -compliant DOCs on the coverage dates (XX/XX/XXXX)."&amp;" Again, I now have to be joined by an online platform to obtain an up -to -date document.
The cup is full. I don't even dare imagine if I have to ask them one day for a disaster.
A member since 2002, 2019 will be my last year.")</f>
        <v>What is the customer area for?
Impossible to print a certificate of housing insurance from my customer area to update my situation with my lessor on January 1.
Reduced staff between the holidays. Deadlines too long to receive a paper certificate that should be sent to me by mail since it is not left available in my customer area ...
I have also seen since the start of the school year that printing RC certificates from the customer area gives non -compliant DOCs on the coverage dates (XX/XX/XXXX). Again, I now have to be joined by an online platform to obtain an up -to -date document.
The cup is full. I don't even dare imagine if I have to ask them one day for a disaster.
A member since 2002, 2019 will be my last year.</v>
      </c>
    </row>
    <row r="818" ht="15.75" customHeight="1">
      <c r="A818" s="2">
        <v>3.0</v>
      </c>
      <c r="B818" s="2" t="s">
        <v>2283</v>
      </c>
      <c r="C818" s="2" t="s">
        <v>2284</v>
      </c>
      <c r="D818" s="2" t="s">
        <v>31</v>
      </c>
      <c r="E818" s="2" t="s">
        <v>32</v>
      </c>
      <c r="F818" s="2" t="s">
        <v>15</v>
      </c>
      <c r="G818" s="2" t="s">
        <v>1504</v>
      </c>
      <c r="H818" s="2" t="s">
        <v>77</v>
      </c>
      <c r="I818" s="2" t="str">
        <f>IFERROR(__xludf.DUMMYFUNCTION("GOOGLETRANSLATE(C818,""fr"",""en"")"),"Christine responded to my request.
She is a very pleasant person she listens .... was very good advice.
However, this does not erase the problem of reimbursement of our optical services by the MGP.
I keep in mind the reimbursement differential supposed"&amp;"ly due to a problem of computer setting ...
200 euros not reimbursed !!!
")</f>
        <v>Christine responded to my request.
She is a very pleasant person she listens .... was very good advice.
However, this does not erase the problem of reimbursement of our optical services by the MGP.
I keep in mind the reimbursement differential supposedly due to a problem of computer setting ...
200 euros not reimbursed !!!
</v>
      </c>
    </row>
    <row r="819" ht="15.75" customHeight="1">
      <c r="A819" s="2">
        <v>5.0</v>
      </c>
      <c r="B819" s="2" t="s">
        <v>2285</v>
      </c>
      <c r="C819" s="2" t="s">
        <v>2286</v>
      </c>
      <c r="D819" s="2" t="s">
        <v>37</v>
      </c>
      <c r="E819" s="2" t="s">
        <v>14</v>
      </c>
      <c r="F819" s="2" t="s">
        <v>15</v>
      </c>
      <c r="G819" s="2" t="s">
        <v>549</v>
      </c>
      <c r="H819" s="2" t="s">
        <v>77</v>
      </c>
      <c r="I819" s="2" t="str">
        <f>IFERROR(__xludf.DUMMYFUNCTION("GOOGLETRANSLATE(C819,""fr"",""en"")"),"Thank you for responding to my request quickly and thank you for your understanding I will recommend your insurance company to anyone who in HA needs")</f>
        <v>Thank you for responding to my request quickly and thank you for your understanding I will recommend your insurance company to anyone who in HA needs</v>
      </c>
    </row>
    <row r="820" ht="15.75" customHeight="1">
      <c r="A820" s="2">
        <v>1.0</v>
      </c>
      <c r="B820" s="2" t="s">
        <v>2287</v>
      </c>
      <c r="C820" s="2" t="s">
        <v>2288</v>
      </c>
      <c r="D820" s="2" t="s">
        <v>221</v>
      </c>
      <c r="E820" s="2" t="s">
        <v>14</v>
      </c>
      <c r="F820" s="2" t="s">
        <v>15</v>
      </c>
      <c r="G820" s="2" t="s">
        <v>2289</v>
      </c>
      <c r="H820" s="2" t="s">
        <v>508</v>
      </c>
      <c r="I820" s="2" t="str">
        <f>IFERROR(__xludf.DUMMYFUNCTION("GOOGLETRANSLATE(C820,""fr"",""en"")"),"Holder of a Pacifica dependence contract subscribed to my mother with Crédit Agricole, I do not manage to make this depends recognized despite the laconfirmation of the hospital")</f>
        <v>Holder of a Pacifica dependence contract subscribed to my mother with Crédit Agricole, I do not manage to make this depends recognized despite the laconfirmation of the hospital</v>
      </c>
    </row>
    <row r="821" ht="15.75" customHeight="1">
      <c r="A821" s="2">
        <v>1.0</v>
      </c>
      <c r="B821" s="2" t="s">
        <v>1762</v>
      </c>
      <c r="C821" s="2" t="s">
        <v>2290</v>
      </c>
      <c r="D821" s="2" t="s">
        <v>692</v>
      </c>
      <c r="E821" s="2" t="s">
        <v>21</v>
      </c>
      <c r="F821" s="2" t="s">
        <v>15</v>
      </c>
      <c r="G821" s="2" t="s">
        <v>1059</v>
      </c>
      <c r="H821" s="2" t="s">
        <v>98</v>
      </c>
      <c r="I821" s="2" t="str">
        <f>IFERROR(__xludf.DUMMYFUNCTION("GOOGLETRANSLATE(C821,""fr"",""en"")"),"Insured for several years with them with a package of guarantees and options (house, car with the lots of supplements to have something correct) I receive a letter indicating that I cost the members too much ???. Problem I have no claim either car acciden"&amp;"t or water damage or fire. Nothing of that kind. I call them to have explanations. And there I learn that because of the loss of my job where I called on legal protection I am terminated. So conclusion La Matmut spends millions of euros in members' money "&amp;"to match TV advertising that does not bring anything to the members but you pay your ruby ​​contributions on the nail, without any disaster and they resound you to keep the money But not embarrass. In the midst of a crisis Covid it is repugnant. Flee this"&amp;" company which only does in the comm and is not a mutual.")</f>
        <v>Insured for several years with them with a package of guarantees and options (house, car with the lots of supplements to have something correct) I receive a letter indicating that I cost the members too much ???. Problem I have no claim either car accident or water damage or fire. Nothing of that kind. I call them to have explanations. And there I learn that because of the loss of my job where I called on legal protection I am terminated. So conclusion La Matmut spends millions of euros in members' money to match TV advertising that does not bring anything to the members but you pay your ruby ​​contributions on the nail, without any disaster and they resound you to keep the money But not embarrass. In the midst of a crisis Covid it is repugnant. Flee this company which only does in the comm and is not a mutual.</v>
      </c>
    </row>
    <row r="822" ht="15.75" customHeight="1">
      <c r="A822" s="2">
        <v>1.0</v>
      </c>
      <c r="B822" s="2" t="s">
        <v>2291</v>
      </c>
      <c r="C822" s="2" t="s">
        <v>2292</v>
      </c>
      <c r="D822" s="2" t="s">
        <v>487</v>
      </c>
      <c r="E822" s="2" t="s">
        <v>81</v>
      </c>
      <c r="F822" s="2" t="s">
        <v>15</v>
      </c>
      <c r="G822" s="2" t="s">
        <v>162</v>
      </c>
      <c r="H822" s="2" t="s">
        <v>86</v>
      </c>
      <c r="I822" s="2" t="str">
        <f>IFERROR(__xludf.DUMMYFUNCTION("GOOGLETRANSLATE(C822,""fr"",""en"")"),"Hi there,
Be careful with this health insurance which instead of helping you when you are in sickness sends you control with doctors private advice and you put in a very uncomfortable position.
As far as I am concerned, I was operated on with a herniate"&amp;"d disc and I will certainly keep lesions for life, my first payment took place on the 4th month of my judgment and now I am not paid since 13/05.
It is really mediocre insurance and blabber (false advertising) Cars the samples on my pay sheet it is doi"&amp;"ng every month and never late.
Deplorable attitude, once I have returned to work I will make sure that it loses the 200 members constituting our SME")</f>
        <v>Hi there,
Be careful with this health insurance which instead of helping you when you are in sickness sends you control with doctors private advice and you put in a very uncomfortable position.
As far as I am concerned, I was operated on with a herniated disc and I will certainly keep lesions for life, my first payment took place on the 4th month of my judgment and now I am not paid since 13/05.
It is really mediocre insurance and blabber (false advertising) Cars the samples on my pay sheet it is doing every month and never late.
Deplorable attitude, once I have returned to work I will make sure that it loses the 200 members constituting our SME</v>
      </c>
    </row>
    <row r="823" ht="15.75" customHeight="1">
      <c r="A823" s="2">
        <v>3.0</v>
      </c>
      <c r="B823" s="2" t="s">
        <v>2293</v>
      </c>
      <c r="C823" s="2" t="s">
        <v>2294</v>
      </c>
      <c r="D823" s="2" t="s">
        <v>95</v>
      </c>
      <c r="E823" s="2" t="s">
        <v>96</v>
      </c>
      <c r="F823" s="2" t="s">
        <v>15</v>
      </c>
      <c r="G823" s="2" t="s">
        <v>77</v>
      </c>
      <c r="H823" s="2" t="s">
        <v>77</v>
      </c>
      <c r="I823" s="2" t="str">
        <f>IFERROR(__xludf.DUMMYFUNCTION("GOOGLETRANSLATE(C823,""fr"",""en"")"),"I am satisfied with the simple and understandable service
Inexpensive compared to other insurance
Really at the choice of each by simply and effectively detailing the supplement")</f>
        <v>I am satisfied with the simple and understandable service
Inexpensive compared to other insurance
Really at the choice of each by simply and effectively detailing the supplement</v>
      </c>
    </row>
    <row r="824" ht="15.75" customHeight="1">
      <c r="A824" s="2">
        <v>1.0</v>
      </c>
      <c r="B824" s="2" t="s">
        <v>2295</v>
      </c>
      <c r="C824" s="2" t="s">
        <v>2296</v>
      </c>
      <c r="D824" s="2" t="s">
        <v>221</v>
      </c>
      <c r="E824" s="2" t="s">
        <v>14</v>
      </c>
      <c r="F824" s="2" t="s">
        <v>15</v>
      </c>
      <c r="G824" s="2" t="s">
        <v>1076</v>
      </c>
      <c r="H824" s="2" t="s">
        <v>86</v>
      </c>
      <c r="I824" s="2" t="str">
        <f>IFERROR(__xludf.DUMMYFUNCTION("GOOGLETRANSLATE(C824,""fr"",""en"")"),"Attempted flight on my car, driver's leather seat scratched everywhere ... No repair in the seat because you can sit ... Super insurance (insured any risk)")</f>
        <v>Attempted flight on my car, driver's leather seat scratched everywhere ... No repair in the seat because you can sit ... Super insurance (insured any risk)</v>
      </c>
    </row>
    <row r="825" ht="15.75" customHeight="1">
      <c r="A825" s="2">
        <v>5.0</v>
      </c>
      <c r="B825" s="2" t="s">
        <v>2297</v>
      </c>
      <c r="C825" s="2" t="s">
        <v>2298</v>
      </c>
      <c r="D825" s="2" t="s">
        <v>579</v>
      </c>
      <c r="E825" s="2" t="s">
        <v>14</v>
      </c>
      <c r="F825" s="2" t="s">
        <v>15</v>
      </c>
      <c r="G825" s="2" t="s">
        <v>1422</v>
      </c>
      <c r="H825" s="2" t="s">
        <v>77</v>
      </c>
      <c r="I825" s="2" t="str">
        <f>IFERROR(__xludf.DUMMYFUNCTION("GOOGLETRANSLATE(C825,""fr"",""en"")"),"After several automobile claims, I can only be satisfied with the care and clarity of the information given. The value for money is quite excellent.")</f>
        <v>After several automobile claims, I can only be satisfied with the care and clarity of the information given. The value for money is quite excellent.</v>
      </c>
    </row>
    <row r="826" ht="15.75" customHeight="1">
      <c r="A826" s="2">
        <v>5.0</v>
      </c>
      <c r="B826" s="2" t="s">
        <v>2299</v>
      </c>
      <c r="C826" s="2" t="s">
        <v>2300</v>
      </c>
      <c r="D826" s="2" t="s">
        <v>37</v>
      </c>
      <c r="E826" s="2" t="s">
        <v>14</v>
      </c>
      <c r="F826" s="2" t="s">
        <v>15</v>
      </c>
      <c r="G826" s="2" t="s">
        <v>1081</v>
      </c>
      <c r="H826" s="2" t="s">
        <v>28</v>
      </c>
      <c r="I826" s="2" t="str">
        <f>IFERROR(__xludf.DUMMYFUNCTION("GOOGLETRANSLATE(C826,""fr"",""en"")"),"Hello
First impressions
Fast satisfied satisfied with kind interlocutor.
No telephone or very little waiting.
Satisfaction also in terms of prices.
Cordially.")</f>
        <v>Hello
First impressions
Fast satisfied satisfied with kind interlocutor.
No telephone or very little waiting.
Satisfaction also in terms of prices.
Cordially.</v>
      </c>
    </row>
    <row r="827" ht="15.75" customHeight="1">
      <c r="A827" s="2">
        <v>4.0</v>
      </c>
      <c r="B827" s="2" t="s">
        <v>2301</v>
      </c>
      <c r="C827" s="2" t="s">
        <v>2302</v>
      </c>
      <c r="D827" s="2" t="s">
        <v>37</v>
      </c>
      <c r="E827" s="2" t="s">
        <v>14</v>
      </c>
      <c r="F827" s="2" t="s">
        <v>15</v>
      </c>
      <c r="G827" s="2" t="s">
        <v>2303</v>
      </c>
      <c r="H827" s="2" t="s">
        <v>186</v>
      </c>
      <c r="I827" s="2" t="str">
        <f>IFERROR(__xludf.DUMMYFUNCTION("GOOGLETRANSLATE(C827,""fr"",""en"")"),"The subscription of the insurance contract is done very quickly by phone. In less than half an hour, my car was insured and I was in possession of my provisional green card (by email then received by mail). I received my final green card 3/4 days after se"&amp;"nding all the necessary papers.")</f>
        <v>The subscription of the insurance contract is done very quickly by phone. In less than half an hour, my car was insured and I was in possession of my provisional green card (by email then received by mail). I received my final green card 3/4 days after sending all the necessary papers.</v>
      </c>
    </row>
    <row r="828" ht="15.75" customHeight="1">
      <c r="A828" s="2">
        <v>4.0</v>
      </c>
      <c r="B828" s="2" t="s">
        <v>2304</v>
      </c>
      <c r="C828" s="2" t="s">
        <v>2305</v>
      </c>
      <c r="D828" s="2" t="s">
        <v>579</v>
      </c>
      <c r="E828" s="2" t="s">
        <v>14</v>
      </c>
      <c r="F828" s="2" t="s">
        <v>15</v>
      </c>
      <c r="G828" s="2" t="s">
        <v>2306</v>
      </c>
      <c r="H828" s="2" t="s">
        <v>206</v>
      </c>
      <c r="I828" s="2" t="str">
        <f>IFERROR(__xludf.DUMMYFUNCTION("GOOGLETRANSLATE(C828,""fr"",""en"")"),"Good customer service and very competitive price on my Xsara Picasso. On the other hand, this insurer refused to ensure another unused and not guaranteed vehicle for 2.5 years. The advisor who announced it to me and who taught me that there was an obligat"&amp;"ion to ensure even a vehicle which is not used was also very moderately friendly that day. Some research on comparators allowed me to ensure my two vehicles without worries at slightly lower prices. Too bad for Eurofil ...")</f>
        <v>Good customer service and very competitive price on my Xsara Picasso. On the other hand, this insurer refused to ensure another unused and not guaranteed vehicle for 2.5 years. The advisor who announced it to me and who taught me that there was an obligation to ensure even a vehicle which is not used was also very moderately friendly that day. Some research on comparators allowed me to ensure my two vehicles without worries at slightly lower prices. Too bad for Eurofil ...</v>
      </c>
    </row>
    <row r="829" ht="15.75" customHeight="1">
      <c r="A829" s="2">
        <v>1.0</v>
      </c>
      <c r="B829" s="2" t="s">
        <v>2307</v>
      </c>
      <c r="C829" s="2" t="s">
        <v>2308</v>
      </c>
      <c r="D829" s="2" t="s">
        <v>75</v>
      </c>
      <c r="E829" s="2" t="s">
        <v>14</v>
      </c>
      <c r="F829" s="2" t="s">
        <v>15</v>
      </c>
      <c r="G829" s="2" t="s">
        <v>2309</v>
      </c>
      <c r="H829" s="2" t="s">
        <v>57</v>
      </c>
      <c r="I829" s="2" t="str">
        <f>IFERROR(__xludf.DUMMYFUNCTION("GOOGLETRANSLATE(C829,""fr"",""en"")"),"Deplorable customer service. Once again, due to my auto insurance, the contribution arrives increased despite a bonus that improves ... I phone the non -surcharged but nevertheless paying number, to have explanations. The person I had on the phone gives m"&amp;"e explanations and tells me at the end of the conversation that they will remind me at the end of the week and see what a commercial gesture she can do ... 15 days later and after 10 € telephone to relaunch them, I manage to have someone who tells me that"&amp;" the situation does not deserve a commercial gesture:
- an increased contribution despite a bonus
- a reminder of not kept
- a promise of commercial gesture
-10 € and more than an hour of my time trying to reach DA.
All these arguments are not suffic"&amp;"ient according to her for a commercial gesture ???
Conclusion attention to the commitments of DA they have no value for them")</f>
        <v>Deplorable customer service. Once again, due to my auto insurance, the contribution arrives increased despite a bonus that improves ... I phone the non -surcharged but nevertheless paying number, to have explanations. The person I had on the phone gives me explanations and tells me at the end of the conversation that they will remind me at the end of the week and see what a commercial gesture she can do ... 15 days later and after 10 € telephone to relaunch them, I manage to have someone who tells me that the situation does not deserve a commercial gesture:
- an increased contribution despite a bonus
- a reminder of not kept
- a promise of commercial gesture
-10 € and more than an hour of my time trying to reach DA.
All these arguments are not sufficient according to her for a commercial gesture ???
Conclusion attention to the commitments of DA they have no value for them</v>
      </c>
    </row>
    <row r="830" ht="15.75" customHeight="1">
      <c r="A830" s="2">
        <v>1.0</v>
      </c>
      <c r="B830" s="2" t="s">
        <v>2310</v>
      </c>
      <c r="C830" s="2" t="s">
        <v>2311</v>
      </c>
      <c r="D830" s="2" t="s">
        <v>639</v>
      </c>
      <c r="E830" s="2" t="s">
        <v>90</v>
      </c>
      <c r="F830" s="2" t="s">
        <v>15</v>
      </c>
      <c r="G830" s="2" t="s">
        <v>2312</v>
      </c>
      <c r="H830" s="2" t="s">
        <v>175</v>
      </c>
      <c r="I830" s="2" t="str">
        <f>IFERROR(__xludf.DUMMYFUNCTION("GOOGLETRANSLATE(C830,""fr"",""en"")"),"Increase in the monthly payments from single to double due to surgical interventions that my dog ​​had to undergo in 2019. As if it was a pleasure to make him undergo these interventions.")</f>
        <v>Increase in the monthly payments from single to double due to surgical interventions that my dog ​​had to undergo in 2019. As if it was a pleasure to make him undergo these interventions.</v>
      </c>
    </row>
    <row r="831" ht="15.75" customHeight="1">
      <c r="A831" s="2">
        <v>1.0</v>
      </c>
      <c r="B831" s="2" t="s">
        <v>2313</v>
      </c>
      <c r="C831" s="2" t="s">
        <v>2314</v>
      </c>
      <c r="D831" s="2" t="s">
        <v>70</v>
      </c>
      <c r="E831" s="2" t="s">
        <v>14</v>
      </c>
      <c r="F831" s="2" t="s">
        <v>15</v>
      </c>
      <c r="G831" s="2" t="s">
        <v>2315</v>
      </c>
      <c r="H831" s="2" t="s">
        <v>804</v>
      </c>
      <c r="I831" s="2" t="str">
        <f>IFERROR(__xludf.DUMMYFUNCTION("GOOGLETRANSLATE(C831,""fr"",""en"")"),"Insurer more attached to lure new customers than to reward old customers (more than 20 years)")</f>
        <v>Insurer more attached to lure new customers than to reward old customers (more than 20 years)</v>
      </c>
    </row>
    <row r="832" ht="15.75" customHeight="1">
      <c r="A832" s="2">
        <v>3.0</v>
      </c>
      <c r="B832" s="2" t="s">
        <v>2316</v>
      </c>
      <c r="C832" s="2" t="s">
        <v>2317</v>
      </c>
      <c r="D832" s="2" t="s">
        <v>173</v>
      </c>
      <c r="E832" s="2" t="s">
        <v>32</v>
      </c>
      <c r="F832" s="2" t="s">
        <v>15</v>
      </c>
      <c r="G832" s="2" t="s">
        <v>2279</v>
      </c>
      <c r="H832" s="2" t="s">
        <v>23</v>
      </c>
      <c r="I832" s="2" t="str">
        <f>IFERROR(__xludf.DUMMYFUNCTION("GOOGLETRANSLATE(C832,""fr"",""en"")"),"Perfect customer service. Clear Khalid operator concise clearly answering all my questions. Satisfied with the maintenance and the rapid response to my need.")</f>
        <v>Perfect customer service. Clear Khalid operator concise clearly answering all my questions. Satisfied with the maintenance and the rapid response to my need.</v>
      </c>
    </row>
    <row r="833" ht="15.75" customHeight="1">
      <c r="A833" s="2">
        <v>3.0</v>
      </c>
      <c r="B833" s="2" t="s">
        <v>2318</v>
      </c>
      <c r="C833" s="2" t="s">
        <v>2319</v>
      </c>
      <c r="D833" s="2" t="s">
        <v>37</v>
      </c>
      <c r="E833" s="2" t="s">
        <v>14</v>
      </c>
      <c r="F833" s="2" t="s">
        <v>15</v>
      </c>
      <c r="G833" s="2" t="s">
        <v>549</v>
      </c>
      <c r="H833" s="2" t="s">
        <v>77</v>
      </c>
      <c r="I833" s="2" t="str">
        <f>IFERROR(__xludf.DUMMYFUNCTION("GOOGLETRANSLATE(C833,""fr"",""en"")"),"Insurance is well advised and appropriate for my living condition thank you. I wish to be always accompanied by your advice which listens to our worries")</f>
        <v>Insurance is well advised and appropriate for my living condition thank you. I wish to be always accompanied by your advice which listens to our worries</v>
      </c>
    </row>
    <row r="834" ht="15.75" customHeight="1">
      <c r="A834" s="2">
        <v>5.0</v>
      </c>
      <c r="B834" s="2" t="s">
        <v>2320</v>
      </c>
      <c r="C834" s="2" t="s">
        <v>2321</v>
      </c>
      <c r="D834" s="2" t="s">
        <v>37</v>
      </c>
      <c r="E834" s="2" t="s">
        <v>14</v>
      </c>
      <c r="F834" s="2" t="s">
        <v>15</v>
      </c>
      <c r="G834" s="2" t="s">
        <v>420</v>
      </c>
      <c r="H834" s="2" t="s">
        <v>28</v>
      </c>
      <c r="I834" s="2" t="str">
        <f>IFERROR(__xludf.DUMMYFUNCTION("GOOGLETRANSLATE(C834,""fr"",""en"")"),"I am satisfied with the service, the staff are helpful, in a good mood and competent.
The prices are very competitive.
My favorite car insurance, certainly.
")</f>
        <v>I am satisfied with the service, the staff are helpful, in a good mood and competent.
The prices are very competitive.
My favorite car insurance, certainly.
</v>
      </c>
    </row>
    <row r="835" ht="15.75" customHeight="1">
      <c r="A835" s="2">
        <v>4.0</v>
      </c>
      <c r="B835" s="2" t="s">
        <v>2322</v>
      </c>
      <c r="C835" s="2" t="s">
        <v>2323</v>
      </c>
      <c r="D835" s="2" t="s">
        <v>199</v>
      </c>
      <c r="E835" s="2" t="s">
        <v>32</v>
      </c>
      <c r="F835" s="2" t="s">
        <v>15</v>
      </c>
      <c r="G835" s="2" t="s">
        <v>2324</v>
      </c>
      <c r="H835" s="2" t="s">
        <v>206</v>
      </c>
      <c r="I835" s="2" t="str">
        <f>IFERROR(__xludf.DUMMYFUNCTION("GOOGLETRANSLATE(C835,""fr"",""en"")"),"Very good mutual I have been at home for 4 years and the increases are on average 3%... compared to my old mutual which increased by more than 8%...
Good for those who want optics without too much guarantee and who we realize that for some sector to make"&amp;" sure it is much more profitable.
What makes me laugh is all those who complain of not being able to terminate as it should. But stop waiting for the last moment to change! Revise your contracts in June and you would have no problems either with CEGEMA"&amp;" or with any other mutual.")</f>
        <v>Very good mutual I have been at home for 4 years and the increases are on average 3%... compared to my old mutual which increased by more than 8%...
Good for those who want optics without too much guarantee and who we realize that for some sector to make sure it is much more profitable.
What makes me laugh is all those who complain of not being able to terminate as it should. But stop waiting for the last moment to change! Revise your contracts in June and you would have no problems either with CEGEMA or with any other mutual.</v>
      </c>
    </row>
    <row r="836" ht="15.75" customHeight="1">
      <c r="A836" s="2">
        <v>4.0</v>
      </c>
      <c r="B836" s="2" t="s">
        <v>2325</v>
      </c>
      <c r="C836" s="2" t="s">
        <v>2326</v>
      </c>
      <c r="D836" s="2" t="s">
        <v>75</v>
      </c>
      <c r="E836" s="2" t="s">
        <v>14</v>
      </c>
      <c r="F836" s="2" t="s">
        <v>15</v>
      </c>
      <c r="G836" s="2" t="s">
        <v>703</v>
      </c>
      <c r="H836" s="2" t="s">
        <v>86</v>
      </c>
      <c r="I836" s="2" t="str">
        <f>IFERROR(__xludf.DUMMYFUNCTION("GOOGLETRANSLATE(C836,""fr"",""en"")"),"Fast and efficient, I wanted to subscribe online without necessarily having someone on the phone. I hope that in contrast, the service by phone will be responsive if anything happens.")</f>
        <v>Fast and efficient, I wanted to subscribe online without necessarily having someone on the phone. I hope that in contrast, the service by phone will be responsive if anything happens.</v>
      </c>
    </row>
    <row r="837" ht="15.75" customHeight="1">
      <c r="A837" s="2">
        <v>1.0</v>
      </c>
      <c r="B837" s="2" t="s">
        <v>2327</v>
      </c>
      <c r="C837" s="2" t="s">
        <v>2328</v>
      </c>
      <c r="D837" s="2" t="s">
        <v>1658</v>
      </c>
      <c r="E837" s="2" t="s">
        <v>96</v>
      </c>
      <c r="F837" s="2" t="s">
        <v>15</v>
      </c>
      <c r="G837" s="2" t="s">
        <v>2329</v>
      </c>
      <c r="H837" s="2" t="s">
        <v>146</v>
      </c>
      <c r="I837" s="2" t="str">
        <f>IFERROR(__xludf.DUMMYFUNCTION("GOOGLETRANSLATE(C837,""fr"",""en"")"),"To flee! Despite an accident and my insurance coverage, the insurer refuses to cover the repair costs. I strongly advise against! After 8 years of loyalty, only one accident and no help, I am shocked and ulcerated.")</f>
        <v>To flee! Despite an accident and my insurance coverage, the insurer refuses to cover the repair costs. I strongly advise against! After 8 years of loyalty, only one accident and no help, I am shocked and ulcerated.</v>
      </c>
    </row>
    <row r="838" ht="15.75" customHeight="1">
      <c r="A838" s="2">
        <v>2.0</v>
      </c>
      <c r="B838" s="2" t="s">
        <v>2330</v>
      </c>
      <c r="C838" s="2" t="s">
        <v>2331</v>
      </c>
      <c r="D838" s="2" t="s">
        <v>26</v>
      </c>
      <c r="E838" s="2" t="s">
        <v>14</v>
      </c>
      <c r="F838" s="2" t="s">
        <v>15</v>
      </c>
      <c r="G838" s="2" t="s">
        <v>2332</v>
      </c>
      <c r="H838" s="2" t="s">
        <v>155</v>
      </c>
      <c r="I838" s="2" t="str">
        <f>IFERROR(__xludf.DUMMYFUNCTION("GOOGLETRANSLATE(C838,""fr"",""en"")"),"I have been AXA Internet customer for 5 years and I was satisfied until today because I had not had to do their customer service, I have always paid but contribution in time but despite that, Refusal to take care of a disaster for no valid reason, they pl"&amp;"ay with the words and make you wear the hat, they do not even prevent their customers when there is a concern in their files, it is shameful for a big Company, advice avoid this insurer especially the internet subsidiary, pay a little more expensive but a"&amp;"t least you will have a correct service.")</f>
        <v>I have been AXA Internet customer for 5 years and I was satisfied until today because I had not had to do their customer service, I have always paid but contribution in time but despite that, Refusal to take care of a disaster for no valid reason, they play with the words and make you wear the hat, they do not even prevent their customers when there is a concern in their files, it is shameful for a big Company, advice avoid this insurer especially the internet subsidiary, pay a little more expensive but at least you will have a correct service.</v>
      </c>
    </row>
    <row r="839" ht="15.75" customHeight="1">
      <c r="A839" s="2">
        <v>5.0</v>
      </c>
      <c r="B839" s="2" t="s">
        <v>2333</v>
      </c>
      <c r="C839" s="2" t="s">
        <v>2334</v>
      </c>
      <c r="D839" s="2" t="s">
        <v>70</v>
      </c>
      <c r="E839" s="2" t="s">
        <v>14</v>
      </c>
      <c r="F839" s="2" t="s">
        <v>15</v>
      </c>
      <c r="G839" s="2" t="s">
        <v>463</v>
      </c>
      <c r="H839" s="2" t="s">
        <v>39</v>
      </c>
      <c r="I839" s="2" t="str">
        <f>IFERROR(__xludf.DUMMYFUNCTION("GOOGLETRANSLATE(C839,""fr"",""en"")"),"I am satisfied with the service thank you for this easy to use site
GMF has always been there when I needed
Perfect to be able to generate your documents online")</f>
        <v>I am satisfied with the service thank you for this easy to use site
GMF has always been there when I needed
Perfect to be able to generate your documents online</v>
      </c>
    </row>
    <row r="840" ht="15.75" customHeight="1">
      <c r="A840" s="2">
        <v>3.0</v>
      </c>
      <c r="B840" s="2" t="s">
        <v>2335</v>
      </c>
      <c r="C840" s="2" t="s">
        <v>2336</v>
      </c>
      <c r="D840" s="2" t="s">
        <v>75</v>
      </c>
      <c r="E840" s="2" t="s">
        <v>14</v>
      </c>
      <c r="F840" s="2" t="s">
        <v>15</v>
      </c>
      <c r="G840" s="2" t="s">
        <v>2205</v>
      </c>
      <c r="H840" s="2" t="s">
        <v>193</v>
      </c>
      <c r="I840" s="2" t="str">
        <f>IFERROR(__xludf.DUMMYFUNCTION("GOOGLETRANSLATE(C840,""fr"",""en"")"),"I am satisfied with the service ... Except that I regret your new method to pay the royalty. I am formally opposed to not being able to pay by check or transfer. I therefore consider not renewing my contract in 2022.")</f>
        <v>I am satisfied with the service ... Except that I regret your new method to pay the royalty. I am formally opposed to not being able to pay by check or transfer. I therefore consider not renewing my contract in 2022.</v>
      </c>
    </row>
    <row r="841" ht="15.75" customHeight="1">
      <c r="A841" s="2">
        <v>5.0</v>
      </c>
      <c r="B841" s="2" t="s">
        <v>2337</v>
      </c>
      <c r="C841" s="2" t="s">
        <v>2338</v>
      </c>
      <c r="D841" s="2" t="s">
        <v>37</v>
      </c>
      <c r="E841" s="2" t="s">
        <v>14</v>
      </c>
      <c r="F841" s="2" t="s">
        <v>15</v>
      </c>
      <c r="G841" s="2" t="s">
        <v>2339</v>
      </c>
      <c r="H841" s="2" t="s">
        <v>67</v>
      </c>
      <c r="I841" s="2" t="str">
        <f>IFERROR(__xludf.DUMMYFUNCTION("GOOGLETRANSLATE(C841,""fr"",""en"")"),"Super pleasant and nice operator, I fully recommend !! Very professional, he had an answer to all my questions and I had all the information to wear by hand. Thanks very much !")</f>
        <v>Super pleasant and nice operator, I fully recommend !! Very professional, he had an answer to all my questions and I had all the information to wear by hand. Thanks very much !</v>
      </c>
    </row>
    <row r="842" ht="15.75" customHeight="1">
      <c r="A842" s="2">
        <v>4.0</v>
      </c>
      <c r="B842" s="2" t="s">
        <v>2340</v>
      </c>
      <c r="C842" s="2" t="s">
        <v>2341</v>
      </c>
      <c r="D842" s="2" t="s">
        <v>37</v>
      </c>
      <c r="E842" s="2" t="s">
        <v>14</v>
      </c>
      <c r="F842" s="2" t="s">
        <v>15</v>
      </c>
      <c r="G842" s="2" t="s">
        <v>1552</v>
      </c>
      <c r="H842" s="2" t="s">
        <v>98</v>
      </c>
      <c r="I842" s="2" t="str">
        <f>IFERROR(__xludf.DUMMYFUNCTION("GOOGLETRANSLATE(C842,""fr"",""en"")"),"Very responsive, everything is done via the internet, in case of doubt we have a interlocutor on the phone.
I recommend the olive assurance to all those around me.")</f>
        <v>Very responsive, everything is done via the internet, in case of doubt we have a interlocutor on the phone.
I recommend the olive assurance to all those around me.</v>
      </c>
    </row>
    <row r="843" ht="15.75" customHeight="1">
      <c r="A843" s="2">
        <v>4.0</v>
      </c>
      <c r="B843" s="2" t="s">
        <v>2342</v>
      </c>
      <c r="C843" s="2" t="s">
        <v>2343</v>
      </c>
      <c r="D843" s="2" t="s">
        <v>101</v>
      </c>
      <c r="E843" s="2" t="s">
        <v>14</v>
      </c>
      <c r="F843" s="2" t="s">
        <v>15</v>
      </c>
      <c r="G843" s="2" t="s">
        <v>278</v>
      </c>
      <c r="H843" s="2" t="s">
        <v>39</v>
      </c>
      <c r="I843" s="2" t="str">
        <f>IFERROR(__xludf.DUMMYFUNCTION("GOOGLETRANSLATE(C843,""fr"",""en"")"),"Super insurer, top service and compensation at the appointment.
Very flexible on the type of insurable vehicle
Particularly responsive
I recommend Allianz whether for the car or the MRH")</f>
        <v>Super insurer, top service and compensation at the appointment.
Very flexible on the type of insurable vehicle
Particularly responsive
I recommend Allianz whether for the car or the MRH</v>
      </c>
    </row>
    <row r="844" ht="15.75" customHeight="1">
      <c r="A844" s="2">
        <v>1.0</v>
      </c>
      <c r="B844" s="2" t="s">
        <v>2344</v>
      </c>
      <c r="C844" s="2" t="s">
        <v>2345</v>
      </c>
      <c r="D844" s="2" t="s">
        <v>75</v>
      </c>
      <c r="E844" s="2" t="s">
        <v>14</v>
      </c>
      <c r="F844" s="2" t="s">
        <v>15</v>
      </c>
      <c r="G844" s="2" t="s">
        <v>386</v>
      </c>
      <c r="H844" s="2" t="s">
        <v>193</v>
      </c>
      <c r="I844" s="2" t="str">
        <f>IFERROR(__xludf.DUMMYFUNCTION("GOOGLETRANSLATE(C844,""fr"",""en"")"),"Huge increase every year since I was insured at Direct Insurance if it continues the next one I will make the competition play. Cordially")</f>
        <v>Huge increase every year since I was insured at Direct Insurance if it continues the next one I will make the competition play. Cordially</v>
      </c>
    </row>
    <row r="845" ht="15.75" customHeight="1">
      <c r="A845" s="2">
        <v>4.0</v>
      </c>
      <c r="B845" s="2" t="s">
        <v>2346</v>
      </c>
      <c r="C845" s="2" t="s">
        <v>2347</v>
      </c>
      <c r="D845" s="2" t="s">
        <v>95</v>
      </c>
      <c r="E845" s="2" t="s">
        <v>96</v>
      </c>
      <c r="F845" s="2" t="s">
        <v>15</v>
      </c>
      <c r="G845" s="2" t="s">
        <v>1229</v>
      </c>
      <c r="H845" s="2" t="s">
        <v>28</v>
      </c>
      <c r="I845" s="2" t="str">
        <f>IFERROR(__xludf.DUMMYFUNCTION("GOOGLETRANSLATE(C845,""fr"",""en"")"),"For me it is perfect the price suits me and the easy approach, the guarantees are up to the price, advising other bikers, the site is quite interactive")</f>
        <v>For me it is perfect the price suits me and the easy approach, the guarantees are up to the price, advising other bikers, the site is quite interactive</v>
      </c>
    </row>
    <row r="846" ht="15.75" customHeight="1">
      <c r="A846" s="2">
        <v>5.0</v>
      </c>
      <c r="B846" s="2" t="s">
        <v>2348</v>
      </c>
      <c r="C846" s="2" t="s">
        <v>2349</v>
      </c>
      <c r="D846" s="2" t="s">
        <v>37</v>
      </c>
      <c r="E846" s="2" t="s">
        <v>14</v>
      </c>
      <c r="F846" s="2" t="s">
        <v>15</v>
      </c>
      <c r="G846" s="2" t="s">
        <v>2350</v>
      </c>
      <c r="H846" s="2" t="s">
        <v>86</v>
      </c>
      <c r="I846" s="2" t="str">
        <f>IFERROR(__xludf.DUMMYFUNCTION("GOOGLETRANSLATE(C846,""fr"",""en"")"),"Satisfied with this insurance! The price is unbeatable, I strongly advise you this insurance! For my part I am conquered !!!!!!!!")</f>
        <v>Satisfied with this insurance! The price is unbeatable, I strongly advise you this insurance! For my part I am conquered !!!!!!!!</v>
      </c>
    </row>
    <row r="847" ht="15.75" customHeight="1">
      <c r="A847" s="2">
        <v>1.0</v>
      </c>
      <c r="B847" s="2" t="s">
        <v>2351</v>
      </c>
      <c r="C847" s="2" t="s">
        <v>2352</v>
      </c>
      <c r="D847" s="2" t="s">
        <v>233</v>
      </c>
      <c r="E847" s="2" t="s">
        <v>32</v>
      </c>
      <c r="F847" s="2" t="s">
        <v>15</v>
      </c>
      <c r="G847" s="2" t="s">
        <v>761</v>
      </c>
      <c r="H847" s="2" t="s">
        <v>321</v>
      </c>
      <c r="I847" s="2" t="str">
        <f>IFERROR(__xludf.DUMMYFUNCTION("GOOGLETRANSLATE(C847,""fr"",""en"")"),"Very cherish and constantly increasing. They let you hang out when you ask to terminate, to win a year because they have changed their rereading policies and went to the RAR in December.
They have two companies:
- generation that pays you your health re"&amp;"imbursement and
- Coverlife who takes contributions
It is not marked anywhere and when you change the couring account, one takes it, but not the other. And you end up with a banker refusal.")</f>
        <v>Very cherish and constantly increasing. They let you hang out when you ask to terminate, to win a year because they have changed their rereading policies and went to the RAR in December.
They have two companies:
- generation that pays you your health reimbursement and
- Coverlife who takes contributions
It is not marked anywhere and when you change the couring account, one takes it, but not the other. And you end up with a banker refusal.</v>
      </c>
    </row>
    <row r="848" ht="15.75" customHeight="1">
      <c r="A848" s="2">
        <v>4.0</v>
      </c>
      <c r="B848" s="2" t="s">
        <v>2353</v>
      </c>
      <c r="C848" s="2" t="s">
        <v>2354</v>
      </c>
      <c r="D848" s="2" t="s">
        <v>75</v>
      </c>
      <c r="E848" s="2" t="s">
        <v>14</v>
      </c>
      <c r="F848" s="2" t="s">
        <v>15</v>
      </c>
      <c r="G848" s="2" t="s">
        <v>2205</v>
      </c>
      <c r="H848" s="2" t="s">
        <v>193</v>
      </c>
      <c r="I848" s="2" t="str">
        <f>IFERROR(__xludf.DUMMYFUNCTION("GOOGLETRANSLATE(C848,""fr"",""en"")"),"Hello, I am satisfied with the service and the price offered especially.
Membership was fast and efficient.
I would highly recommend your company for our loved ones who wish to subscribe to a new insurance.
")</f>
        <v>Hello, I am satisfied with the service and the price offered especially.
Membership was fast and efficient.
I would highly recommend your company for our loved ones who wish to subscribe to a new insurance.
</v>
      </c>
    </row>
    <row r="849" ht="15.75" customHeight="1">
      <c r="A849" s="2">
        <v>2.0</v>
      </c>
      <c r="B849" s="2" t="s">
        <v>2355</v>
      </c>
      <c r="C849" s="2" t="s">
        <v>2356</v>
      </c>
      <c r="D849" s="2" t="s">
        <v>55</v>
      </c>
      <c r="E849" s="2" t="s">
        <v>14</v>
      </c>
      <c r="F849" s="2" t="s">
        <v>15</v>
      </c>
      <c r="G849" s="2" t="s">
        <v>2357</v>
      </c>
      <c r="H849" s="2" t="s">
        <v>1151</v>
      </c>
      <c r="I849" s="2" t="str">
        <f>IFERROR(__xludf.DUMMYFUNCTION("GOOGLETRANSLATE(C849,""fr"",""en"")"),"Insured for 7 years at all risk and my contract is terminated without warning after 2 non -responsible claims (including a break in ice). My contributions are largely exceeding the costs reimbursed by the MAAF. I am very disappointed with the lack of cons"&amp;"ideration of such an approach.")</f>
        <v>Insured for 7 years at all risk and my contract is terminated without warning after 2 non -responsible claims (including a break in ice). My contributions are largely exceeding the costs reimbursed by the MAAF. I am very disappointed with the lack of consideration of such an approach.</v>
      </c>
    </row>
    <row r="850" ht="15.75" customHeight="1">
      <c r="A850" s="2">
        <v>3.0</v>
      </c>
      <c r="B850" s="2" t="s">
        <v>2358</v>
      </c>
      <c r="C850" s="2" t="s">
        <v>2359</v>
      </c>
      <c r="D850" s="2" t="s">
        <v>75</v>
      </c>
      <c r="E850" s="2" t="s">
        <v>14</v>
      </c>
      <c r="F850" s="2" t="s">
        <v>15</v>
      </c>
      <c r="G850" s="2" t="s">
        <v>452</v>
      </c>
      <c r="H850" s="2" t="s">
        <v>86</v>
      </c>
      <c r="I850" s="2" t="str">
        <f>IFERROR(__xludf.DUMMYFUNCTION("GOOGLETRANSLATE(C850,""fr"",""en"")"),"Happy with this bank, not too expensive, I would stay with you, good advice, we always see the comparison of taking I find it great.")</f>
        <v>Happy with this bank, not too expensive, I would stay with you, good advice, we always see the comparison of taking I find it great.</v>
      </c>
    </row>
    <row r="851" ht="15.75" customHeight="1">
      <c r="A851" s="2">
        <v>4.0</v>
      </c>
      <c r="B851" s="2" t="s">
        <v>2360</v>
      </c>
      <c r="C851" s="2" t="s">
        <v>2361</v>
      </c>
      <c r="D851" s="2" t="s">
        <v>37</v>
      </c>
      <c r="E851" s="2" t="s">
        <v>14</v>
      </c>
      <c r="F851" s="2" t="s">
        <v>15</v>
      </c>
      <c r="G851" s="2" t="s">
        <v>1280</v>
      </c>
      <c r="H851" s="2" t="s">
        <v>77</v>
      </c>
      <c r="I851" s="2" t="str">
        <f>IFERROR(__xludf.DUMMYFUNCTION("GOOGLETRANSLATE(C851,""fr"",""en"")"),"Satisfied with the service to join, easy and intuitive site
Correct price compared to the vehicle
Pleasant customer relationship, listening person and good information")</f>
        <v>Satisfied with the service to join, easy and intuitive site
Correct price compared to the vehicle
Pleasant customer relationship, listening person and good information</v>
      </c>
    </row>
    <row r="852" ht="15.75" customHeight="1">
      <c r="A852" s="2">
        <v>2.0</v>
      </c>
      <c r="B852" s="2" t="s">
        <v>2362</v>
      </c>
      <c r="C852" s="2" t="s">
        <v>2363</v>
      </c>
      <c r="D852" s="2" t="s">
        <v>26</v>
      </c>
      <c r="E852" s="2" t="s">
        <v>21</v>
      </c>
      <c r="F852" s="2" t="s">
        <v>15</v>
      </c>
      <c r="G852" s="2" t="s">
        <v>2364</v>
      </c>
      <c r="H852" s="2" t="s">
        <v>48</v>
      </c>
      <c r="I852" s="2" t="str">
        <f>IFERROR(__xludf.DUMMYFUNCTION("GOOGLETRANSLATE(C852,""fr"",""en"")"),"Prices are increasing in loyal customers faster.
I was entitled to 50% wrong when I was struck at the back of my vehicle, supported video.
Housing: for 2 equivalent dwellings on the same land and the same address, over the same period from 2016 to 2020)"&amp;", one has an increase of 52.16%, the other of 39.83%. Find the error. No logical explanation for my question (answer: this year increase of 4.35%)")</f>
        <v>Prices are increasing in loyal customers faster.
I was entitled to 50% wrong when I was struck at the back of my vehicle, supported video.
Housing: for 2 equivalent dwellings on the same land and the same address, over the same period from 2016 to 2020), one has an increase of 52.16%, the other of 39.83%. Find the error. No logical explanation for my question (answer: this year increase of 4.35%)</v>
      </c>
    </row>
    <row r="853" ht="15.75" customHeight="1">
      <c r="A853" s="2">
        <v>2.0</v>
      </c>
      <c r="B853" s="2" t="s">
        <v>2365</v>
      </c>
      <c r="C853" s="2" t="s">
        <v>2366</v>
      </c>
      <c r="D853" s="2" t="s">
        <v>229</v>
      </c>
      <c r="E853" s="2" t="s">
        <v>96</v>
      </c>
      <c r="F853" s="2" t="s">
        <v>15</v>
      </c>
      <c r="G853" s="2" t="s">
        <v>2367</v>
      </c>
      <c r="H853" s="2" t="s">
        <v>508</v>
      </c>
      <c r="I853" s="2" t="str">
        <f>IFERROR(__xludf.DUMMYFUNCTION("GOOGLETRANSLATE(C853,""fr"",""en"")"),"Of course provided through the internet, no counter or contact a natural person. On the phone following a Hammon law termination, I am told that we had nothing, personally. If you must pay they will not fail to remind you and threaten you with bailiff on "&amp;"the other hand to pay there is no one left")</f>
        <v>Of course provided through the internet, no counter or contact a natural person. On the phone following a Hammon law termination, I am told that we had nothing, personally. If you must pay they will not fail to remind you and threaten you with bailiff on the other hand to pay there is no one left</v>
      </c>
    </row>
    <row r="854" ht="15.75" customHeight="1">
      <c r="A854" s="2">
        <v>1.0</v>
      </c>
      <c r="B854" s="2" t="s">
        <v>2368</v>
      </c>
      <c r="C854" s="2" t="s">
        <v>2369</v>
      </c>
      <c r="D854" s="2" t="s">
        <v>199</v>
      </c>
      <c r="E854" s="2" t="s">
        <v>32</v>
      </c>
      <c r="F854" s="2" t="s">
        <v>15</v>
      </c>
      <c r="G854" s="2" t="s">
        <v>1112</v>
      </c>
      <c r="H854" s="2" t="s">
        <v>39</v>
      </c>
      <c r="I854" s="2" t="str">
        <f>IFERROR(__xludf.DUMMYFUNCTION("GOOGLETRANSLATE(C854,""fr"",""en"")"),"Insured since January2021 I am very crowded with this mutual. Two months to be reimbursed a scanner invoice, the other files are the same see worse. To have a dental quote it is the same I was advised by a broker I find it serious I am really angry being "&amp;"retired I left my mutual company because too expensive see the result. I would leave at the end of the year it is acting. And in addition you cannot even the assets on the phone it does not answer to go through the broker. Thank you Cegema")</f>
        <v>Insured since January2021 I am very crowded with this mutual. Two months to be reimbursed a scanner invoice, the other files are the same see worse. To have a dental quote it is the same I was advised by a broker I find it serious I am really angry being retired I left my mutual company because too expensive see the result. I would leave at the end of the year it is acting. And in addition you cannot even the assets on the phone it does not answer to go through the broker. Thank you Cegema</v>
      </c>
    </row>
    <row r="855" ht="15.75" customHeight="1">
      <c r="A855" s="2">
        <v>1.0</v>
      </c>
      <c r="B855" s="2" t="s">
        <v>2370</v>
      </c>
      <c r="C855" s="2" t="s">
        <v>2371</v>
      </c>
      <c r="D855" s="2" t="s">
        <v>692</v>
      </c>
      <c r="E855" s="2" t="s">
        <v>21</v>
      </c>
      <c r="F855" s="2" t="s">
        <v>15</v>
      </c>
      <c r="G855" s="2" t="s">
        <v>2372</v>
      </c>
      <c r="H855" s="2" t="s">
        <v>694</v>
      </c>
      <c r="I855" s="2" t="str">
        <f>IFERROR(__xludf.DUMMYFUNCTION("GOOGLETRANSLATE(C855,""fr"",""en"")"),"Customer service of formidable incompetence.
I summarize my story:
I recently subscribe to a residential contract by phone with the Matmut has an effect on 12/13/19.
1st error made, upon receipt of the contract to be signed electronically, I notice the"&amp;" effective date on 12/13/19. From this step I contact the Matmut, which changes the effective date and puts the right one, of course, the time of effect this time it is wrong, while valid in the 1st contract. I decide to retract from the contract as provi"&amp;"ded for in article L.112-2-1 of the insurance code, it has been 15 days since the registered mail has arrived, but no return from them for the moment.
I therefore decide, to contact them to have news (I received the ar), my interlocutor replies that she "&amp;"does not have the 'visu' but see that 2 letters have been received but not yet treated.
Until then, no concern, I ask him for some information concerning the contract subscribed and if I was going to be billed.
(That's when it starts to mess around)
Sh"&amp;"e announces a total monthly monthly payment almost double the one who had been announced to me during the subscription by phone, certainly, written on the contract sent, but not said by phone during my agreement for the subscription, the person continues "&amp;"that 'An invoice of more than double had already been issued claiming case fees, which had not been announced to the subscription either. I therefore ask him if the conversations are recorded, in order to prove my good faith, and to cancel the contract wi"&amp;"thout even taking into account my request for withdrawal; She replies that no, they do not record any conversation. (The problem is that the Mifid II law makes it compulsory, the recording of telephone conversations in this context.)
Impossible to speak "&amp;"to a manager, so facing this telephone wall, I got angry, and I hung up.
There is a way of doing things that does not pass.
That makes too much defects of advice, and errors.
It's sad.
In the hope that someone competent resumes my file, I leave my con"&amp;"tact details.")</f>
        <v>Customer service of formidable incompetence.
I summarize my story:
I recently subscribe to a residential contract by phone with the Matmut has an effect on 12/13/19.
1st error made, upon receipt of the contract to be signed electronically, I notice the effective date on 12/13/19. From this step I contact the Matmut, which changes the effective date and puts the right one, of course, the time of effect this time it is wrong, while valid in the 1st contract. I decide to retract from the contract as provided for in article L.112-2-1 of the insurance code, it has been 15 days since the registered mail has arrived, but no return from them for the moment.
I therefore decide, to contact them to have news (I received the ar), my interlocutor replies that she does not have the 'visu' but see that 2 letters have been received but not yet treated.
Until then, no concern, I ask him for some information concerning the contract subscribed and if I was going to be billed.
(That's when it starts to mess around)
She announces a total monthly monthly payment almost double the one who had been announced to me during the subscription by phone, certainly, written on the contract sent, but not said by phone during my agreement for the subscription, the person continues that 'An invoice of more than double had already been issued claiming case fees, which had not been announced to the subscription either. I therefore ask him if the conversations are recorded, in order to prove my good faith, and to cancel the contract without even taking into account my request for withdrawal; She replies that no, they do not record any conversation. (The problem is that the Mifid II law makes it compulsory, the recording of telephone conversations in this context.)
Impossible to speak to a manager, so facing this telephone wall, I got angry, and I hung up.
There is a way of doing things that does not pass.
That makes too much defects of advice, and errors.
It's sad.
In the hope that someone competent resumes my file, I leave my contact details.</v>
      </c>
    </row>
    <row r="856" ht="15.75" customHeight="1">
      <c r="A856" s="2">
        <v>2.0</v>
      </c>
      <c r="B856" s="2" t="s">
        <v>2373</v>
      </c>
      <c r="C856" s="2" t="s">
        <v>2374</v>
      </c>
      <c r="D856" s="2" t="s">
        <v>273</v>
      </c>
      <c r="E856" s="2" t="s">
        <v>153</v>
      </c>
      <c r="F856" s="2" t="s">
        <v>15</v>
      </c>
      <c r="G856" s="2" t="s">
        <v>2375</v>
      </c>
      <c r="H856" s="2" t="s">
        <v>528</v>
      </c>
      <c r="I856" s="2" t="str">
        <f>IFERROR(__xludf.DUMMYFUNCTION("GOOGLETRANSLATE(C856,""fr"",""en"")"),"completely absent customer service, to avoid")</f>
        <v>completely absent customer service, to avoid</v>
      </c>
    </row>
    <row r="857" ht="15.75" customHeight="1">
      <c r="A857" s="2">
        <v>1.0</v>
      </c>
      <c r="B857" s="2" t="s">
        <v>2376</v>
      </c>
      <c r="C857" s="2" t="s">
        <v>2377</v>
      </c>
      <c r="D857" s="2" t="s">
        <v>13</v>
      </c>
      <c r="E857" s="2" t="s">
        <v>14</v>
      </c>
      <c r="F857" s="2" t="s">
        <v>15</v>
      </c>
      <c r="G857" s="2" t="s">
        <v>2378</v>
      </c>
      <c r="H857" s="2" t="s">
        <v>1392</v>
      </c>
      <c r="I857" s="2" t="str">
        <f>IFERROR(__xludf.DUMMYFUNCTION("GOOGLETRANSLATE(C857,""fr"",""en"")"),"What a desappointment ! Customer for many years, I had never had claims for whom I was responsible so never really confronted with a real need coming from them. But to date I have been the victim of a breach of trust and was robbed my car. Eurofil respons"&amp;"e: You have been the victim of a ""scam"" and therefore it is not taken care of, unlike the breach of trust ... The file is now in the hands of a lawyer but concerning me I will strongly recommend this insurance, and as I work for a luxury automotive bran"&amp;"d ...")</f>
        <v>What a desappointment ! Customer for many years, I had never had claims for whom I was responsible so never really confronted with a real need coming from them. But to date I have been the victim of a breach of trust and was robbed my car. Eurofil response: You have been the victim of a "scam" and therefore it is not taken care of, unlike the breach of trust ... The file is now in the hands of a lawyer but concerning me I will strongly recommend this insurance, and as I work for a luxury automotive brand ...</v>
      </c>
    </row>
    <row r="858" ht="15.75" customHeight="1">
      <c r="A858" s="2">
        <v>4.0</v>
      </c>
      <c r="B858" s="2" t="s">
        <v>2379</v>
      </c>
      <c r="C858" s="2" t="s">
        <v>2380</v>
      </c>
      <c r="D858" s="2" t="s">
        <v>75</v>
      </c>
      <c r="E858" s="2" t="s">
        <v>14</v>
      </c>
      <c r="F858" s="2" t="s">
        <v>15</v>
      </c>
      <c r="G858" s="2" t="s">
        <v>1737</v>
      </c>
      <c r="H858" s="2" t="s">
        <v>193</v>
      </c>
      <c r="I858" s="2" t="str">
        <f>IFERROR(__xludf.DUMMYFUNCTION("GOOGLETRANSLATE(C858,""fr"",""en"")"),"I am overall satisfied with automotive insurance
nothing to report thank you
easy connection easy payment
Clareté of the contract so everything is fine thank you for sending us the certificate after payment")</f>
        <v>I am overall satisfied with automotive insurance
nothing to report thank you
easy connection easy payment
Clareté of the contract so everything is fine thank you for sending us the certificate after payment</v>
      </c>
    </row>
    <row r="859" ht="15.75" customHeight="1">
      <c r="A859" s="2">
        <v>1.0</v>
      </c>
      <c r="B859" s="2" t="s">
        <v>2381</v>
      </c>
      <c r="C859" s="2" t="s">
        <v>2382</v>
      </c>
      <c r="D859" s="2" t="s">
        <v>204</v>
      </c>
      <c r="E859" s="2" t="s">
        <v>81</v>
      </c>
      <c r="F859" s="2" t="s">
        <v>15</v>
      </c>
      <c r="G859" s="2" t="s">
        <v>2383</v>
      </c>
      <c r="H859" s="2" t="s">
        <v>275</v>
      </c>
      <c r="I859" s="2" t="str">
        <f>IFERROR(__xludf.DUMMYFUNCTION("GOOGLETRANSLATE(C859,""fr"",""en"")"),"Hello. Here is my problem. Policeman in hello. My problem is similar to yours. On stop for eight months I resumed therapeutic half-time not without having previously contacted 3 different advice (2 per telephone, 1 to the agency itself) who certified me t"&amp;"hat I was covered for the loss of premium . Once in the interior MTT refuses to unindemnize myself because I was in CMO and not in a long illness (which I myself refused to resume as soon as possible) .... the calls are recorded and the person who 'receiv"&amp;"ed to recognize having given me bad information because she was not aware ..... despite everything intermers refuses to return to their decision. I will therefore seize the court because in the very opinion of their delegate, Intermeau is at fault because"&amp;" its employees have an advisory role. I therefore seek insured in the same case as me in order to support my legal action so that the court is to the fact that these disinformation practices so that the insured does not be bending his rights is commonplac"&amp;"e in Intermere. For eight months I resumed therapeutic half-time, not without having previously contacted 3 different advised (2 per telephone, 1 to the agency itself), which certified me that I was covered for the loss of premium . Once in MTT, Intermeau"&amp;" refuses to unindemnize myself because I was in CMO and not in a long illness (which I myself refused to resume as soon as possible) .... the calls are recorded and the person who I received a recognized having given me bad information because she was not"&amp;" aware ..... despite everything intermers refuses to come back to her decision. I will therefore seize the court because in the very opinion of their delegate, Intermeau is at fault because its employees have an advisory role. I therefore seek insured in "&amp;"the same case as me in order to support my legal action so that the court is to the fact that these disinformation practices so that the insured does not be soothing his rights is commonplace in Intermere.")</f>
        <v>Hello. Here is my problem. Policeman in hello. My problem is similar to yours. On stop for eight months I resumed therapeutic half-time not without having previously contacted 3 different advice (2 per telephone, 1 to the agency itself) who certified me that I was covered for the loss of premium . Once in the interior MTT refuses to unindemnize myself because I was in CMO and not in a long illness (which I myself refused to resume as soon as possible) .... the calls are recorded and the person who 'received to recognize having given me bad information because she was not aware ..... despite everything intermers refuses to return to their decision. I will therefore seize the court because in the very opinion of their delegate, Intermeau is at fault because its employees have an advisory role. I therefore seek insured in the same case as me in order to support my legal action so that the court is to the fact that these disinformation practices so that the insured does not be bending his rights is commonplace in Intermere. For eight months I resumed therapeutic half-time, not without having previously contacted 3 different advised (2 per telephone, 1 to the agency itself), which certified me that I was covered for the loss of premium . Once in MTT, Intermeau refuses to unindemnize myself because I was in CMO and not in a long illness (which I myself refused to resume as soon as possible) .... the calls are recorded and the person who I received a recognized having given me bad information because she was not aware ..... despite everything intermers refuses to come back to her decision. I will therefore seize the court because in the very opinion of their delegate, Intermeau is at fault because its employees have an advisory role. I therefore seek insured in the same case as me in order to support my legal action so that the court is to the fact that these disinformation practices so that the insured does not be soothing his rights is commonplace in Intermere.</v>
      </c>
    </row>
    <row r="860" ht="15.75" customHeight="1">
      <c r="A860" s="2">
        <v>2.0</v>
      </c>
      <c r="B860" s="2" t="s">
        <v>2384</v>
      </c>
      <c r="C860" s="2" t="s">
        <v>2385</v>
      </c>
      <c r="D860" s="2" t="s">
        <v>13</v>
      </c>
      <c r="E860" s="2" t="s">
        <v>21</v>
      </c>
      <c r="F860" s="2" t="s">
        <v>15</v>
      </c>
      <c r="G860" s="2" t="s">
        <v>2364</v>
      </c>
      <c r="H860" s="2" t="s">
        <v>48</v>
      </c>
      <c r="I860" s="2" t="str">
        <f>IFERROR(__xludf.DUMMYFUNCTION("GOOGLETRANSLATE(C860,""fr"",""en"")"),"Unable, refusal to take charge of a fire, after a trial for faults and lack of advice (5 years for the first body), the Macif was considered guilty for lack of advice and condemned to industrial me. Obviously, Contributions are well come, reimbursements o"&amp;"f claims, no. Do not hesitate to drag them to a court.")</f>
        <v>Unable, refusal to take charge of a fire, after a trial for faults and lack of advice (5 years for the first body), the Macif was considered guilty for lack of advice and condemned to industrial me. Obviously, Contributions are well come, reimbursements of claims, no. Do not hesitate to drag them to a court.</v>
      </c>
    </row>
    <row r="861" ht="15.75" customHeight="1">
      <c r="A861" s="2">
        <v>3.0</v>
      </c>
      <c r="B861" s="2" t="s">
        <v>2386</v>
      </c>
      <c r="C861" s="2" t="s">
        <v>2387</v>
      </c>
      <c r="D861" s="2" t="s">
        <v>75</v>
      </c>
      <c r="E861" s="2" t="s">
        <v>14</v>
      </c>
      <c r="F861" s="2" t="s">
        <v>15</v>
      </c>
      <c r="G861" s="2" t="s">
        <v>2388</v>
      </c>
      <c r="H861" s="2" t="s">
        <v>115</v>
      </c>
      <c r="I861" s="2" t="str">
        <f>IFERROR(__xludf.DUMMYFUNCTION("GOOGLETRANSLATE(C861,""fr"",""en"")"),"My vehicle was damaged and I stay after a week, without news from the expert. My vehicle was transported on set by a convenience store in my city but it waits for the authorized garage to it in which it must transport it again. No news and above all no ea"&amp;"gerness of direct insurance which does not even respond to the emails that I send and which is not looking for any solution to a vehicle insured all risks in an accident or I am not responsible. Non-reliable insurance and perhaps too low coast .... the fa"&amp;"wn of treating its non-responsible customers, is not worthy of national insurance")</f>
        <v>My vehicle was damaged and I stay after a week, without news from the expert. My vehicle was transported on set by a convenience store in my city but it waits for the authorized garage to it in which it must transport it again. No news and above all no eagerness of direct insurance which does not even respond to the emails that I send and which is not looking for any solution to a vehicle insured all risks in an accident or I am not responsible. Non-reliable insurance and perhaps too low coast .... the fawn of treating its non-responsible customers, is not worthy of national insurance</v>
      </c>
    </row>
    <row r="862" ht="15.75" customHeight="1">
      <c r="A862" s="2">
        <v>1.0</v>
      </c>
      <c r="B862" s="2" t="s">
        <v>2389</v>
      </c>
      <c r="C862" s="2" t="s">
        <v>2390</v>
      </c>
      <c r="D862" s="2" t="s">
        <v>75</v>
      </c>
      <c r="E862" s="2" t="s">
        <v>14</v>
      </c>
      <c r="F862" s="2" t="s">
        <v>15</v>
      </c>
      <c r="G862" s="2" t="s">
        <v>1131</v>
      </c>
      <c r="H862" s="2" t="s">
        <v>39</v>
      </c>
      <c r="I862" s="2" t="str">
        <f>IFERROR(__xludf.DUMMYFUNCTION("GOOGLETRANSLATE(C862,""fr"",""en"")"),"Very dissatisfied with the worst customer service that there is no respect for customers don't care and makes fun of you intolerable a shame at direct insurance")</f>
        <v>Very dissatisfied with the worst customer service that there is no respect for customers don't care and makes fun of you intolerable a shame at direct insurance</v>
      </c>
    </row>
    <row r="863" ht="15.75" customHeight="1">
      <c r="A863" s="2">
        <v>5.0</v>
      </c>
      <c r="B863" s="2" t="s">
        <v>2391</v>
      </c>
      <c r="C863" s="2" t="s">
        <v>2392</v>
      </c>
      <c r="D863" s="2" t="s">
        <v>75</v>
      </c>
      <c r="E863" s="2" t="s">
        <v>14</v>
      </c>
      <c r="F863" s="2" t="s">
        <v>15</v>
      </c>
      <c r="G863" s="2" t="s">
        <v>2393</v>
      </c>
      <c r="H863" s="2" t="s">
        <v>28</v>
      </c>
      <c r="I863" s="2" t="str">
        <f>IFERROR(__xludf.DUMMYFUNCTION("GOOGLETRANSLATE(C863,""fr"",""en"")"),"Simple and quick. Unfortunately, problem to send the identity document. Whether from the phone that from the computer. Satisfactory price.")</f>
        <v>Simple and quick. Unfortunately, problem to send the identity document. Whether from the phone that from the computer. Satisfactory price.</v>
      </c>
    </row>
    <row r="864" ht="15.75" customHeight="1">
      <c r="A864" s="2">
        <v>1.0</v>
      </c>
      <c r="B864" s="2" t="s">
        <v>2394</v>
      </c>
      <c r="C864" s="2" t="s">
        <v>2395</v>
      </c>
      <c r="D864" s="2" t="s">
        <v>13</v>
      </c>
      <c r="E864" s="2" t="s">
        <v>21</v>
      </c>
      <c r="F864" s="2" t="s">
        <v>15</v>
      </c>
      <c r="G864" s="2" t="s">
        <v>2396</v>
      </c>
      <c r="H864" s="2" t="s">
        <v>103</v>
      </c>
      <c r="I864" s="2" t="str">
        <f>IFERROR(__xludf.DUMMYFUNCTION("GOOGLETRANSLATE(C864,""fr"",""en"")"),"When I register, the Macif advisor asked me for my bank card number with the pictogram on the phone to withdraw 50 € and I gave him. And the next day, my bank account was hacked. Is it a coincidence, I don't know, but I don't believe it. For my part, some"&amp;" people who respond to customers by phones are simply .....")</f>
        <v>When I register, the Macif advisor asked me for my bank card number with the pictogram on the phone to withdraw 50 € and I gave him. And the next day, my bank account was hacked. Is it a coincidence, I don't know, but I don't believe it. For my part, some people who respond to customers by phones are simply .....</v>
      </c>
    </row>
    <row r="865" ht="15.75" customHeight="1">
      <c r="A865" s="2">
        <v>4.0</v>
      </c>
      <c r="B865" s="2" t="s">
        <v>2397</v>
      </c>
      <c r="C865" s="2" t="s">
        <v>2398</v>
      </c>
      <c r="D865" s="2" t="s">
        <v>37</v>
      </c>
      <c r="E865" s="2" t="s">
        <v>14</v>
      </c>
      <c r="F865" s="2" t="s">
        <v>15</v>
      </c>
      <c r="G865" s="2" t="s">
        <v>258</v>
      </c>
      <c r="H865" s="2" t="s">
        <v>98</v>
      </c>
      <c r="I865" s="2" t="str">
        <f>IFERROR(__xludf.DUMMYFUNCTION("GOOGLETRANSLATE(C865,""fr"",""en"")"),"Fast and effective. The prices charged are very cheap. Fast and free assistance. I will recommend this insurance for my loved ones. By sponsoring them !!")</f>
        <v>Fast and effective. The prices charged are very cheap. Fast and free assistance. I will recommend this insurance for my loved ones. By sponsoring them !!</v>
      </c>
    </row>
    <row r="866" ht="15.75" customHeight="1">
      <c r="A866" s="2">
        <v>1.0</v>
      </c>
      <c r="B866" s="2" t="s">
        <v>2399</v>
      </c>
      <c r="C866" s="2" t="s">
        <v>2400</v>
      </c>
      <c r="D866" s="2" t="s">
        <v>13</v>
      </c>
      <c r="E866" s="2" t="s">
        <v>14</v>
      </c>
      <c r="F866" s="2" t="s">
        <v>15</v>
      </c>
      <c r="G866" s="2" t="s">
        <v>1181</v>
      </c>
      <c r="H866" s="2" t="s">
        <v>98</v>
      </c>
      <c r="I866" s="2" t="str">
        <f>IFERROR(__xludf.DUMMYFUNCTION("GOOGLETRANSLATE(C866,""fr"",""en"")"),"The Anne derniere j bought a caravanneneuve insurance ouj was very good. But only took her in civil liability. So I am looking for insurance (this for 1st confinement) I find the Macif my interlocutor tells me that he must first assure my Car alone and in"&amp;" 2 months he will ensure caravanne after having obtained a derogation from his superior. 2 peas after the subscription of my contract (June) I write a message to know or is my Caravanne contract no response for 1 month and in July I am called to tell me t"&amp;"hat there is no trace of this contract. I be able to obtain an appointment in agency (the person who receives me more than Desagrable) do not know how to do but tells me that she will take into account my caravanne rtque The person who made me the proposa"&amp;"l for a contract will contact me because he has blocked the file on his computer and that only it is access. We are in May 2021 I have always been his call Te ... ah if one but there are stars in place of the dates of validitis and registration numbers. I"&amp;" do not have to request green card requests in vain on the other hand they do not forget to take up .In interlocutor yesterday to whom I say my annoyance and that I am leaving for my end -ofment opinion and well according to it the macif has none Problem "&amp;"with its customers ETSI I want the same interlocutor, I only have to go to a great hyper Desagreable agency I just want this quo is my from .... for the moment I received an email with a temporary certificate with the green card BARDE .... and beware of L"&amp;"AMACIF we are SOCIERIARS This joke")</f>
        <v>The Anne derniere j bought a caravanneneuve insurance ouj was very good. But only took her in civil liability. So I am looking for insurance (this for 1st confinement) I find the Macif my interlocutor tells me that he must first assure my Car alone and in 2 months he will ensure caravanne after having obtained a derogation from his superior. 2 peas after the subscription of my contract (June) I write a message to know or is my Caravanne contract no response for 1 month and in July I am called to tell me that there is no trace of this contract. I be able to obtain an appointment in agency (the person who receives me more than Desagrable) do not know how to do but tells me that she will take into account my caravanne rtque The person who made me the proposal for a contract will contact me because he has blocked the file on his computer and that only it is access. We are in May 2021 I have always been his call Te ... ah if one but there are stars in place of the dates of validitis and registration numbers. I do not have to request green card requests in vain on the other hand they do not forget to take up .In interlocutor yesterday to whom I say my annoyance and that I am leaving for my end -ofment opinion and well according to it the macif has none Problem with its customers ETSI I want the same interlocutor, I only have to go to a great hyper Desagreable agency I just want this quo is my from .... for the moment I received an email with a temporary certificate with the green card BARDE .... and beware of LAMACIF we are SOCIERIARS This joke</v>
      </c>
    </row>
    <row r="867" ht="15.75" customHeight="1">
      <c r="A867" s="2">
        <v>5.0</v>
      </c>
      <c r="B867" s="2" t="s">
        <v>2401</v>
      </c>
      <c r="C867" s="2" t="s">
        <v>2402</v>
      </c>
      <c r="D867" s="2" t="s">
        <v>37</v>
      </c>
      <c r="E867" s="2" t="s">
        <v>14</v>
      </c>
      <c r="F867" s="2" t="s">
        <v>15</v>
      </c>
      <c r="G867" s="2" t="s">
        <v>2329</v>
      </c>
      <c r="H867" s="2" t="s">
        <v>146</v>
      </c>
      <c r="I867" s="2" t="str">
        <f>IFERROR(__xludf.DUMMYFUNCTION("GOOGLETRANSLATE(C867,""fr"",""en"")"),"The olive assurance is very good insurance. Very listening advisers on the phone and who answer questions perfectly. The online customer area allows you to send the documents directly without having to send a letter (whether for subscription or for the de"&amp;"claration of claims). The prices are low but that does not mean that the service is not there on the contrary.")</f>
        <v>The olive assurance is very good insurance. Very listening advisers on the phone and who answer questions perfectly. The online customer area allows you to send the documents directly without having to send a letter (whether for subscription or for the declaration of claims). The prices are low but that does not mean that the service is not there on the contrary.</v>
      </c>
    </row>
    <row r="868" ht="15.75" customHeight="1">
      <c r="A868" s="2">
        <v>1.0</v>
      </c>
      <c r="B868" s="2" t="s">
        <v>2403</v>
      </c>
      <c r="C868" s="2" t="s">
        <v>2404</v>
      </c>
      <c r="D868" s="2" t="s">
        <v>2405</v>
      </c>
      <c r="E868" s="2" t="s">
        <v>21</v>
      </c>
      <c r="F868" s="2" t="s">
        <v>15</v>
      </c>
      <c r="G868" s="2" t="s">
        <v>1828</v>
      </c>
      <c r="H868" s="2" t="s">
        <v>193</v>
      </c>
      <c r="I868" s="2" t="str">
        <f>IFERROR(__xludf.DUMMYFUNCTION("GOOGLETRANSLATE(C868,""fr"",""en"")"),"5 buildings insured 10 years, first ""big"" sinister, I am not reimbursed, despite a 1st expert opinion which is favorable to me. Then I am simply fired because of too many damage (one !!) and finally, you ask for an information statement, you take 10 min"&amp;"utes, then spend 5 minutes show white leg, customer number, phone number, email , address etc .... why not my mother's young girl's name too ?? And despite 3 calls, no document never received. Obviously, they are not able to send them by email ...
Good"&amp;"bye Sogessur!")</f>
        <v>5 buildings insured 10 years, first "big" sinister, I am not reimbursed, despite a 1st expert opinion which is favorable to me. Then I am simply fired because of too many damage (one !!) and finally, you ask for an information statement, you take 10 minutes, then spend 5 minutes show white leg, customer number, phone number, email , address etc .... why not my mother's young girl's name too ?? And despite 3 calls, no document never received. Obviously, they are not able to send them by email ...
Goodbye Sogessur!</v>
      </c>
    </row>
    <row r="869" ht="15.75" customHeight="1">
      <c r="A869" s="2">
        <v>5.0</v>
      </c>
      <c r="B869" s="2" t="s">
        <v>2406</v>
      </c>
      <c r="C869" s="2" t="s">
        <v>2407</v>
      </c>
      <c r="D869" s="2" t="s">
        <v>37</v>
      </c>
      <c r="E869" s="2" t="s">
        <v>14</v>
      </c>
      <c r="F869" s="2" t="s">
        <v>15</v>
      </c>
      <c r="G869" s="2" t="s">
        <v>449</v>
      </c>
      <c r="H869" s="2" t="s">
        <v>28</v>
      </c>
      <c r="I869" s="2" t="str">
        <f>IFERROR(__xludf.DUMMYFUNCTION("GOOGLETRANSLATE(C869,""fr"",""en"")"),"Very satisfied as soon as the top advisers are reply and not reinforce you excellent work thank you in advance thank you and I re contact for the new car")</f>
        <v>Very satisfied as soon as the top advisers are reply and not reinforce you excellent work thank you in advance thank you and I re contact for the new car</v>
      </c>
    </row>
    <row r="870" ht="15.75" customHeight="1">
      <c r="A870" s="2">
        <v>3.0</v>
      </c>
      <c r="B870" s="2" t="s">
        <v>2408</v>
      </c>
      <c r="C870" s="2" t="s">
        <v>2409</v>
      </c>
      <c r="D870" s="2" t="s">
        <v>26</v>
      </c>
      <c r="E870" s="2" t="s">
        <v>14</v>
      </c>
      <c r="F870" s="2" t="s">
        <v>15</v>
      </c>
      <c r="G870" s="2" t="s">
        <v>192</v>
      </c>
      <c r="H870" s="2" t="s">
        <v>193</v>
      </c>
      <c r="I870" s="2" t="str">
        <f>IFERROR(__xludf.DUMMYFUNCTION("GOOGLETRANSLATE(C870,""fr"",""en"")"),"AXA for me, is a professional, efficient company, which has prices I thought about the market level. Given the prices offered in Assurland, IAXA seems to be rather in the high range. In terms of refunds of possible bares damage for example it works well i"&amp;"t seems to me. It's been a long time since I had a material accident. I also have a 125 motorcycle at home at 110 €.
Well to you. JM Vivier")</f>
        <v>AXA for me, is a professional, efficient company, which has prices I thought about the market level. Given the prices offered in Assurland, IAXA seems to be rather in the high range. In terms of refunds of possible bares damage for example it works well it seems to me. It's been a long time since I had a material accident. I also have a 125 motorcycle at home at 110 €.
Well to you. JM Vivier</v>
      </c>
    </row>
    <row r="871" ht="15.75" customHeight="1">
      <c r="A871" s="2">
        <v>3.0</v>
      </c>
      <c r="B871" s="2" t="s">
        <v>2410</v>
      </c>
      <c r="C871" s="2" t="s">
        <v>2411</v>
      </c>
      <c r="D871" s="2" t="s">
        <v>37</v>
      </c>
      <c r="E871" s="2" t="s">
        <v>14</v>
      </c>
      <c r="F871" s="2" t="s">
        <v>15</v>
      </c>
      <c r="G871" s="2" t="s">
        <v>165</v>
      </c>
      <c r="H871" s="2" t="s">
        <v>98</v>
      </c>
      <c r="I871" s="2" t="str">
        <f>IFERROR(__xludf.DUMMYFUNCTION("GOOGLETRANSLATE(C871,""fr"",""en"")"),"I am satisfied level service
PRICE levels a can
Levels of validation conditions very easy and clear contract and easy to reach")</f>
        <v>I am satisfied level service
PRICE levels a can
Levels of validation conditions very easy and clear contract and easy to reach</v>
      </c>
    </row>
    <row r="872" ht="15.75" customHeight="1">
      <c r="A872" s="2">
        <v>3.0</v>
      </c>
      <c r="B872" s="2" t="s">
        <v>2412</v>
      </c>
      <c r="C872" s="2" t="s">
        <v>2413</v>
      </c>
      <c r="D872" s="2" t="s">
        <v>579</v>
      </c>
      <c r="E872" s="2" t="s">
        <v>14</v>
      </c>
      <c r="F872" s="2" t="s">
        <v>15</v>
      </c>
      <c r="G872" s="2" t="s">
        <v>2414</v>
      </c>
      <c r="H872" s="2" t="s">
        <v>223</v>
      </c>
      <c r="I872" s="2" t="str">
        <f>IFERROR(__xludf.DUMMYFUNCTION("GOOGLETRANSLATE(C872,""fr"",""en"")"),"I wanted to subscribe to this insurer but because I sold my vehicle 8 months ago and only redeems one so now having not been assured last. I am refused by the insurer. However, I have no claim in the past years, bonus at 0.50 ...")</f>
        <v>I wanted to subscribe to this insurer but because I sold my vehicle 8 months ago and only redeems one so now having not been assured last. I am refused by the insurer. However, I have no claim in the past years, bonus at 0.50 ...</v>
      </c>
    </row>
    <row r="873" ht="15.75" customHeight="1">
      <c r="A873" s="2">
        <v>1.0</v>
      </c>
      <c r="B873" s="2" t="s">
        <v>2415</v>
      </c>
      <c r="C873" s="2" t="s">
        <v>2416</v>
      </c>
      <c r="D873" s="2" t="s">
        <v>37</v>
      </c>
      <c r="E873" s="2" t="s">
        <v>14</v>
      </c>
      <c r="F873" s="2" t="s">
        <v>15</v>
      </c>
      <c r="G873" s="2" t="s">
        <v>2417</v>
      </c>
      <c r="H873" s="2" t="s">
        <v>98</v>
      </c>
      <c r="I873" s="2" t="str">
        <f>IFERROR(__xludf.DUMMYFUNCTION("GOOGLETRANSLATE(C873,""fr"",""en"")"),"Ensure in any risk more complete option pack I pay 65 euro with a bonus at 0.50 for a fiesta diesel of 70 hp from 2008 and. I had a problem they were able to find me a closed so as not to help me
Insurance to avoid second car at Direct Insurance No probl"&amp;"em with them in the event of claims")</f>
        <v>Ensure in any risk more complete option pack I pay 65 euro with a bonus at 0.50 for a fiesta diesel of 70 hp from 2008 and. I had a problem they were able to find me a closed so as not to help me
Insurance to avoid second car at Direct Insurance No problem with them in the event of claims</v>
      </c>
    </row>
    <row r="874" ht="15.75" customHeight="1">
      <c r="A874" s="2">
        <v>2.0</v>
      </c>
      <c r="B874" s="2" t="s">
        <v>871</v>
      </c>
      <c r="C874" s="2" t="s">
        <v>2418</v>
      </c>
      <c r="D874" s="2" t="s">
        <v>70</v>
      </c>
      <c r="E874" s="2" t="s">
        <v>14</v>
      </c>
      <c r="F874" s="2" t="s">
        <v>15</v>
      </c>
      <c r="G874" s="2" t="s">
        <v>873</v>
      </c>
      <c r="H874" s="2" t="s">
        <v>142</v>
      </c>
      <c r="I874" s="2" t="str">
        <f>IFERROR(__xludf.DUMMYFUNCTION("GOOGLETRANSLATE(C874,""fr"",""en"")"),"Honest insurer with average prices, we know what we are insured on. On the other hand, unfortunate tendency to want to fodder all risks. GMF, I don't need an all risk for an old car!")</f>
        <v>Honest insurer with average prices, we know what we are insured on. On the other hand, unfortunate tendency to want to fodder all risks. GMF, I don't need an all risk for an old car!</v>
      </c>
    </row>
    <row r="875" ht="15.75" customHeight="1">
      <c r="A875" s="2">
        <v>2.0</v>
      </c>
      <c r="B875" s="2" t="s">
        <v>2419</v>
      </c>
      <c r="C875" s="2" t="s">
        <v>2420</v>
      </c>
      <c r="D875" s="2" t="s">
        <v>233</v>
      </c>
      <c r="E875" s="2" t="s">
        <v>32</v>
      </c>
      <c r="F875" s="2" t="s">
        <v>15</v>
      </c>
      <c r="G875" s="2" t="s">
        <v>2421</v>
      </c>
      <c r="H875" s="2" t="s">
        <v>331</v>
      </c>
      <c r="I875" s="2" t="str">
        <f>IFERROR(__xludf.DUMMYFUNCTION("GOOGLETRANSLATE(C875,""fr"",""en"")"),"hello
I would like to know if your mutual counts that one formula or there is more stronger who would reimburse better
thank you
Cordially
Ms. Christine Bernard")</f>
        <v>hello
I would like to know if your mutual counts that one formula or there is more stronger who would reimburse better
thank you
Cordially
Ms. Christine Bernard</v>
      </c>
    </row>
    <row r="876" ht="15.75" customHeight="1">
      <c r="A876" s="2">
        <v>2.0</v>
      </c>
      <c r="B876" s="2" t="s">
        <v>2422</v>
      </c>
      <c r="C876" s="2" t="s">
        <v>2423</v>
      </c>
      <c r="D876" s="2" t="s">
        <v>75</v>
      </c>
      <c r="E876" s="2" t="s">
        <v>14</v>
      </c>
      <c r="F876" s="2" t="s">
        <v>15</v>
      </c>
      <c r="G876" s="2" t="s">
        <v>1175</v>
      </c>
      <c r="H876" s="2" t="s">
        <v>107</v>
      </c>
      <c r="I876" s="2" t="str">
        <f>IFERROR(__xludf.DUMMYFUNCTION("GOOGLETRANSLATE(C876,""fr"",""en"")"),"The Cient service is not accommodating and behaves like frozen robots, without consideration for the importance of each customer (especially if it is a former customer)")</f>
        <v>The Cient service is not accommodating and behaves like frozen robots, without consideration for the importance of each customer (especially if it is a former customer)</v>
      </c>
    </row>
    <row r="877" ht="15.75" customHeight="1">
      <c r="A877" s="2">
        <v>5.0</v>
      </c>
      <c r="B877" s="2" t="s">
        <v>2424</v>
      </c>
      <c r="C877" s="2" t="s">
        <v>2425</v>
      </c>
      <c r="D877" s="2" t="s">
        <v>173</v>
      </c>
      <c r="E877" s="2" t="s">
        <v>32</v>
      </c>
      <c r="F877" s="2" t="s">
        <v>15</v>
      </c>
      <c r="G877" s="2" t="s">
        <v>1137</v>
      </c>
      <c r="H877" s="2" t="s">
        <v>694</v>
      </c>
      <c r="I877" s="2" t="str">
        <f>IFERROR(__xludf.DUMMYFUNCTION("GOOGLETRANSLATE(C877,""fr"",""en"")"),"Caroline was pleasant and very effective. She answered all my questions with great kindness. I am very containing and I am extremely satisfied with the service provided. We discussed everything and it was very useful to answer all my questions, including "&amp;"the verification of all my reimbursements for the month of September and October.")</f>
        <v>Caroline was pleasant and very effective. She answered all my questions with great kindness. I am very containing and I am extremely satisfied with the service provided. We discussed everything and it was very useful to answer all my questions, including the verification of all my reimbursements for the month of September and October.</v>
      </c>
    </row>
    <row r="878" ht="15.75" customHeight="1">
      <c r="A878" s="2">
        <v>5.0</v>
      </c>
      <c r="B878" s="2" t="s">
        <v>2426</v>
      </c>
      <c r="C878" s="2" t="s">
        <v>2427</v>
      </c>
      <c r="D878" s="2" t="s">
        <v>830</v>
      </c>
      <c r="E878" s="2" t="s">
        <v>32</v>
      </c>
      <c r="F878" s="2" t="s">
        <v>15</v>
      </c>
      <c r="G878" s="2" t="s">
        <v>622</v>
      </c>
      <c r="H878" s="2" t="s">
        <v>111</v>
      </c>
      <c r="I878" s="2" t="str">
        <f>IFERROR(__xludf.DUMMYFUNCTION("GOOGLETRANSLATE(C878,""fr"",""en"")"),"Interesting price for the contract is reimbursements remains to be seen afterwards for refunds of care if it is reimbursed without invoice request")</f>
        <v>Interesting price for the contract is reimbursements remains to be seen afterwards for refunds of care if it is reimbursed without invoice request</v>
      </c>
    </row>
    <row r="879" ht="15.75" customHeight="1">
      <c r="A879" s="2">
        <v>4.0</v>
      </c>
      <c r="B879" s="2" t="s">
        <v>2428</v>
      </c>
      <c r="C879" s="2" t="s">
        <v>2429</v>
      </c>
      <c r="D879" s="2" t="s">
        <v>37</v>
      </c>
      <c r="E879" s="2" t="s">
        <v>14</v>
      </c>
      <c r="F879" s="2" t="s">
        <v>15</v>
      </c>
      <c r="G879" s="2" t="s">
        <v>267</v>
      </c>
      <c r="H879" s="2" t="s">
        <v>86</v>
      </c>
      <c r="I879" s="2" t="str">
        <f>IFERROR(__xludf.DUMMYFUNCTION("GOOGLETRANSLATE(C879,""fr"",""en"")"),"Easy, simple, quick
Professional advisor: good listening, very fast answer to questions, good advice in relation to the situation
Easy and quick file assembly")</f>
        <v>Easy, simple, quick
Professional advisor: good listening, very fast answer to questions, good advice in relation to the situation
Easy and quick file assembly</v>
      </c>
    </row>
    <row r="880" ht="15.75" customHeight="1">
      <c r="A880" s="2">
        <v>5.0</v>
      </c>
      <c r="B880" s="2" t="s">
        <v>2430</v>
      </c>
      <c r="C880" s="2" t="s">
        <v>2431</v>
      </c>
      <c r="D880" s="2" t="s">
        <v>75</v>
      </c>
      <c r="E880" s="2" t="s">
        <v>14</v>
      </c>
      <c r="F880" s="2" t="s">
        <v>15</v>
      </c>
      <c r="G880" s="2" t="s">
        <v>1388</v>
      </c>
      <c r="H880" s="2" t="s">
        <v>86</v>
      </c>
      <c r="I880" s="2" t="str">
        <f>IFERROR(__xludf.DUMMYFUNCTION("GOOGLETRANSLATE(C880,""fr"",""en"")"),"Hello I would have liked to be able to pay today because everyone can not afford it, this is a shame if it is possible I would like to be contact otherwise you are cheap")</f>
        <v>Hello I would have liked to be able to pay today because everyone can not afford it, this is a shame if it is possible I would like to be contact otherwise you are cheap</v>
      </c>
    </row>
    <row r="881" ht="15.75" customHeight="1">
      <c r="A881" s="2">
        <v>1.0</v>
      </c>
      <c r="B881" s="2" t="s">
        <v>2432</v>
      </c>
      <c r="C881" s="2" t="s">
        <v>2433</v>
      </c>
      <c r="D881" s="2" t="s">
        <v>221</v>
      </c>
      <c r="E881" s="2" t="s">
        <v>14</v>
      </c>
      <c r="F881" s="2" t="s">
        <v>15</v>
      </c>
      <c r="G881" s="2" t="s">
        <v>2434</v>
      </c>
      <c r="H881" s="2" t="s">
        <v>44</v>
      </c>
      <c r="I881" s="2" t="str">
        <f>IFERROR(__xludf.DUMMYFUNCTION("GOOGLETRANSLATE(C881,""fr"",""en"")"),"Assistance reachable after an expectation of more than 45 minutes each time, knowing that the 1st time the carrier threatened me to leave my car on the side of the road for lack of response
Several interlocutors to obtain a simple response which sends us"&amp;" each time to a dedicated correspondent but never reachable
A vehicle loan over 12 days but the expert was contacted until after 6 days and only after my recovery
.......
Management of my lamentable file")</f>
        <v>Assistance reachable after an expectation of more than 45 minutes each time, knowing that the 1st time the carrier threatened me to leave my car on the side of the road for lack of response
Several interlocutors to obtain a simple response which sends us each time to a dedicated correspondent but never reachable
A vehicle loan over 12 days but the expert was contacted until after 6 days and only after my recovery
.......
Management of my lamentable file</v>
      </c>
    </row>
    <row r="882" ht="15.75" customHeight="1">
      <c r="A882" s="2">
        <v>5.0</v>
      </c>
      <c r="B882" s="2" t="s">
        <v>2435</v>
      </c>
      <c r="C882" s="2" t="s">
        <v>2436</v>
      </c>
      <c r="D882" s="2" t="s">
        <v>37</v>
      </c>
      <c r="E882" s="2" t="s">
        <v>14</v>
      </c>
      <c r="F882" s="2" t="s">
        <v>15</v>
      </c>
      <c r="G882" s="2" t="s">
        <v>1247</v>
      </c>
      <c r="H882" s="2" t="s">
        <v>86</v>
      </c>
      <c r="I882" s="2" t="str">
        <f>IFERROR(__xludf.DUMMYFUNCTION("GOOGLETRANSLATE(C882,""fr"",""en"")"),"I am satisfied with the Olivier Insurance sales department, thanks to you I was able to gain at least 50% of saving compared to my former car insurance.
I highly recommend.
Thank you.")</f>
        <v>I am satisfied with the Olivier Insurance sales department, thanks to you I was able to gain at least 50% of saving compared to my former car insurance.
I highly recommend.
Thank you.</v>
      </c>
    </row>
    <row r="883" ht="15.75" customHeight="1">
      <c r="A883" s="2">
        <v>1.0</v>
      </c>
      <c r="B883" s="2" t="s">
        <v>2437</v>
      </c>
      <c r="C883" s="2" t="s">
        <v>2438</v>
      </c>
      <c r="D883" s="2" t="s">
        <v>55</v>
      </c>
      <c r="E883" s="2" t="s">
        <v>14</v>
      </c>
      <c r="F883" s="2" t="s">
        <v>15</v>
      </c>
      <c r="G883" s="2" t="s">
        <v>423</v>
      </c>
      <c r="H883" s="2" t="s">
        <v>341</v>
      </c>
      <c r="I883" s="2" t="str">
        <f>IFERROR(__xludf.DUMMYFUNCTION("GOOGLETRANSLATE(C883,""fr"",""en"")"),"When you have your license for 26 years, without ever any accidents but you have driven a company car for 14 years .... well the Maaf does not assure you of the Tour, not even in a driver. No, no he doesn't assure you and tell you don't hesitate to contac"&amp;"t us in 2 years .... no but it's a joke !!!")</f>
        <v>When you have your license for 26 years, without ever any accidents but you have driven a company car for 14 years .... well the Maaf does not assure you of the Tour, not even in a driver. No, no he doesn't assure you and tell you don't hesitate to contact us in 2 years .... no but it's a joke !!!</v>
      </c>
    </row>
    <row r="884" ht="15.75" customHeight="1">
      <c r="A884" s="2">
        <v>1.0</v>
      </c>
      <c r="B884" s="2" t="s">
        <v>2439</v>
      </c>
      <c r="C884" s="2" t="s">
        <v>2440</v>
      </c>
      <c r="D884" s="2" t="s">
        <v>75</v>
      </c>
      <c r="E884" s="2" t="s">
        <v>14</v>
      </c>
      <c r="F884" s="2" t="s">
        <v>15</v>
      </c>
      <c r="G884" s="2" t="s">
        <v>1745</v>
      </c>
      <c r="H884" s="2" t="s">
        <v>28</v>
      </c>
      <c r="I884" s="2" t="str">
        <f>IFERROR(__xludf.DUMMYFUNCTION("GOOGLETRANSLATE(C884,""fr"",""en"")"),"I am not happy because the prices are increasing in the place of rewarding loyalty while my penalty bonus is life!
I don't see the point of staying with this insurance!")</f>
        <v>I am not happy because the prices are increasing in the place of rewarding loyalty while my penalty bonus is life!
I don't see the point of staying with this insurance!</v>
      </c>
    </row>
    <row r="885" ht="15.75" customHeight="1">
      <c r="A885" s="2">
        <v>1.0</v>
      </c>
      <c r="B885" s="2" t="s">
        <v>2441</v>
      </c>
      <c r="C885" s="2" t="s">
        <v>2442</v>
      </c>
      <c r="D885" s="2" t="s">
        <v>2405</v>
      </c>
      <c r="E885" s="2" t="s">
        <v>21</v>
      </c>
      <c r="F885" s="2" t="s">
        <v>15</v>
      </c>
      <c r="G885" s="2" t="s">
        <v>2443</v>
      </c>
      <c r="H885" s="2" t="s">
        <v>249</v>
      </c>
      <c r="I885" s="2" t="str">
        <f>IFERROR(__xludf.DUMMYFUNCTION("GOOGLETRANSLATE(C885,""fr"",""en"")"),"This insurer, who wants to work like ""big insurers"", works like a cheap mutual. agents who never read your documents. No possibility of exchanging by email with a person who would manage your file given that everyone is touching on the file and that eve"&amp;"rything is in dealing ... Remember that if your insurer is is not able to intervene quickly to deal with a problem it can quickly worsen and not certain that the subcontracting company which manages the reimbursement of damage accepts the surplus of work "&amp;"following the negligence of Sogesur ....")</f>
        <v>This insurer, who wants to work like "big insurers", works like a cheap mutual. agents who never read your documents. No possibility of exchanging by email with a person who would manage your file given that everyone is touching on the file and that everything is in dealing ... Remember that if your insurer is is not able to intervene quickly to deal with a problem it can quickly worsen and not certain that the subcontracting company which manages the reimbursement of damage accepts the surplus of work following the negligence of Sogesur ....</v>
      </c>
    </row>
    <row r="886" ht="15.75" customHeight="1">
      <c r="A886" s="2">
        <v>1.0</v>
      </c>
      <c r="B886" s="2" t="s">
        <v>2444</v>
      </c>
      <c r="C886" s="2" t="s">
        <v>2445</v>
      </c>
      <c r="D886" s="2" t="s">
        <v>13</v>
      </c>
      <c r="E886" s="2" t="s">
        <v>21</v>
      </c>
      <c r="F886" s="2" t="s">
        <v>15</v>
      </c>
      <c r="G886" s="2" t="s">
        <v>2446</v>
      </c>
      <c r="H886" s="2" t="s">
        <v>2264</v>
      </c>
      <c r="I886" s="2" t="str">
        <f>IFERROR(__xludf.DUMMYFUNCTION("GOOGLETRANSLATE(C886,""fr"",""en"")"),"I pay my Macif insurance every month.
The Macif has never spent a money for me.
The only time I asked them for help, after being beaten up by a crazy man, they replied that it was not in my contract.
I just asked them to reimburse me my lawyers. "&amp;"Lawyer that I have pros myself not knowing that my insurer would be selected for me, and the one they would have chosen would have been paid to me by the Macif ...
Inevitably it was too late when they told me and the hearing had already passed with my "&amp;"lawyer that I chose ..
I find it very hypocritical knowing that I have legal protection in my insurance contract.
I will change insurer shortly!")</f>
        <v>I pay my Macif insurance every month.
The Macif has never spent a money for me.
The only time I asked them for help, after being beaten up by a crazy man, they replied that it was not in my contract.
I just asked them to reimburse me my lawyers. Lawyer that I have pros myself not knowing that my insurer would be selected for me, and the one they would have chosen would have been paid to me by the Macif ...
Inevitably it was too late when they told me and the hearing had already passed with my lawyer that I chose ..
I find it very hypocritical knowing that I have legal protection in my insurance contract.
I will change insurer shortly!</v>
      </c>
    </row>
    <row r="887" ht="15.75" customHeight="1">
      <c r="A887" s="2">
        <v>2.0</v>
      </c>
      <c r="B887" s="2" t="s">
        <v>2447</v>
      </c>
      <c r="C887" s="2" t="s">
        <v>2448</v>
      </c>
      <c r="D887" s="2" t="s">
        <v>830</v>
      </c>
      <c r="E887" s="2" t="s">
        <v>32</v>
      </c>
      <c r="F887" s="2" t="s">
        <v>15</v>
      </c>
      <c r="G887" s="2" t="s">
        <v>2446</v>
      </c>
      <c r="H887" s="2" t="s">
        <v>2264</v>
      </c>
      <c r="I887" s="2" t="str">
        <f>IFERROR(__xludf.DUMMYFUNCTION("GOOGLETRANSLATE(C887,""fr"",""en"")"),"No humanism in the event of health concern for the insured! They do not manage human but their bank account. No compassion, no comprehension and a deplorable, even disgusting reception with regard to emergency situation linked to a medical problem abroad")</f>
        <v>No humanism in the event of health concern for the insured! They do not manage human but their bank account. No compassion, no comprehension and a deplorable, even disgusting reception with regard to emergency situation linked to a medical problem abroad</v>
      </c>
    </row>
    <row r="888" ht="15.75" customHeight="1">
      <c r="A888" s="2">
        <v>3.0</v>
      </c>
      <c r="B888" s="2" t="s">
        <v>2449</v>
      </c>
      <c r="C888" s="2" t="s">
        <v>2450</v>
      </c>
      <c r="D888" s="2" t="s">
        <v>37</v>
      </c>
      <c r="E888" s="2" t="s">
        <v>14</v>
      </c>
      <c r="F888" s="2" t="s">
        <v>15</v>
      </c>
      <c r="G888" s="2" t="s">
        <v>344</v>
      </c>
      <c r="H888" s="2" t="s">
        <v>39</v>
      </c>
      <c r="I888" s="2" t="str">
        <f>IFERROR(__xludf.DUMMYFUNCTION("GOOGLETRANSLATE(C888,""fr"",""en"")"),"I am very satisfied to have subscribed to my contract with you very professional team and listening to the effective and fast response customer")</f>
        <v>I am very satisfied to have subscribed to my contract with you very professional team and listening to the effective and fast response customer</v>
      </c>
    </row>
    <row r="889" ht="15.75" customHeight="1">
      <c r="A889" s="2">
        <v>2.0</v>
      </c>
      <c r="B889" s="2" t="s">
        <v>2451</v>
      </c>
      <c r="C889" s="2" t="s">
        <v>2452</v>
      </c>
      <c r="D889" s="2" t="s">
        <v>846</v>
      </c>
      <c r="E889" s="2" t="s">
        <v>153</v>
      </c>
      <c r="F889" s="2" t="s">
        <v>15</v>
      </c>
      <c r="G889" s="2" t="s">
        <v>2453</v>
      </c>
      <c r="H889" s="2" t="s">
        <v>402</v>
      </c>
      <c r="I889" s="2" t="str">
        <f>IFERROR(__xludf.DUMMYFUNCTION("GOOGLETRANSLATE(C889,""fr"",""en"")"),"Nullissme! flee !")</f>
        <v>Nullissme! flee !</v>
      </c>
    </row>
    <row r="890" ht="15.75" customHeight="1">
      <c r="A890" s="2">
        <v>5.0</v>
      </c>
      <c r="B890" s="2" t="s">
        <v>2454</v>
      </c>
      <c r="C890" s="2" t="s">
        <v>2455</v>
      </c>
      <c r="D890" s="2" t="s">
        <v>75</v>
      </c>
      <c r="E890" s="2" t="s">
        <v>14</v>
      </c>
      <c r="F890" s="2" t="s">
        <v>15</v>
      </c>
      <c r="G890" s="2" t="s">
        <v>434</v>
      </c>
      <c r="H890" s="2" t="s">
        <v>39</v>
      </c>
      <c r="I890" s="2" t="str">
        <f>IFERROR(__xludf.DUMMYFUNCTION("GOOGLETRANSLATE(C890,""fr"",""en"")"),"I am very satisfied on the guarantees the speed and the prices a listening advisor I have friends who have advised me to subscribe I listen to them")</f>
        <v>I am very satisfied on the guarantees the speed and the prices a listening advisor I have friends who have advised me to subscribe I listen to them</v>
      </c>
    </row>
    <row r="891" ht="15.75" customHeight="1">
      <c r="A891" s="2">
        <v>2.0</v>
      </c>
      <c r="B891" s="2" t="s">
        <v>2456</v>
      </c>
      <c r="C891" s="2" t="s">
        <v>2457</v>
      </c>
      <c r="D891" s="2" t="s">
        <v>64</v>
      </c>
      <c r="E891" s="2" t="s">
        <v>65</v>
      </c>
      <c r="F891" s="2" t="s">
        <v>15</v>
      </c>
      <c r="G891" s="2" t="s">
        <v>1272</v>
      </c>
      <c r="H891" s="2" t="s">
        <v>67</v>
      </c>
      <c r="I891" s="2" t="str">
        <f>IFERROR(__xludf.DUMMYFUNCTION("GOOGLETRANSLATE(C891,""fr"",""en"")"),"For months I have been trying to settle a problem but it is impossible to contact them it never responds to email, and my account has been blocked for 15 days
")</f>
        <v>For months I have been trying to settle a problem but it is impossible to contact them it never responds to email, and my account has been blocked for 15 days
</v>
      </c>
    </row>
    <row r="892" ht="15.75" customHeight="1">
      <c r="A892" s="2">
        <v>4.0</v>
      </c>
      <c r="B892" s="2" t="s">
        <v>2458</v>
      </c>
      <c r="C892" s="2" t="s">
        <v>2459</v>
      </c>
      <c r="D892" s="2" t="s">
        <v>75</v>
      </c>
      <c r="E892" s="2" t="s">
        <v>14</v>
      </c>
      <c r="F892" s="2" t="s">
        <v>15</v>
      </c>
      <c r="G892" s="2" t="s">
        <v>1076</v>
      </c>
      <c r="H892" s="2" t="s">
        <v>86</v>
      </c>
      <c r="I892" s="2" t="str">
        <f>IFERROR(__xludf.DUMMYFUNCTION("GOOGLETRANSLATE(C892,""fr"",""en"")"),"I am satisfied with the services and the price, I will advise my friends from Si Asturias to the PRESS OF DIRET ASSURANCES.CORDIALLY Mr. Mabrouk. Nb nn")</f>
        <v>I am satisfied with the services and the price, I will advise my friends from Si Asturias to the PRESS OF DIRET ASSURANCES.CORDIALLY Mr. Mabrouk. Nb nn</v>
      </c>
    </row>
    <row r="893" ht="15.75" customHeight="1">
      <c r="A893" s="2">
        <v>2.0</v>
      </c>
      <c r="B893" s="2" t="s">
        <v>2460</v>
      </c>
      <c r="C893" s="2" t="s">
        <v>2461</v>
      </c>
      <c r="D893" s="2" t="s">
        <v>26</v>
      </c>
      <c r="E893" s="2" t="s">
        <v>14</v>
      </c>
      <c r="F893" s="2" t="s">
        <v>15</v>
      </c>
      <c r="G893" s="2" t="s">
        <v>2462</v>
      </c>
      <c r="H893" s="2" t="s">
        <v>142</v>
      </c>
      <c r="I893" s="2" t="str">
        <f>IFERROR(__xludf.DUMMYFUNCTION("GOOGLETRANSLATE(C893,""fr"",""en"")"),"After a car accident on May 22, 2018 I am still not reimbursed costs incurred by myself my vehicle is still not repaired. The amount of costs incurred is 4,000 euros I am not the bank of AXA and my broker is unable to solve my problem")</f>
        <v>After a car accident on May 22, 2018 I am still not reimbursed costs incurred by myself my vehicle is still not repaired. The amount of costs incurred is 4,000 euros I am not the bank of AXA and my broker is unable to solve my problem</v>
      </c>
    </row>
    <row r="894" ht="15.75" customHeight="1">
      <c r="A894" s="2">
        <v>1.0</v>
      </c>
      <c r="B894" s="2" t="s">
        <v>2463</v>
      </c>
      <c r="C894" s="2" t="s">
        <v>2464</v>
      </c>
      <c r="D894" s="2" t="s">
        <v>75</v>
      </c>
      <c r="E894" s="2" t="s">
        <v>21</v>
      </c>
      <c r="F894" s="2" t="s">
        <v>15</v>
      </c>
      <c r="G894" s="2" t="s">
        <v>2465</v>
      </c>
      <c r="H894" s="2" t="s">
        <v>286</v>
      </c>
      <c r="I894" s="2" t="str">
        <f>IFERROR(__xludf.DUMMYFUNCTION("GOOGLETRANSLATE(C894,""fr"",""en"")"),"Especially flee this insurance !!!! First of all, everything is going well until the day you want to terminate your contract. From that moment they make you live a hell: several refusals of termination by leaving the phony pretexts, a customer service at "&amp;"the limit to insult you on the phone !!
We dream completely !!")</f>
        <v>Especially flee this insurance !!!! First of all, everything is going well until the day you want to terminate your contract. From that moment they make you live a hell: several refusals of termination by leaving the phony pretexts, a customer service at the limit to insult you on the phone !!
We dream completely !!</v>
      </c>
    </row>
    <row r="895" ht="15.75" customHeight="1">
      <c r="A895" s="2">
        <v>4.0</v>
      </c>
      <c r="B895" s="2" t="s">
        <v>2466</v>
      </c>
      <c r="C895" s="2" t="s">
        <v>2467</v>
      </c>
      <c r="D895" s="2" t="s">
        <v>75</v>
      </c>
      <c r="E895" s="2" t="s">
        <v>14</v>
      </c>
      <c r="F895" s="2" t="s">
        <v>15</v>
      </c>
      <c r="G895" s="2" t="s">
        <v>725</v>
      </c>
      <c r="H895" s="2" t="s">
        <v>86</v>
      </c>
      <c r="I895" s="2" t="str">
        <f>IFERROR(__xludf.DUMMYFUNCTION("GOOGLETRANSLATE(C895,""fr"",""en"")"),"I am satisfied with the insurance service ...
The prices suits me completely ...
Simple and practical for a young driver ...
The platform is quite intuitive for the realization of the quote ...")</f>
        <v>I am satisfied with the insurance service ...
The prices suits me completely ...
Simple and practical for a young driver ...
The platform is quite intuitive for the realization of the quote ...</v>
      </c>
    </row>
    <row r="896" ht="15.75" customHeight="1">
      <c r="A896" s="2">
        <v>3.0</v>
      </c>
      <c r="B896" s="2" t="s">
        <v>2468</v>
      </c>
      <c r="C896" s="2" t="s">
        <v>2469</v>
      </c>
      <c r="D896" s="2" t="s">
        <v>173</v>
      </c>
      <c r="E896" s="2" t="s">
        <v>32</v>
      </c>
      <c r="F896" s="2" t="s">
        <v>15</v>
      </c>
      <c r="G896" s="2" t="s">
        <v>564</v>
      </c>
      <c r="H896" s="2" t="s">
        <v>565</v>
      </c>
      <c r="I896" s="2" t="str">
        <f>IFERROR(__xludf.DUMMYFUNCTION("GOOGLETRANSLATE(C896,""fr"",""en"")"),"very practical everything is supported ............................................... .................................................. .................................................. ...................................")</f>
        <v>very practical everything is supported ............................................... .................................................. .................................................. ...................................</v>
      </c>
    </row>
    <row r="897" ht="15.75" customHeight="1">
      <c r="A897" s="2">
        <v>2.0</v>
      </c>
      <c r="B897" s="2" t="s">
        <v>2470</v>
      </c>
      <c r="C897" s="2" t="s">
        <v>2471</v>
      </c>
      <c r="D897" s="2" t="s">
        <v>75</v>
      </c>
      <c r="E897" s="2" t="s">
        <v>14</v>
      </c>
      <c r="F897" s="2" t="s">
        <v>15</v>
      </c>
      <c r="G897" s="2" t="s">
        <v>76</v>
      </c>
      <c r="H897" s="2" t="s">
        <v>77</v>
      </c>
      <c r="I897" s="2" t="str">
        <f>IFERROR(__xludf.DUMMYFUNCTION("GOOGLETRANSLATE(C897,""fr"",""en"")"),"Hello I think I will not reassure myself dear you, I have always been faithful to your insurance for many years.
For 2 years I have paid full pot, competition is tough is a fact, my I found much cheaper on the market.
I would so much like to stay with y"&amp;"ou but it is up to you to see with customer service I pay tros more than 2 years old and in addition I am more than 2 years old to 50% of bonuses -malus please contact me as soon as possible : 0761531355 In this wait please transmit my information stateme"&amp;"nt to my mailbox which is saintjoseph@sfr.fr good reception while waiting to have you online, please believe you to believe my most respectful greetings: Mr. Antoine Bodies")</f>
        <v>Hello I think I will not reassure myself dear you, I have always been faithful to your insurance for many years.
For 2 years I have paid full pot, competition is tough is a fact, my I found much cheaper on the market.
I would so much like to stay with you but it is up to you to see with customer service I pay tros more than 2 years old and in addition I am more than 2 years old to 50% of bonuses -malus please contact me as soon as possible : 0761531355 In this wait please transmit my information statement to my mailbox which is saintjoseph@sfr.fr good reception while waiting to have you online, please believe you to believe my most respectful greetings: Mr. Antoine Bodies</v>
      </c>
    </row>
    <row r="898" ht="15.75" customHeight="1">
      <c r="A898" s="2">
        <v>1.0</v>
      </c>
      <c r="B898" s="2" t="s">
        <v>2472</v>
      </c>
      <c r="C898" s="2" t="s">
        <v>2473</v>
      </c>
      <c r="D898" s="2" t="s">
        <v>221</v>
      </c>
      <c r="E898" s="2" t="s">
        <v>21</v>
      </c>
      <c r="F898" s="2" t="s">
        <v>15</v>
      </c>
      <c r="G898" s="2" t="s">
        <v>2474</v>
      </c>
      <c r="H898" s="2" t="s">
        <v>201</v>
      </c>
      <c r="I898" s="2" t="str">
        <f>IFERROR(__xludf.DUMMYFUNCTION("GOOGLETRANSLATE(C898,""fr"",""en"")"),"Lamentable.
House that cracks, a wall currently threatens to collapse common classified as a drought natural disaster, no care. Lamentable.
Mediator and consumer associations will be informed.
")</f>
        <v>Lamentable.
House that cracks, a wall currently threatens to collapse common classified as a drought natural disaster, no care. Lamentable.
Mediator and consumer associations will be informed.
</v>
      </c>
    </row>
    <row r="899" ht="15.75" customHeight="1">
      <c r="A899" s="2">
        <v>5.0</v>
      </c>
      <c r="B899" s="2" t="s">
        <v>2475</v>
      </c>
      <c r="C899" s="2" t="s">
        <v>2476</v>
      </c>
      <c r="D899" s="2" t="s">
        <v>37</v>
      </c>
      <c r="E899" s="2" t="s">
        <v>14</v>
      </c>
      <c r="F899" s="2" t="s">
        <v>15</v>
      </c>
      <c r="G899" s="2" t="s">
        <v>2477</v>
      </c>
      <c r="H899" s="2" t="s">
        <v>86</v>
      </c>
      <c r="I899" s="2" t="str">
        <f>IFERROR(__xludf.DUMMYFUNCTION("GOOGLETRANSLATE(C899,""fr"",""en"")"),"very pro and very pleasant salesperson
Clear and precise answer, listening and patient.
I hope not to regret the choice of this insurance but for the moment everything is great!")</f>
        <v>very pro and very pleasant salesperson
Clear and precise answer, listening and patient.
I hope not to regret the choice of this insurance but for the moment everything is great!</v>
      </c>
    </row>
    <row r="900" ht="15.75" customHeight="1">
      <c r="A900" s="2">
        <v>4.0</v>
      </c>
      <c r="B900" s="2" t="s">
        <v>2478</v>
      </c>
      <c r="C900" s="2" t="s">
        <v>2479</v>
      </c>
      <c r="D900" s="2" t="s">
        <v>75</v>
      </c>
      <c r="E900" s="2" t="s">
        <v>14</v>
      </c>
      <c r="F900" s="2" t="s">
        <v>15</v>
      </c>
      <c r="G900" s="2" t="s">
        <v>540</v>
      </c>
      <c r="H900" s="2" t="s">
        <v>193</v>
      </c>
      <c r="I900" s="2" t="str">
        <f>IFERROR(__xludf.DUMMYFUNCTION("GOOGLETRANSLATE(C900,""fr"",""en"")"),"Very satisfied with the telephone reception and the availability of the young woman I had at such.
Also satisfied with the proposal and the prices that have been offered to me")</f>
        <v>Very satisfied with the telephone reception and the availability of the young woman I had at such.
Also satisfied with the proposal and the prices that have been offered to me</v>
      </c>
    </row>
    <row r="901" ht="15.75" customHeight="1">
      <c r="A901" s="2">
        <v>4.0</v>
      </c>
      <c r="B901" s="2" t="s">
        <v>2480</v>
      </c>
      <c r="C901" s="2" t="s">
        <v>2481</v>
      </c>
      <c r="D901" s="2" t="s">
        <v>75</v>
      </c>
      <c r="E901" s="2" t="s">
        <v>14</v>
      </c>
      <c r="F901" s="2" t="s">
        <v>15</v>
      </c>
      <c r="G901" s="2" t="s">
        <v>1252</v>
      </c>
      <c r="H901" s="2" t="s">
        <v>77</v>
      </c>
      <c r="I901" s="2" t="str">
        <f>IFERROR(__xludf.DUMMYFUNCTION("GOOGLETRANSLATE(C901,""fr"",""en"")"),"Good value for money, impossible for an agency to line up with them. The naked and modular contract is a good idea. I hope to be quickly taken care of if necessary.")</f>
        <v>Good value for money, impossible for an agency to line up with them. The naked and modular contract is a good idea. I hope to be quickly taken care of if necessary.</v>
      </c>
    </row>
    <row r="902" ht="15.75" customHeight="1">
      <c r="A902" s="2">
        <v>2.0</v>
      </c>
      <c r="B902" s="2" t="s">
        <v>2482</v>
      </c>
      <c r="C902" s="2" t="s">
        <v>2483</v>
      </c>
      <c r="D902" s="2" t="s">
        <v>80</v>
      </c>
      <c r="E902" s="2" t="s">
        <v>32</v>
      </c>
      <c r="F902" s="2" t="s">
        <v>15</v>
      </c>
      <c r="G902" s="2" t="s">
        <v>132</v>
      </c>
      <c r="H902" s="2" t="s">
        <v>132</v>
      </c>
      <c r="I902" s="2" t="str">
        <f>IFERROR(__xludf.DUMMYFUNCTION("GOOGLETRANSLATE(C902,""fr"",""en"")"),"2 years that I have this mutual work, completely useless mutual, never had a refund, oblige to take a contract in another insurance")</f>
        <v>2 years that I have this mutual work, completely useless mutual, never had a refund, oblige to take a contract in another insurance</v>
      </c>
    </row>
    <row r="903" ht="15.75" customHeight="1">
      <c r="A903" s="2">
        <v>2.0</v>
      </c>
      <c r="B903" s="2" t="s">
        <v>2484</v>
      </c>
      <c r="C903" s="2" t="s">
        <v>2485</v>
      </c>
      <c r="D903" s="2" t="s">
        <v>2486</v>
      </c>
      <c r="E903" s="2" t="s">
        <v>153</v>
      </c>
      <c r="F903" s="2" t="s">
        <v>15</v>
      </c>
      <c r="G903" s="2" t="s">
        <v>2487</v>
      </c>
      <c r="H903" s="2" t="s">
        <v>206</v>
      </c>
      <c r="I903" s="2" t="str">
        <f>IFERROR(__xludf.DUMMYFUNCTION("GOOGLETRANSLATE(C903,""fr"",""en"")"),"Hello,
I do not recommend this borrower insurance!
Following a mortgage renegotiation, I have been waiting for 1 refund since 08/17/17!
Thank you in advance for reimbursement of these 2 sums, within 10 working days which follow the reception of this.
"&amp;"Cordially
C. Costa
")</f>
        <v>Hello,
I do not recommend this borrower insurance!
Following a mortgage renegotiation, I have been waiting for 1 refund since 08/17/17!
Thank you in advance for reimbursement of these 2 sums, within 10 working days which follow the reception of this.
Cordially
C. Costa
</v>
      </c>
    </row>
    <row r="904" ht="15.75" customHeight="1">
      <c r="A904" s="2">
        <v>1.0</v>
      </c>
      <c r="B904" s="2" t="s">
        <v>2488</v>
      </c>
      <c r="C904" s="2" t="s">
        <v>2489</v>
      </c>
      <c r="D904" s="2" t="s">
        <v>75</v>
      </c>
      <c r="E904" s="2" t="s">
        <v>14</v>
      </c>
      <c r="F904" s="2" t="s">
        <v>15</v>
      </c>
      <c r="G904" s="2" t="s">
        <v>1504</v>
      </c>
      <c r="H904" s="2" t="s">
        <v>77</v>
      </c>
      <c r="I904" s="2" t="str">
        <f>IFERROR(__xludf.DUMMYFUNCTION("GOOGLETRANSLATE(C904,""fr"",""en"")"),"no . People who meet standards do not understand much.
Malus on penalties when I did not cause any accident.
very disappointed.")</f>
        <v>no . People who meet standards do not understand much.
Malus on penalties when I did not cause any accident.
very disappointed.</v>
      </c>
    </row>
    <row r="905" ht="15.75" customHeight="1">
      <c r="A905" s="2">
        <v>1.0</v>
      </c>
      <c r="B905" s="2" t="s">
        <v>2490</v>
      </c>
      <c r="C905" s="2" t="s">
        <v>2491</v>
      </c>
      <c r="D905" s="2" t="s">
        <v>37</v>
      </c>
      <c r="E905" s="2" t="s">
        <v>14</v>
      </c>
      <c r="F905" s="2" t="s">
        <v>15</v>
      </c>
      <c r="G905" s="2" t="s">
        <v>1776</v>
      </c>
      <c r="H905" s="2" t="s">
        <v>61</v>
      </c>
      <c r="I905" s="2" t="str">
        <f>IFERROR(__xludf.DUMMYFUNCTION("GOOGLETRANSLATE(C905,""fr"",""en"")")," The Olivier Insurance
 First year ultra competitive price
 Second year explosion of the price! + 150 euros.
 Automatic levy requires in the career contract if you pay the first time in full, the amount will be debit even if terminating your contract,
"&amp;"
 Then impossible to be heard despite xxxxxxxx emails and adjust what you need
 Then you are reimbursed within 30 days according to them.
Be careful to terminate several contracts they are mixed at the risk of not ending up with an annual renewal of the"&amp;" other contract if it is offset.
 TO FLEE
Ultra competitive rates for the first Anne to better knock the second
 In addition the mail post 20 days before the contract renewal was later due to the lack of routing and covid19
 It's too bad for you ."&amp;"...
 No possibility of understanding remains in the position and you are free but prisoner of their conditions!
 ")</f>
        <v> The Olivier Insurance
 First year ultra competitive price
 Second year explosion of the price! + 150 euros.
 Automatic levy requires in the career contract if you pay the first time in full, the amount will be debit even if terminating your contract,
 Then impossible to be heard despite xxxxxxxx emails and adjust what you need
 Then you are reimbursed within 30 days according to them.
Be careful to terminate several contracts they are mixed at the risk of not ending up with an annual renewal of the other contract if it is offset.
 TO FLEE
Ultra competitive rates for the first Anne to better knock the second
 In addition the mail post 20 days before the contract renewal was later due to the lack of routing and covid19
 It's too bad for you ....
 No possibility of understanding remains in the position and you are free but prisoner of their conditions!
 </v>
      </c>
    </row>
    <row r="906" ht="15.75" customHeight="1">
      <c r="A906" s="2">
        <v>1.0</v>
      </c>
      <c r="B906" s="2" t="s">
        <v>2492</v>
      </c>
      <c r="C906" s="2" t="s">
        <v>2493</v>
      </c>
      <c r="D906" s="2" t="s">
        <v>26</v>
      </c>
      <c r="E906" s="2" t="s">
        <v>21</v>
      </c>
      <c r="F906" s="2" t="s">
        <v>15</v>
      </c>
      <c r="G906" s="2" t="s">
        <v>2494</v>
      </c>
      <c r="H906" s="2" t="s">
        <v>52</v>
      </c>
      <c r="I906" s="2" t="str">
        <f>IFERROR(__xludf.DUMMYFUNCTION("GOOGLETRANSLATE(C906,""fr"",""en"")"),"Very expensive insurance that increases sharply each year for ultimately not much.
I wanted to wait for the storage to leave but actually no
To avoid absolutely")</f>
        <v>Very expensive insurance that increases sharply each year for ultimately not much.
I wanted to wait for the storage to leave but actually no
To avoid absolutely</v>
      </c>
    </row>
    <row r="907" ht="15.75" customHeight="1">
      <c r="A907" s="2">
        <v>3.0</v>
      </c>
      <c r="B907" s="2" t="s">
        <v>2495</v>
      </c>
      <c r="C907" s="2" t="s">
        <v>2496</v>
      </c>
      <c r="D907" s="2" t="s">
        <v>830</v>
      </c>
      <c r="E907" s="2" t="s">
        <v>153</v>
      </c>
      <c r="F907" s="2" t="s">
        <v>15</v>
      </c>
      <c r="G907" s="2" t="s">
        <v>2497</v>
      </c>
      <c r="H907" s="2" t="s">
        <v>72</v>
      </c>
      <c r="I907" s="2" t="str">
        <f>IFERROR(__xludf.DUMMYFUNCTION("GOOGLETRANSLATE(C907,""fr"",""en"")"),"Insurance to avoid, I was stopped for 7 months, after the 90 days I wanted to set up ITT insurance, when I sent the papers that asked me, each time he asks me Documents They have claimed documents until 2013 Health service report etc etc ... He always see"&amp;"ks something for the file to be always incomplete for us to abandon by despair !! It's shameful to have insurance like her !!!")</f>
        <v>Insurance to avoid, I was stopped for 7 months, after the 90 days I wanted to set up ITT insurance, when I sent the papers that asked me, each time he asks me Documents They have claimed documents until 2013 Health service report etc etc ... He always seeks something for the file to be always incomplete for us to abandon by despair !! It's shameful to have insurance like her !!!</v>
      </c>
    </row>
    <row r="908" ht="15.75" customHeight="1">
      <c r="A908" s="2">
        <v>4.0</v>
      </c>
      <c r="B908" s="2" t="s">
        <v>2498</v>
      </c>
      <c r="C908" s="2" t="s">
        <v>2499</v>
      </c>
      <c r="D908" s="2" t="s">
        <v>37</v>
      </c>
      <c r="E908" s="2" t="s">
        <v>14</v>
      </c>
      <c r="F908" s="2" t="s">
        <v>15</v>
      </c>
      <c r="G908" s="2" t="s">
        <v>363</v>
      </c>
      <c r="H908" s="2" t="s">
        <v>86</v>
      </c>
      <c r="I908" s="2" t="str">
        <f>IFERROR(__xludf.DUMMYFUNCTION("GOOGLETRANSLATE(C908,""fr"",""en"")"),"I am satisfied with the service of the Olivier Insurance, however, small disappointment concerning the billed case costs while we are already customers.")</f>
        <v>I am satisfied with the service of the Olivier Insurance, however, small disappointment concerning the billed case costs while we are already customers.</v>
      </c>
    </row>
    <row r="909" ht="15.75" customHeight="1">
      <c r="A909" s="2">
        <v>4.0</v>
      </c>
      <c r="B909" s="2" t="s">
        <v>2500</v>
      </c>
      <c r="C909" s="2" t="s">
        <v>2501</v>
      </c>
      <c r="D909" s="2" t="s">
        <v>75</v>
      </c>
      <c r="E909" s="2" t="s">
        <v>14</v>
      </c>
      <c r="F909" s="2" t="s">
        <v>15</v>
      </c>
      <c r="G909" s="2" t="s">
        <v>2205</v>
      </c>
      <c r="H909" s="2" t="s">
        <v>193</v>
      </c>
      <c r="I909" s="2" t="str">
        <f>IFERROR(__xludf.DUMMYFUNCTION("GOOGLETRANSLATE(C909,""fr"",""en"")"),"Fast, clear, efficient; However, hoping to do not need their services, the ideal being to never know claims, whatever they are.")</f>
        <v>Fast, clear, efficient; However, hoping to do not need their services, the ideal being to never know claims, whatever they are.</v>
      </c>
    </row>
    <row r="910" ht="15.75" customHeight="1">
      <c r="A910" s="2">
        <v>5.0</v>
      </c>
      <c r="B910" s="2" t="s">
        <v>2502</v>
      </c>
      <c r="C910" s="2" t="s">
        <v>2503</v>
      </c>
      <c r="D910" s="2" t="s">
        <v>70</v>
      </c>
      <c r="E910" s="2" t="s">
        <v>14</v>
      </c>
      <c r="F910" s="2" t="s">
        <v>15</v>
      </c>
      <c r="G910" s="2" t="s">
        <v>236</v>
      </c>
      <c r="H910" s="2" t="s">
        <v>28</v>
      </c>
      <c r="I910" s="2" t="str">
        <f>IFERROR(__xludf.DUMMYFUNCTION("GOOGLETRANSLATE(C910,""fr"",""en"")"),"yes very satisfactory I am containing the whole group
 Very satisfied all my insurance I put them in mainland France when I lived in Palaiseau.")</f>
        <v>yes very satisfactory I am containing the whole group
 Very satisfied all my insurance I put them in mainland France when I lived in Palaiseau.</v>
      </c>
    </row>
    <row r="911" ht="15.75" customHeight="1">
      <c r="A911" s="2">
        <v>1.0</v>
      </c>
      <c r="B911" s="2" t="s">
        <v>2504</v>
      </c>
      <c r="C911" s="2" t="s">
        <v>2505</v>
      </c>
      <c r="D911" s="2" t="s">
        <v>324</v>
      </c>
      <c r="E911" s="2" t="s">
        <v>81</v>
      </c>
      <c r="F911" s="2" t="s">
        <v>15</v>
      </c>
      <c r="G911" s="2" t="s">
        <v>540</v>
      </c>
      <c r="H911" s="2" t="s">
        <v>193</v>
      </c>
      <c r="I911" s="2" t="str">
        <f>IFERROR(__xludf.DUMMYFUNCTION("GOOGLETRANSLATE(C911,""fr"",""en"")"),"A SHAME ! Customer Service At the limit of kind, multiple choice disc to rehearsal, detention of refiring, very badly damn site, to flee")</f>
        <v>A SHAME ! Customer Service At the limit of kind, multiple choice disc to rehearsal, detention of refiring, very badly damn site, to flee</v>
      </c>
    </row>
    <row r="912" ht="15.75" customHeight="1">
      <c r="A912" s="2">
        <v>2.0</v>
      </c>
      <c r="B912" s="2" t="s">
        <v>2506</v>
      </c>
      <c r="C912" s="2" t="s">
        <v>2507</v>
      </c>
      <c r="D912" s="2" t="s">
        <v>692</v>
      </c>
      <c r="E912" s="2" t="s">
        <v>14</v>
      </c>
      <c r="F912" s="2" t="s">
        <v>15</v>
      </c>
      <c r="G912" s="2" t="s">
        <v>2508</v>
      </c>
      <c r="H912" s="2" t="s">
        <v>331</v>
      </c>
      <c r="I912" s="2" t="str">
        <f>IFERROR(__xludf.DUMMYFUNCTION("GOOGLETRANSLATE(C912,""fr"",""en"")"),"I have been insured for over 35 years, by unlucky we had three sinister answers in 2019, and a sinister responseable in 2020, causing material degates of the crumpled wing type on parking lots. In this case we go into the category of risk drivers and the "&amp;"Matmut terminates the contract, the Matmut offers me a replacement contract in its subsidiary Matmut &amp; Co (Auto 3D Initial &amp; Co), this contract is more expensive which can be Accepted with the penalty, but what is not normal, the contract is less advantag"&amp;"eous, the deductibles are higher in all areas, it does not offer breakdown assistance 0 km. The driver's warranty is degraded ...
I think I'm going to go and see all my insurance")</f>
        <v>I have been insured for over 35 years, by unlucky we had three sinister answers in 2019, and a sinister responseable in 2020, causing material degates of the crumpled wing type on parking lots. In this case we go into the category of risk drivers and the Matmut terminates the contract, the Matmut offers me a replacement contract in its subsidiary Matmut &amp; Co (Auto 3D Initial &amp; Co), this contract is more expensive which can be Accepted with the penalty, but what is not normal, the contract is less advantageous, the deductibles are higher in all areas, it does not offer breakdown assistance 0 km. The driver's warranty is degraded ...
I think I'm going to go and see all my insurance</v>
      </c>
    </row>
    <row r="913" ht="15.75" customHeight="1">
      <c r="A913" s="2">
        <v>5.0</v>
      </c>
      <c r="B913" s="2" t="s">
        <v>2509</v>
      </c>
      <c r="C913" s="2" t="s">
        <v>2510</v>
      </c>
      <c r="D913" s="2" t="s">
        <v>75</v>
      </c>
      <c r="E913" s="2" t="s">
        <v>14</v>
      </c>
      <c r="F913" s="2" t="s">
        <v>15</v>
      </c>
      <c r="G913" s="2" t="s">
        <v>1798</v>
      </c>
      <c r="H913" s="2" t="s">
        <v>107</v>
      </c>
      <c r="I913" s="2" t="str">
        <f>IFERROR(__xludf.DUMMYFUNCTION("GOOGLETRANSLATE(C913,""fr"",""en"")"),"Easy use of the site. Interesting value for money. Fast and efficient service. Ideal young driver. I recommend. Thank you for the sponsorship")</f>
        <v>Easy use of the site. Interesting value for money. Fast and efficient service. Ideal young driver. I recommend. Thank you for the sponsorship</v>
      </c>
    </row>
    <row r="914" ht="15.75" customHeight="1">
      <c r="A914" s="2">
        <v>5.0</v>
      </c>
      <c r="B914" s="2" t="s">
        <v>2511</v>
      </c>
      <c r="C914" s="2" t="s">
        <v>2512</v>
      </c>
      <c r="D914" s="2" t="s">
        <v>158</v>
      </c>
      <c r="E914" s="2" t="s">
        <v>14</v>
      </c>
      <c r="F914" s="2" t="s">
        <v>15</v>
      </c>
      <c r="G914" s="2" t="s">
        <v>2494</v>
      </c>
      <c r="H914" s="2" t="s">
        <v>52</v>
      </c>
      <c r="I914" s="2" t="str">
        <f>IFERROR(__xludf.DUMMYFUNCTION("GOOGLETRANSLATE(C914,""fr"",""en"")"),"I had an accident in Algeria on Wednesday 28.12,2016 around 2 p.m. and I had to take over the boat from Oran on Thursday 29.12 at 12 noon at 500 km from my home in Algeria. As soon as I was called the MAIF in France barely 15 minutes I had the representat"&amp;"ive of Maif in Algeria who loaded a carrier on the spot to take me and my car to the port of Oran. Not only could I take the boat the next day, but the MAIF was responsible for receiving my vehicle in Marseille and made a car available to me to return to "&amp;"Dijon. I would like to thank the MAIF for the seriousness and the attention it brought to this disaster. The speed shown by MAIF surprised all the people I told this mishap. I would like to thank all of the people who contributed to the follow -up of this"&amp;" file until this evening as well as all the staff of the Maif group.")</f>
        <v>I had an accident in Algeria on Wednesday 28.12,2016 around 2 p.m. and I had to take over the boat from Oran on Thursday 29.12 at 12 noon at 500 km from my home in Algeria. As soon as I was called the MAIF in France barely 15 minutes I had the representative of Maif in Algeria who loaded a carrier on the spot to take me and my car to the port of Oran. Not only could I take the boat the next day, but the MAIF was responsible for receiving my vehicle in Marseille and made a car available to me to return to Dijon. I would like to thank the MAIF for the seriousness and the attention it brought to this disaster. The speed shown by MAIF surprised all the people I told this mishap. I would like to thank all of the people who contributed to the follow -up of this file until this evening as well as all the staff of the Maif group.</v>
      </c>
    </row>
    <row r="915" ht="15.75" customHeight="1">
      <c r="A915" s="2">
        <v>2.0</v>
      </c>
      <c r="B915" s="2" t="s">
        <v>2513</v>
      </c>
      <c r="C915" s="2" t="s">
        <v>2514</v>
      </c>
      <c r="D915" s="2" t="s">
        <v>487</v>
      </c>
      <c r="E915" s="2" t="s">
        <v>81</v>
      </c>
      <c r="F915" s="2" t="s">
        <v>15</v>
      </c>
      <c r="G915" s="2" t="s">
        <v>2515</v>
      </c>
      <c r="H915" s="2" t="s">
        <v>275</v>
      </c>
      <c r="I915" s="2" t="str">
        <f>IFERROR(__xludf.DUMMYFUNCTION("GOOGLETRANSLATE(C915,""fr"",""en"")"),"Lamentable. Having subscribed a ""hospitalization"" warranty for 10 years, I was hospitalized 2 times at the end of 2019 and early 2020 for some JOUS. I asked to benefit from daily compensation. At first, I was replied that I was not insured for the excee"&amp;"ding of fees when it was not a question since I simply asked to benefit from the daily allowance coessing my hospitalization. Then I was invoked a computer problem for me. Three months later I have still received nothing!")</f>
        <v>Lamentable. Having subscribed a "hospitalization" warranty for 10 years, I was hospitalized 2 times at the end of 2019 and early 2020 for some JOUS. I asked to benefit from daily compensation. At first, I was replied that I was not insured for the exceeding of fees when it was not a question since I simply asked to benefit from the daily allowance coessing my hospitalization. Then I was invoked a computer problem for me. Three months later I have still received nothing!</v>
      </c>
    </row>
    <row r="916" ht="15.75" customHeight="1">
      <c r="A916" s="2">
        <v>4.0</v>
      </c>
      <c r="B916" s="2" t="s">
        <v>2516</v>
      </c>
      <c r="C916" s="2" t="s">
        <v>2517</v>
      </c>
      <c r="D916" s="2" t="s">
        <v>37</v>
      </c>
      <c r="E916" s="2" t="s">
        <v>14</v>
      </c>
      <c r="F916" s="2" t="s">
        <v>15</v>
      </c>
      <c r="G916" s="2" t="s">
        <v>310</v>
      </c>
      <c r="H916" s="2" t="s">
        <v>111</v>
      </c>
      <c r="I916" s="2" t="str">
        <f>IFERROR(__xludf.DUMMYFUNCTION("GOOGLETRANSLATE(C916,""fr"",""en"")"),"I am satisfied listening advisers and helps a lot, being a first insurance he knew how to draw me so that I understand everything, I recommend")</f>
        <v>I am satisfied listening advisers and helps a lot, being a first insurance he knew how to draw me so that I understand everything, I recommend</v>
      </c>
    </row>
    <row r="917" ht="15.75" customHeight="1">
      <c r="A917" s="2">
        <v>5.0</v>
      </c>
      <c r="B917" s="2" t="s">
        <v>2518</v>
      </c>
      <c r="C917" s="2" t="s">
        <v>2519</v>
      </c>
      <c r="D917" s="2" t="s">
        <v>75</v>
      </c>
      <c r="E917" s="2" t="s">
        <v>14</v>
      </c>
      <c r="F917" s="2" t="s">
        <v>15</v>
      </c>
      <c r="G917" s="2" t="s">
        <v>1388</v>
      </c>
      <c r="H917" s="2" t="s">
        <v>86</v>
      </c>
      <c r="I917" s="2" t="str">
        <f>IFERROR(__xludf.DUMMYFUNCTION("GOOGLETRANSLATE(C917,""fr"",""en"")"),"I made several quotes and you have come out of the lot and at home I am satisfied I am not found better elsewhere, level price, you are much cheaper")</f>
        <v>I made several quotes and you have come out of the lot and at home I am satisfied I am not found better elsewhere, level price, you are much cheaper</v>
      </c>
    </row>
    <row r="918" ht="15.75" customHeight="1">
      <c r="A918" s="2">
        <v>1.0</v>
      </c>
      <c r="B918" s="2" t="s">
        <v>2520</v>
      </c>
      <c r="C918" s="2" t="s">
        <v>2521</v>
      </c>
      <c r="D918" s="2" t="s">
        <v>75</v>
      </c>
      <c r="E918" s="2" t="s">
        <v>14</v>
      </c>
      <c r="F918" s="2" t="s">
        <v>15</v>
      </c>
      <c r="G918" s="2" t="s">
        <v>1728</v>
      </c>
      <c r="H918" s="2" t="s">
        <v>28</v>
      </c>
      <c r="I918" s="2" t="str">
        <f>IFERROR(__xludf.DUMMYFUNCTION("GOOGLETRANSLATE(C918,""fr"",""en"")"),"Insurance with minimum service ... See not everything .. Avoid .... !!!! Like all insurance, c well to pay ... but when you have a disaster, everything changes ...")</f>
        <v>Insurance with minimum service ... See not everything .. Avoid .... !!!! Like all insurance, c well to pay ... but when you have a disaster, everything changes ...</v>
      </c>
    </row>
    <row r="919" ht="15.75" customHeight="1">
      <c r="A919" s="2">
        <v>3.0</v>
      </c>
      <c r="B919" s="2" t="s">
        <v>2522</v>
      </c>
      <c r="C919" s="2" t="s">
        <v>2523</v>
      </c>
      <c r="D919" s="2" t="s">
        <v>70</v>
      </c>
      <c r="E919" s="2" t="s">
        <v>14</v>
      </c>
      <c r="F919" s="2" t="s">
        <v>15</v>
      </c>
      <c r="G919" s="2" t="s">
        <v>449</v>
      </c>
      <c r="H919" s="2" t="s">
        <v>28</v>
      </c>
      <c r="I919" s="2" t="str">
        <f>IFERROR(__xludf.DUMMYFUNCTION("GOOGLETRANSLATE(C919,""fr"",""en"")"),"I am not at all satisfied with the exorbitant price that I pay for my 2 -wheel insurance ... I just realized that I pay 3x more expensive than for other 2 -wheel insurance under identical conditions ...")</f>
        <v>I am not at all satisfied with the exorbitant price that I pay for my 2 -wheel insurance ... I just realized that I pay 3x more expensive than for other 2 -wheel insurance under identical conditions ...</v>
      </c>
    </row>
    <row r="920" ht="15.75" customHeight="1">
      <c r="A920" s="2">
        <v>2.0</v>
      </c>
      <c r="B920" s="2" t="s">
        <v>2524</v>
      </c>
      <c r="C920" s="2" t="s">
        <v>2525</v>
      </c>
      <c r="D920" s="2" t="s">
        <v>75</v>
      </c>
      <c r="E920" s="2" t="s">
        <v>14</v>
      </c>
      <c r="F920" s="2" t="s">
        <v>15</v>
      </c>
      <c r="G920" s="2" t="s">
        <v>540</v>
      </c>
      <c r="H920" s="2" t="s">
        <v>193</v>
      </c>
      <c r="I920" s="2" t="str">
        <f>IFERROR(__xludf.DUMMYFUNCTION("GOOGLETRANSLATE(C920,""fr"",""en"")"),"Having been the victim of a flight, I was surprised to know that there was no refund for the personal effects key suitcase identity paper etc I am disappointed")</f>
        <v>Having been the victim of a flight, I was surprised to know that there was no refund for the personal effects key suitcase identity paper etc I am disappointed</v>
      </c>
    </row>
    <row r="921" ht="15.75" customHeight="1">
      <c r="A921" s="2">
        <v>1.0</v>
      </c>
      <c r="B921" s="2" t="s">
        <v>2526</v>
      </c>
      <c r="C921" s="2" t="s">
        <v>2527</v>
      </c>
      <c r="D921" s="2" t="s">
        <v>921</v>
      </c>
      <c r="E921" s="2" t="s">
        <v>65</v>
      </c>
      <c r="F921" s="2" t="s">
        <v>15</v>
      </c>
      <c r="G921" s="2" t="s">
        <v>2528</v>
      </c>
      <c r="H921" s="2" t="s">
        <v>193</v>
      </c>
      <c r="I921" s="2" t="str">
        <f>IFERROR(__xludf.DUMMYFUNCTION("GOOGLETRANSLATE(C921,""fr"",""en"")"),"This company is an absolute shame, I have never seen such a lack of responsiveness and professionalism! And I confirm the reactions of all those who have written previously. Alright more than 6 months that I expect a simple transfer of a perp on a PER! Ap"&amp;"plication of fully abnormal costs unilaterally modified without my agreement! No response to my requests/reminders and AR letter!")</f>
        <v>This company is an absolute shame, I have never seen such a lack of responsiveness and professionalism! And I confirm the reactions of all those who have written previously. Alright more than 6 months that I expect a simple transfer of a perp on a PER! Application of fully abnormal costs unilaterally modified without my agreement! No response to my requests/reminders and AR letter!</v>
      </c>
    </row>
    <row r="922" ht="15.75" customHeight="1">
      <c r="A922" s="2">
        <v>3.0</v>
      </c>
      <c r="B922" s="2" t="s">
        <v>2529</v>
      </c>
      <c r="C922" s="2" t="s">
        <v>2530</v>
      </c>
      <c r="D922" s="2" t="s">
        <v>37</v>
      </c>
      <c r="E922" s="2" t="s">
        <v>14</v>
      </c>
      <c r="F922" s="2" t="s">
        <v>15</v>
      </c>
      <c r="G922" s="2" t="s">
        <v>1790</v>
      </c>
      <c r="H922" s="2" t="s">
        <v>98</v>
      </c>
      <c r="I922" s="2" t="str">
        <f>IFERROR(__xludf.DUMMYFUNCTION("GOOGLETRANSLATE(C922,""fr"",""en"")"),"Advice his sympathetic and honest he advises so that the customer is satisfied and that is what I appreciated. The regulations of my contract were well applied and correspond to what I wanted")</f>
        <v>Advice his sympathetic and honest he advises so that the customer is satisfied and that is what I appreciated. The regulations of my contract were well applied and correspond to what I wanted</v>
      </c>
    </row>
    <row r="923" ht="15.75" customHeight="1">
      <c r="A923" s="2">
        <v>1.0</v>
      </c>
      <c r="B923" s="2" t="s">
        <v>2531</v>
      </c>
      <c r="C923" s="2" t="s">
        <v>2532</v>
      </c>
      <c r="D923" s="2" t="s">
        <v>692</v>
      </c>
      <c r="E923" s="2" t="s">
        <v>14</v>
      </c>
      <c r="F923" s="2" t="s">
        <v>15</v>
      </c>
      <c r="G923" s="2" t="s">
        <v>2465</v>
      </c>
      <c r="H923" s="2" t="s">
        <v>286</v>
      </c>
      <c r="I923" s="2" t="str">
        <f>IFERROR(__xludf.DUMMYFUNCTION("GOOGLETRANSLATE(C923,""fr"",""en"")"),"It's been at least three weeks since I try to get in touch with the legal assistance lawyer who never reminds me (at least three weeks). To take stock of my vehicle immobilized for more than three months and where the lawyer never contaches. Important que"&amp;"stions that remain unanswered.")</f>
        <v>It's been at least three weeks since I try to get in touch with the legal assistance lawyer who never reminds me (at least three weeks). To take stock of my vehicle immobilized for more than three months and where the lawyer never contaches. Important questions that remain unanswered.</v>
      </c>
    </row>
    <row r="924" ht="15.75" customHeight="1">
      <c r="A924" s="2">
        <v>2.0</v>
      </c>
      <c r="B924" s="2" t="s">
        <v>2533</v>
      </c>
      <c r="C924" s="2" t="s">
        <v>2534</v>
      </c>
      <c r="D924" s="2" t="s">
        <v>75</v>
      </c>
      <c r="E924" s="2" t="s">
        <v>14</v>
      </c>
      <c r="F924" s="2" t="s">
        <v>15</v>
      </c>
      <c r="G924" s="2" t="s">
        <v>2535</v>
      </c>
      <c r="H924" s="2" t="s">
        <v>146</v>
      </c>
      <c r="I924" s="2" t="str">
        <f>IFERROR(__xludf.DUMMYFUNCTION("GOOGLETRANSLATE(C924,""fr"",""en"")"),"Flee this insurance after having made an accident where I was not at fault, I waited for a very long time to be reimbursed and especially I learned recently that I was no longer assured, they terminated my contract without warning.")</f>
        <v>Flee this insurance after having made an accident where I was not at fault, I waited for a very long time to be reimbursed and especially I learned recently that I was no longer assured, they terminated my contract without warning.</v>
      </c>
    </row>
    <row r="925" ht="15.75" customHeight="1">
      <c r="A925" s="2">
        <v>1.0</v>
      </c>
      <c r="B925" s="2" t="s">
        <v>2536</v>
      </c>
      <c r="C925" s="2" t="s">
        <v>2537</v>
      </c>
      <c r="D925" s="2" t="s">
        <v>229</v>
      </c>
      <c r="E925" s="2" t="s">
        <v>96</v>
      </c>
      <c r="F925" s="2" t="s">
        <v>15</v>
      </c>
      <c r="G925" s="2" t="s">
        <v>2538</v>
      </c>
      <c r="H925" s="2" t="s">
        <v>1392</v>
      </c>
      <c r="I925" s="2" t="str">
        <f>IFERROR(__xludf.DUMMYFUNCTION("GOOGLETRANSLATE(C925,""fr"",""en"")"),"horrible customer service. When it comes to subscribing everything is very caring, but when you have to do your real insurer and eventually indeed, everything is becoming complicated. 1st reimbursement, spacing windshield, more than a year, so I had to ch"&amp;"ange it at my expense in a 1st step and run after AMV for more than a year to finally have my DU. And I have been waiting for 4 months that things advances for my stolen scooter")</f>
        <v>horrible customer service. When it comes to subscribing everything is very caring, but when you have to do your real insurer and eventually indeed, everything is becoming complicated. 1st reimbursement, spacing windshield, more than a year, so I had to change it at my expense in a 1st step and run after AMV for more than a year to finally have my DU. And I have been waiting for 4 months that things advances for my stolen scooter</v>
      </c>
    </row>
    <row r="926" ht="15.75" customHeight="1">
      <c r="A926" s="2">
        <v>3.0</v>
      </c>
      <c r="B926" s="2" t="s">
        <v>2539</v>
      </c>
      <c r="C926" s="2" t="s">
        <v>2540</v>
      </c>
      <c r="D926" s="2" t="s">
        <v>37</v>
      </c>
      <c r="E926" s="2" t="s">
        <v>14</v>
      </c>
      <c r="F926" s="2" t="s">
        <v>15</v>
      </c>
      <c r="G926" s="2" t="s">
        <v>570</v>
      </c>
      <c r="H926" s="2" t="s">
        <v>107</v>
      </c>
      <c r="I926" s="2" t="str">
        <f>IFERROR(__xludf.DUMMYFUNCTION("GOOGLETRANSLATE(C926,""fr"",""en"")"),"Very well price level, however, very insufficient service level, whether in communication where they announce things that they do not do then or in the services offered. I do not advise this insurance if you need them, the price is low but the quality of "&amp;"service is just as much.")</f>
        <v>Very well price level, however, very insufficient service level, whether in communication where they announce things that they do not do then or in the services offered. I do not advise this insurance if you need them, the price is low but the quality of service is just as much.</v>
      </c>
    </row>
    <row r="927" ht="15.75" customHeight="1">
      <c r="A927" s="2">
        <v>1.0</v>
      </c>
      <c r="B927" s="2" t="s">
        <v>2541</v>
      </c>
      <c r="C927" s="2" t="s">
        <v>2542</v>
      </c>
      <c r="D927" s="2" t="s">
        <v>70</v>
      </c>
      <c r="E927" s="2" t="s">
        <v>21</v>
      </c>
      <c r="F927" s="2" t="s">
        <v>15</v>
      </c>
      <c r="G927" s="2" t="s">
        <v>2543</v>
      </c>
      <c r="H927" s="2" t="s">
        <v>1392</v>
      </c>
      <c r="I927" s="2" t="str">
        <f>IFERROR(__xludf.DUMMYFUNCTION("GOOGLETRANSLATE(C927,""fr"",""en"")"),"two claims declared dwellings
around 20,000 euros of quotes for the holidays for each
long and dubious expertise where experts are looking for the flaw to not take anything in warranty
 It's a shame !")</f>
        <v>two claims declared dwellings
around 20,000 euros of quotes for the holidays for each
long and dubious expertise where experts are looking for the flaw to not take anything in warranty
 It's a shame !</v>
      </c>
    </row>
    <row r="928" ht="15.75" customHeight="1">
      <c r="A928" s="2">
        <v>3.0</v>
      </c>
      <c r="B928" s="2" t="s">
        <v>2544</v>
      </c>
      <c r="C928" s="2" t="s">
        <v>2545</v>
      </c>
      <c r="D928" s="2" t="s">
        <v>75</v>
      </c>
      <c r="E928" s="2" t="s">
        <v>14</v>
      </c>
      <c r="F928" s="2" t="s">
        <v>15</v>
      </c>
      <c r="G928" s="2" t="s">
        <v>2543</v>
      </c>
      <c r="H928" s="2" t="s">
        <v>1392</v>
      </c>
      <c r="I928" s="2" t="str">
        <f>IFERROR(__xludf.DUMMYFUNCTION("GOOGLETRANSLATE(C928,""fr"",""en"")"),"My vehicle was struck at the back by a van when I stopped to let a pedestrian pass on a pedestrian crossing. My on -board camera filmed the time of the accident. I also filmed with my phone a small part of our discussion with the driver of the van when I "&amp;"understood that there would be no amicable observation. Here they are: https://youtu.be/au8zkjdxoci
Direct Insurance refuses to use these videos as evidence to use opposing insurance (I do not know why). According to Direct Insurance The responsibility o"&amp;"f the third party can only be engaged in the event that the latter accepts it. Total absurdity!
They also offer me to file a complaint for a flight offense while the refusal to make an amicable observation and to give your identity cannot be qualified as"&amp;" well. Article 434-10 of the penal code has no ambiguity on this. It is unacceptable that the disaster manager does not know!
I publish all the elements of this dispute on the forum of UFC Que Choisir: https://forum.quechoisir.org/le-lythe-dlit-de-u--fui"&amp;"t--t176245.html")</f>
        <v>My vehicle was struck at the back by a van when I stopped to let a pedestrian pass on a pedestrian crossing. My on -board camera filmed the time of the accident. I also filmed with my phone a small part of our discussion with the driver of the van when I understood that there would be no amicable observation. Here they are: https://youtu.be/au8zkjdxoci
Direct Insurance refuses to use these videos as evidence to use opposing insurance (I do not know why). According to Direct Insurance The responsibility of the third party can only be engaged in the event that the latter accepts it. Total absurdity!
They also offer me to file a complaint for a flight offense while the refusal to make an amicable observation and to give your identity cannot be qualified as well. Article 434-10 of the penal code has no ambiguity on this. It is unacceptable that the disaster manager does not know!
I publish all the elements of this dispute on the forum of UFC Que Choisir: https://forum.quechoisir.org/le-lythe-dlit-de-u--fuit--t176245.html</v>
      </c>
    </row>
    <row r="929" ht="15.75" customHeight="1">
      <c r="A929" s="2">
        <v>3.0</v>
      </c>
      <c r="B929" s="2" t="s">
        <v>2546</v>
      </c>
      <c r="C929" s="2" t="s">
        <v>2547</v>
      </c>
      <c r="D929" s="2" t="s">
        <v>75</v>
      </c>
      <c r="E929" s="2" t="s">
        <v>14</v>
      </c>
      <c r="F929" s="2" t="s">
        <v>15</v>
      </c>
      <c r="G929" s="2" t="s">
        <v>974</v>
      </c>
      <c r="H929" s="2" t="s">
        <v>98</v>
      </c>
      <c r="I929" s="2" t="str">
        <f>IFERROR(__xludf.DUMMYFUNCTION("GOOGLETRANSLATE(C929,""fr"",""en"")"),"the cheapest price I found with several formulas
Hyper practical to make the quote,
quick
We can do anything by internet
We would always want to find cheaper May it's already good")</f>
        <v>the cheapest price I found with several formulas
Hyper practical to make the quote,
quick
We can do anything by internet
We would always want to find cheaper May it's already good</v>
      </c>
    </row>
    <row r="930" ht="15.75" customHeight="1">
      <c r="A930" s="2">
        <v>2.0</v>
      </c>
      <c r="B930" s="2" t="s">
        <v>2548</v>
      </c>
      <c r="C930" s="2" t="s">
        <v>2549</v>
      </c>
      <c r="D930" s="2" t="s">
        <v>324</v>
      </c>
      <c r="E930" s="2" t="s">
        <v>81</v>
      </c>
      <c r="F930" s="2" t="s">
        <v>15</v>
      </c>
      <c r="G930" s="2" t="s">
        <v>2434</v>
      </c>
      <c r="H930" s="2" t="s">
        <v>44</v>
      </c>
      <c r="I930" s="2" t="str">
        <f>IFERROR(__xludf.DUMMYFUNCTION("GOOGLETRANSLATE(C930,""fr"",""en"")"),"I strongly advise against this insurance subscribed to our bank. The slowness of the processing of files, the parts already sent and asked for. And then after a few months we realize that everything is done so as not to compensate. Because everything is g"&amp;"ood not to be !! Do not let go, make you help by your legal insurance and then there is also an insurance mediator")</f>
        <v>I strongly advise against this insurance subscribed to our bank. The slowness of the processing of files, the parts already sent and asked for. And then after a few months we realize that everything is done so as not to compensate. Because everything is good not to be !! Do not let go, make you help by your legal insurance and then there is also an insurance mediator</v>
      </c>
    </row>
    <row r="931" ht="15.75" customHeight="1">
      <c r="A931" s="2">
        <v>4.0</v>
      </c>
      <c r="B931" s="2" t="s">
        <v>2550</v>
      </c>
      <c r="C931" s="2" t="s">
        <v>2551</v>
      </c>
      <c r="D931" s="2" t="s">
        <v>75</v>
      </c>
      <c r="E931" s="2" t="s">
        <v>14</v>
      </c>
      <c r="F931" s="2" t="s">
        <v>15</v>
      </c>
      <c r="G931" s="2" t="s">
        <v>2350</v>
      </c>
      <c r="H931" s="2" t="s">
        <v>86</v>
      </c>
      <c r="I931" s="2" t="str">
        <f>IFERROR(__xludf.DUMMYFUNCTION("GOOGLETRANSLATE(C931,""fr"",""en"")"),"We should be able to relate to our current contract that the data is automatically recovered, otherwise nothing to report
Cordially
Fanny Ansel")</f>
        <v>We should be able to relate to our current contract that the data is automatically recovered, otherwise nothing to report
Cordially
Fanny Ansel</v>
      </c>
    </row>
    <row r="932" ht="15.75" customHeight="1">
      <c r="A932" s="2">
        <v>2.0</v>
      </c>
      <c r="B932" s="2" t="s">
        <v>2552</v>
      </c>
      <c r="C932" s="2" t="s">
        <v>2553</v>
      </c>
      <c r="D932" s="2" t="s">
        <v>13</v>
      </c>
      <c r="E932" s="2" t="s">
        <v>14</v>
      </c>
      <c r="F932" s="2" t="s">
        <v>15</v>
      </c>
      <c r="G932" s="2" t="s">
        <v>2554</v>
      </c>
      <c r="H932" s="2" t="s">
        <v>341</v>
      </c>
      <c r="I932" s="2" t="str">
        <f>IFERROR(__xludf.DUMMYFUNCTION("GOOGLETRANSLATE(C932,""fr"",""en"")"),"Time that you have no big problem, everything is fine ... Then we will do everything so as not to recognize the disaster ... The staff ask you to insure you for this and for that while in their own Book it is marked except for this disaster !!!!
Assuranc"&amp;"e to avoid and flee and I have other examples !!!!")</f>
        <v>Time that you have no big problem, everything is fine ... Then we will do everything so as not to recognize the disaster ... The staff ask you to insure you for this and for that while in their own Book it is marked except for this disaster !!!!
Assurance to avoid and flee and I have other examples !!!!</v>
      </c>
    </row>
    <row r="933" ht="15.75" customHeight="1">
      <c r="A933" s="2">
        <v>1.0</v>
      </c>
      <c r="B933" s="2" t="s">
        <v>2555</v>
      </c>
      <c r="C933" s="2" t="s">
        <v>2556</v>
      </c>
      <c r="D933" s="2" t="s">
        <v>75</v>
      </c>
      <c r="E933" s="2" t="s">
        <v>14</v>
      </c>
      <c r="F933" s="2" t="s">
        <v>15</v>
      </c>
      <c r="G933" s="2" t="s">
        <v>2557</v>
      </c>
      <c r="H933" s="2" t="s">
        <v>155</v>
      </c>
      <c r="I933" s="2" t="str">
        <f>IFERROR(__xludf.DUMMYFUNCTION("GOOGLETRANSLATE(C933,""fr"",""en"")")," Following a fire from my vehicle in early May while I was traveling quietly, I find myself today 6 months after alone and abandoned by my insurer. I hardly managed to reach my manager in June by phone who told me that he was waiting for a gendarmerie pap"&amp;"er, until then everything is fine. He sends me an email to tell me that he personally takes care of my disaster, until then everything is fine.
 And this is where it all starts to clat. A month later I dare send an email to my manager to ask for news fro"&amp;"m the file, no answer. Then a few days later I send another email, no answer, and so on for a week.
 Ok I drop it I tell myself it's the summer holidays, they are on the street at Direct Assurance. Either we will see later, but it already tired me.
 Sin"&amp;"ce then I tried by phone. But as you cannot have your manager directly on their platform at the end of the world, you must agree on a telephone appointment with your manager. The big concern is that I have agreed with several appointments on very specific"&amp;" time slots and that nobody never reminded me ...
 So I find myself 6 months after the disaster without any information concerning my file, my manager never reminds me of agreed appointments. It's a dead end and I waste time and energy for nothing. I am "&amp;"disgusted by their ways.
")</f>
        <v> Following a fire from my vehicle in early May while I was traveling quietly, I find myself today 6 months after alone and abandoned by my insurer. I hardly managed to reach my manager in June by phone who told me that he was waiting for a gendarmerie paper, until then everything is fine. He sends me an email to tell me that he personally takes care of my disaster, until then everything is fine.
 And this is where it all starts to clat. A month later I dare send an email to my manager to ask for news from the file, no answer. Then a few days later I send another email, no answer, and so on for a week.
 Ok I drop it I tell myself it's the summer holidays, they are on the street at Direct Assurance. Either we will see later, but it already tired me.
 Since then I tried by phone. But as you cannot have your manager directly on their platform at the end of the world, you must agree on a telephone appointment with your manager. The big concern is that I have agreed with several appointments on very specific time slots and that nobody never reminded me ...
 So I find myself 6 months after the disaster without any information concerning my file, my manager never reminds me of agreed appointments. It's a dead end and I waste time and energy for nothing. I am disgusted by their ways.
</v>
      </c>
    </row>
    <row r="934" ht="15.75" customHeight="1">
      <c r="A934" s="2">
        <v>1.0</v>
      </c>
      <c r="B934" s="2" t="s">
        <v>2558</v>
      </c>
      <c r="C934" s="2" t="s">
        <v>2559</v>
      </c>
      <c r="D934" s="2" t="s">
        <v>247</v>
      </c>
      <c r="E934" s="2" t="s">
        <v>32</v>
      </c>
      <c r="F934" s="2" t="s">
        <v>15</v>
      </c>
      <c r="G934" s="2" t="s">
        <v>2560</v>
      </c>
      <c r="H934" s="2" t="s">
        <v>125</v>
      </c>
      <c r="I934" s="2" t="str">
        <f>IFERROR(__xludf.DUMMYFUNCTION("GOOGLETRANSLATE(C934,""fr"",""en"")"),"Registration on the Internet in December 2017 ... still not received a member card. They lost my file ... it promises!")</f>
        <v>Registration on the Internet in December 2017 ... still not received a member card. They lost my file ... it promises!</v>
      </c>
    </row>
    <row r="935" ht="15.75" customHeight="1">
      <c r="A935" s="2">
        <v>5.0</v>
      </c>
      <c r="B935" s="2" t="s">
        <v>2561</v>
      </c>
      <c r="C935" s="2" t="s">
        <v>2562</v>
      </c>
      <c r="D935" s="2" t="s">
        <v>75</v>
      </c>
      <c r="E935" s="2" t="s">
        <v>14</v>
      </c>
      <c r="F935" s="2" t="s">
        <v>15</v>
      </c>
      <c r="G935" s="2" t="s">
        <v>1288</v>
      </c>
      <c r="H935" s="2" t="s">
        <v>86</v>
      </c>
      <c r="I935" s="2" t="str">
        <f>IFERROR(__xludf.DUMMYFUNCTION("GOOGLETRANSLATE(C935,""fr"",""en"")"),"After comparison with other insurers, Direct Assurance is clearly the best choice for me. Knowing that insurance comparators did not recommend me, but did it for insurers who offered me 50% higher prices.
In short, compare yourself!")</f>
        <v>After comparison with other insurers, Direct Assurance is clearly the best choice for me. Knowing that insurance comparators did not recommend me, but did it for insurers who offered me 50% higher prices.
In short, compare yourself!</v>
      </c>
    </row>
    <row r="936" ht="15.75" customHeight="1">
      <c r="A936" s="2">
        <v>1.0</v>
      </c>
      <c r="B936" s="2" t="s">
        <v>2563</v>
      </c>
      <c r="C936" s="2" t="s">
        <v>2564</v>
      </c>
      <c r="D936" s="2" t="s">
        <v>42</v>
      </c>
      <c r="E936" s="2" t="s">
        <v>32</v>
      </c>
      <c r="F936" s="2" t="s">
        <v>15</v>
      </c>
      <c r="G936" s="2" t="s">
        <v>899</v>
      </c>
      <c r="H936" s="2" t="s">
        <v>286</v>
      </c>
      <c r="I936" s="2" t="str">
        <f>IFERROR(__xludf.DUMMYFUNCTION("GOOGLETRANSLATE(C936,""fr"",""en"")"),"Attention!!! Do not forget to notify the MGEN when you retire. Even if they are aware, they will wait 5 months and charge you asset services, some of which are deciduous and that after 40 years of subscription for my wife and 22 for me. No possible mediat"&amp;"ion from the director of Besançon Mr. Bouaouli. No way. It's a shame. So be vigilant. A very disappointed member of the MGEN who thinks of his colleagues. For more details you can write to me Philippe.hoffer@gmail.com. I will contact a mediator, but I don"&amp;"'t have much hope. With such processes, the MGEN may make its members sick. It is a shame. Full of love to Mr. Bouaouli.")</f>
        <v>Attention!!! Do not forget to notify the MGEN when you retire. Even if they are aware, they will wait 5 months and charge you asset services, some of which are deciduous and that after 40 years of subscription for my wife and 22 for me. No possible mediation from the director of Besançon Mr. Bouaouli. No way. It's a shame. So be vigilant. A very disappointed member of the MGEN who thinks of his colleagues. For more details you can write to me Philippe.hoffer@gmail.com. I will contact a mediator, but I don't have much hope. With such processes, the MGEN may make its members sick. It is a shame. Full of love to Mr. Bouaouli.</v>
      </c>
    </row>
    <row r="937" ht="15.75" customHeight="1">
      <c r="A937" s="2">
        <v>4.0</v>
      </c>
      <c r="B937" s="2" t="s">
        <v>2565</v>
      </c>
      <c r="C937" s="2" t="s">
        <v>2566</v>
      </c>
      <c r="D937" s="2" t="s">
        <v>37</v>
      </c>
      <c r="E937" s="2" t="s">
        <v>14</v>
      </c>
      <c r="F937" s="2" t="s">
        <v>15</v>
      </c>
      <c r="G937" s="2" t="s">
        <v>77</v>
      </c>
      <c r="H937" s="2" t="s">
        <v>77</v>
      </c>
      <c r="I937" s="2" t="str">
        <f>IFERROR(__xludf.DUMMYFUNCTION("GOOGLETRANSLATE(C937,""fr"",""en"")"),"A competitive price, hoping that it is not only a call offer.
Bad experience with previous insurer, dir.ass. +43% in three years.")</f>
        <v>A competitive price, hoping that it is not only a call offer.
Bad experience with previous insurer, dir.ass. +43% in three years.</v>
      </c>
    </row>
    <row r="938" ht="15.75" customHeight="1">
      <c r="A938" s="2">
        <v>4.0</v>
      </c>
      <c r="B938" s="2" t="s">
        <v>2567</v>
      </c>
      <c r="C938" s="2" t="s">
        <v>2568</v>
      </c>
      <c r="D938" s="2" t="s">
        <v>26</v>
      </c>
      <c r="E938" s="2" t="s">
        <v>96</v>
      </c>
      <c r="F938" s="2" t="s">
        <v>15</v>
      </c>
      <c r="G938" s="2" t="s">
        <v>2569</v>
      </c>
      <c r="H938" s="2" t="s">
        <v>103</v>
      </c>
      <c r="I938" s="2" t="str">
        <f>IFERROR(__xludf.DUMMYFUNCTION("GOOGLETRANSLATE(C938,""fr"",""en"")"),"For 23 years at Cartier JLM (AXA) in Cannes and always only good experiences.
A dynamic, sympathetic and competent team!")</f>
        <v>For 23 years at Cartier JLM (AXA) in Cannes and always only good experiences.
A dynamic, sympathetic and competent team!</v>
      </c>
    </row>
    <row r="939" ht="15.75" customHeight="1">
      <c r="A939" s="2">
        <v>3.0</v>
      </c>
      <c r="B939" s="2" t="s">
        <v>2570</v>
      </c>
      <c r="C939" s="2" t="s">
        <v>2571</v>
      </c>
      <c r="D939" s="2" t="s">
        <v>37</v>
      </c>
      <c r="E939" s="2" t="s">
        <v>14</v>
      </c>
      <c r="F939" s="2" t="s">
        <v>15</v>
      </c>
      <c r="G939" s="2" t="s">
        <v>98</v>
      </c>
      <c r="H939" s="2" t="s">
        <v>98</v>
      </c>
      <c r="I939" s="2" t="str">
        <f>IFERROR(__xludf.DUMMYFUNCTION("GOOGLETRANSLATE(C939,""fr"",""en"")"),"A greatly facilitated subscription.
Pleasant website to use.
Franchise all the same very high as part of a vehicle over 10 years old.")</f>
        <v>A greatly facilitated subscription.
Pleasant website to use.
Franchise all the same very high as part of a vehicle over 10 years old.</v>
      </c>
    </row>
    <row r="940" ht="15.75" customHeight="1">
      <c r="A940" s="2">
        <v>3.0</v>
      </c>
      <c r="B940" s="2" t="s">
        <v>2572</v>
      </c>
      <c r="C940" s="2" t="s">
        <v>2573</v>
      </c>
      <c r="D940" s="2" t="s">
        <v>37</v>
      </c>
      <c r="E940" s="2" t="s">
        <v>14</v>
      </c>
      <c r="F940" s="2" t="s">
        <v>15</v>
      </c>
      <c r="G940" s="2" t="s">
        <v>258</v>
      </c>
      <c r="H940" s="2" t="s">
        <v>98</v>
      </c>
      <c r="I940" s="2" t="str">
        <f>IFERROR(__xludf.DUMMYFUNCTION("GOOGLETRANSLATE(C940,""fr"",""en"")"),"Here is an insurer who is not able to provide a vehicle at all risk as long as it is in ww ????
In my opinion the news (species of head manager of the company) is next to the plate.
Unheard of in the world of auto insurance, an exclusivity ""the Olivier"&amp;" Assurances"", but hey, now it's English .......
Retirement
Michel Hoster
Ex customer of this company !!!!")</f>
        <v>Here is an insurer who is not able to provide a vehicle at all risk as long as it is in ww ????
In my opinion the news (species of head manager of the company) is next to the plate.
Unheard of in the world of auto insurance, an exclusivity "the Olivier Assurances", but hey, now it's English .......
Retirement
Michel Hoster
Ex customer of this company !!!!</v>
      </c>
    </row>
    <row r="941" ht="15.75" customHeight="1">
      <c r="A941" s="2">
        <v>5.0</v>
      </c>
      <c r="B941" s="2" t="s">
        <v>2574</v>
      </c>
      <c r="C941" s="2" t="s">
        <v>2575</v>
      </c>
      <c r="D941" s="2" t="s">
        <v>75</v>
      </c>
      <c r="E941" s="2" t="s">
        <v>14</v>
      </c>
      <c r="F941" s="2" t="s">
        <v>15</v>
      </c>
      <c r="G941" s="2" t="s">
        <v>508</v>
      </c>
      <c r="H941" s="2" t="s">
        <v>508</v>
      </c>
      <c r="I941" s="2" t="str">
        <f>IFERROR(__xludf.DUMMYFUNCTION("GOOGLETRANSLATE(C941,""fr"",""en"")"),"Very good company, my disaster was treated very quickly and they are very easy to reach. The prices are really interesting. I am really very satisfied.")</f>
        <v>Very good company, my disaster was treated very quickly and they are very easy to reach. The prices are really interesting. I am really very satisfied.</v>
      </c>
    </row>
    <row r="942" ht="15.75" customHeight="1">
      <c r="A942" s="2">
        <v>1.0</v>
      </c>
      <c r="B942" s="2" t="s">
        <v>2576</v>
      </c>
      <c r="C942" s="2" t="s">
        <v>2577</v>
      </c>
      <c r="D942" s="2" t="s">
        <v>394</v>
      </c>
      <c r="E942" s="2" t="s">
        <v>32</v>
      </c>
      <c r="F942" s="2" t="s">
        <v>15</v>
      </c>
      <c r="G942" s="2" t="s">
        <v>2578</v>
      </c>
      <c r="H942" s="2" t="s">
        <v>467</v>
      </c>
      <c r="I942" s="2" t="str">
        <f>IFERROR(__xludf.DUMMYFUNCTION("GOOGLETRANSLATE(C942,""fr"",""en"")"),"Hello I would like to warn those who are seized by phone by this Neoliane insurance which is done for a subsidiary of your bank is an argument of sale which is false or which tells you that thanks to your loyalty points you can subscribe to advantageous p"&amp;"rices Their civil protection all this is false and only to trust you they send you a code by SMS by making you believe that it is to be sure that you are the right person asking yourself to read this code which is simply 'A digital signature to subscribe "&amp;"to one of their contract without telling you it is then by reading this SMS that you realize that it is a digital signature then you receive the contract at the limit of the withdrawal date for you 'Do not have time to withdraw yourself needing your membe"&amp;"r number to withdraw you best is to call their customer service to have your number to open your account online and then do your withdrawal letter rather than waiting for their contract I called my bank which has certified me that this insurance is in no "&amp;"way affiliated to this insurance")</f>
        <v>Hello I would like to warn those who are seized by phone by this Neoliane insurance which is done for a subsidiary of your bank is an argument of sale which is false or which tells you that thanks to your loyalty points you can subscribe to advantageous prices Their civil protection all this is false and only to trust you they send you a code by SMS by making you believe that it is to be sure that you are the right person asking yourself to read this code which is simply 'A digital signature to subscribe to one of their contract without telling you it is then by reading this SMS that you realize that it is a digital signature then you receive the contract at the limit of the withdrawal date for you 'Do not have time to withdraw yourself needing your member number to withdraw you best is to call their customer service to have your number to open your account online and then do your withdrawal letter rather than waiting for their contract I called my bank which has certified me that this insurance is in no way affiliated to this insurance</v>
      </c>
    </row>
    <row r="943" ht="15.75" customHeight="1">
      <c r="A943" s="2">
        <v>1.0</v>
      </c>
      <c r="B943" s="2" t="s">
        <v>2579</v>
      </c>
      <c r="C943" s="2" t="s">
        <v>2580</v>
      </c>
      <c r="D943" s="2" t="s">
        <v>75</v>
      </c>
      <c r="E943" s="2" t="s">
        <v>14</v>
      </c>
      <c r="F943" s="2" t="s">
        <v>15</v>
      </c>
      <c r="G943" s="2" t="s">
        <v>1280</v>
      </c>
      <c r="H943" s="2" t="s">
        <v>77</v>
      </c>
      <c r="I943" s="2" t="str">
        <f>IFERROR(__xludf.DUMMYFUNCTION("GOOGLETRANSLATE(C943,""fr"",""en"")"),"Horrible I can not see them anymore, it is a ordeal for the leaving for three months that I am struggling with Eu.
This insurer took the big head and has no respect for his insured")</f>
        <v>Horrible I can not see them anymore, it is a ordeal for the leaving for three months that I am struggling with Eu.
This insurer took the big head and has no respect for his insured</v>
      </c>
    </row>
    <row r="944" ht="15.75" customHeight="1">
      <c r="A944" s="2">
        <v>1.0</v>
      </c>
      <c r="B944" s="2" t="s">
        <v>2581</v>
      </c>
      <c r="C944" s="2" t="s">
        <v>2582</v>
      </c>
      <c r="D944" s="2" t="s">
        <v>980</v>
      </c>
      <c r="E944" s="2" t="s">
        <v>21</v>
      </c>
      <c r="F944" s="2" t="s">
        <v>15</v>
      </c>
      <c r="G944" s="2" t="s">
        <v>2583</v>
      </c>
      <c r="H944" s="2" t="s">
        <v>206</v>
      </c>
      <c r="I944" s="2" t="str">
        <f>IFERROR(__xludf.DUMMYFUNCTION("GOOGLETRANSLATE(C944,""fr"",""en"")"),"Sinistres suite Hurricane IRMA
I have an apartment in Saint Martin who underwent damage following the passage of Hurricane Irma. My housing credit being at CM I said to myself why not put my accommodation insurance in the same establishment, I would have"&amp;" done better to break my leg that day !!!
Before returning to France for professional obligations the expertise this fact with one of my colleagues and an expert from the firm sent by the insurer, so far nothing abnormal. The problems in the start of whe"&amp;"n I relaunch to know the progress of my file and if the expert report has been submitted to the Cie to be able to carry out my compensation .... since that day I have not received as answer :
- We have a lot of work
- There is a lot of files
As if I di"&amp;"d not know and as if I did not know that the situation is special
Nevertheless it would still be necessary that the insurance and its service dedicated to the management of the claims observant understands that everyone has not 40,000 euros before him to"&amp;" undertake the work and that any delay in compensation deprives the owner of the possibility of renting your apartment and any tenant to find accommodation on an island or 75% of the accommodation is destroyed
I pass you the mail and the telephone exchan"&amp;"ges telling me that in his great kindness the expert will work on November 11 to make his report and where nothing has been done
In such a situation and if observant does not have the human capacity to absorb the workload I think that there are enough pe"&amp;"ople looking for work in France to hire them in the form of fixed -term contracts etc and thus respond in a normal way to their customer's request
Because unless I am mistaken I have always paid for my contributions and therefore I reserve the right to h"&amp;"ave a service up to what we have experienced
In summary I plan on the one hand to leave Crédit Mutuel and above all to have no more covered by their insurance")</f>
        <v>Sinistres suite Hurricane IRMA
I have an apartment in Saint Martin who underwent damage following the passage of Hurricane Irma. My housing credit being at CM I said to myself why not put my accommodation insurance in the same establishment, I would have done better to break my leg that day !!!
Before returning to France for professional obligations the expertise this fact with one of my colleagues and an expert from the firm sent by the insurer, so far nothing abnormal. The problems in the start of when I relaunch to know the progress of my file and if the expert report has been submitted to the Cie to be able to carry out my compensation .... since that day I have not received as answer :
- We have a lot of work
- There is a lot of files
As if I did not know and as if I did not know that the situation is special
Nevertheless it would still be necessary that the insurance and its service dedicated to the management of the claims observant understands that everyone has not 40,000 euros before him to undertake the work and that any delay in compensation deprives the owner of the possibility of renting your apartment and any tenant to find accommodation on an island or 75% of the accommodation is destroyed
I pass you the mail and the telephone exchanges telling me that in his great kindness the expert will work on November 11 to make his report and where nothing has been done
In such a situation and if observant does not have the human capacity to absorb the workload I think that there are enough people looking for work in France to hire them in the form of fixed -term contracts etc and thus respond in a normal way to their customer's request
Because unless I am mistaken I have always paid for my contributions and therefore I reserve the right to have a service up to what we have experienced
In summary I plan on the one hand to leave Crédit Mutuel and above all to have no more covered by their insurance</v>
      </c>
    </row>
    <row r="945" ht="15.75" customHeight="1">
      <c r="A945" s="2">
        <v>1.0</v>
      </c>
      <c r="B945" s="2" t="s">
        <v>2584</v>
      </c>
      <c r="C945" s="2" t="s">
        <v>2585</v>
      </c>
      <c r="D945" s="2" t="s">
        <v>64</v>
      </c>
      <c r="E945" s="2" t="s">
        <v>65</v>
      </c>
      <c r="F945" s="2" t="s">
        <v>15</v>
      </c>
      <c r="G945" s="2" t="s">
        <v>2443</v>
      </c>
      <c r="H945" s="2" t="s">
        <v>249</v>
      </c>
      <c r="I945" s="2" t="str">
        <f>IFERROR(__xludf.DUMMYFUNCTION("GOOGLETRANSLATE(C945,""fr"",""en"")"),"AFER does not respond to emails, does not respond to moving notifications, their current savings broker (is content to touch its recurring commissions).
And what about the pitiful performance of the AFER funds.
- When the markets go up, the AFER funds p"&amp;"ainfully reach half of the index performance.
- When the markets tumble, the AFER funds do even better on the descent side.
Open a title account, take a tracker, even imposed at 30% is better paid than AFER life insurance!")</f>
        <v>AFER does not respond to emails, does not respond to moving notifications, their current savings broker (is content to touch its recurring commissions).
And what about the pitiful performance of the AFER funds.
- When the markets go up, the AFER funds painfully reach half of the index performance.
- When the markets tumble, the AFER funds do even better on the descent side.
Open a title account, take a tracker, even imposed at 30% is better paid than AFER life insurance!</v>
      </c>
    </row>
    <row r="946" ht="15.75" customHeight="1">
      <c r="A946" s="2">
        <v>1.0</v>
      </c>
      <c r="B946" s="2" t="s">
        <v>2586</v>
      </c>
      <c r="C946" s="2" t="s">
        <v>2587</v>
      </c>
      <c r="D946" s="2" t="s">
        <v>31</v>
      </c>
      <c r="E946" s="2" t="s">
        <v>81</v>
      </c>
      <c r="F946" s="2" t="s">
        <v>15</v>
      </c>
      <c r="G946" s="2" t="s">
        <v>2588</v>
      </c>
      <c r="H946" s="2" t="s">
        <v>92</v>
      </c>
      <c r="I946" s="2" t="str">
        <f>IFERROR(__xludf.DUMMYFUNCTION("GOOGLETRANSLATE(C946,""fr"",""en"")"),"I took a contract with their service concerning the consideration of the salary in the event of long sick leave .... It had been years that I wanted this contract but I only fulfilled it after having met their staff at my work. I signed the contract on Ma"&amp;"y 1, the time it was established for 1 month. Unfortunately I fell ill on April 16 and I would never have believed that I will fall in CLM .... after making a request from their service, 15 days of waiting and I receive a letter where they tell me that 'T"&amp;"hey refuse to take into account my rights by declaring that I was sick before the signing of the contract .... Yet the person who established the contract confirmed to me that I had to wait just three months after the signing of the contract To be compens"&amp;"ated ... In terms I will have a loss of pay and fortunately it should not last for years concerning my illness. I would like to resume the job but unfortunately no I can't .... thank you the MGP. I just feel betrayed and struggled with this kind of answer"&amp;", not even contact to understand our situation.")</f>
        <v>I took a contract with their service concerning the consideration of the salary in the event of long sick leave .... It had been years that I wanted this contract but I only fulfilled it after having met their staff at my work. I signed the contract on May 1, the time it was established for 1 month. Unfortunately I fell ill on April 16 and I would never have believed that I will fall in CLM .... after making a request from their service, 15 days of waiting and I receive a letter where they tell me that 'They refuse to take into account my rights by declaring that I was sick before the signing of the contract .... Yet the person who established the contract confirmed to me that I had to wait just three months after the signing of the contract To be compensated ... In terms I will have a loss of pay and fortunately it should not last for years concerning my illness. I would like to resume the job but unfortunately no I can't .... thank you the MGP. I just feel betrayed and struggled with this kind of answer, not even contact to understand our situation.</v>
      </c>
    </row>
    <row r="947" ht="15.75" customHeight="1">
      <c r="A947" s="2">
        <v>5.0</v>
      </c>
      <c r="B947" s="2" t="s">
        <v>2589</v>
      </c>
      <c r="C947" s="2" t="s">
        <v>2590</v>
      </c>
      <c r="D947" s="2" t="s">
        <v>37</v>
      </c>
      <c r="E947" s="2" t="s">
        <v>14</v>
      </c>
      <c r="F947" s="2" t="s">
        <v>15</v>
      </c>
      <c r="G947" s="2" t="s">
        <v>725</v>
      </c>
      <c r="H947" s="2" t="s">
        <v>86</v>
      </c>
      <c r="I947" s="2" t="str">
        <f>IFERROR(__xludf.DUMMYFUNCTION("GOOGLETRANSLATE(C947,""fr"",""en"")"),"The gentleman was sympathetic and very helpful. On the other hand it is not cool to make us write a minimum of one hundred and fifty characters !!")</f>
        <v>The gentleman was sympathetic and very helpful. On the other hand it is not cool to make us write a minimum of one hundred and fifty characters !!</v>
      </c>
    </row>
    <row r="948" ht="15.75" customHeight="1">
      <c r="A948" s="2">
        <v>2.0</v>
      </c>
      <c r="B948" s="2" t="s">
        <v>2591</v>
      </c>
      <c r="C948" s="2" t="s">
        <v>2592</v>
      </c>
      <c r="D948" s="2" t="s">
        <v>75</v>
      </c>
      <c r="E948" s="2" t="s">
        <v>14</v>
      </c>
      <c r="F948" s="2" t="s">
        <v>15</v>
      </c>
      <c r="G948" s="2" t="s">
        <v>2528</v>
      </c>
      <c r="H948" s="2" t="s">
        <v>193</v>
      </c>
      <c r="I948" s="2" t="str">
        <f>IFERROR(__xludf.DUMMYFUNCTION("GOOGLETRANSLATE(C948,""fr"",""en"")"),"I noticed an increase of 7% on my bonus. I had your customer service to have information. Being retired since November 2020, I use my vehicle even less. An official had to contact me. No news to date.")</f>
        <v>I noticed an increase of 7% on my bonus. I had your customer service to have information. Being retired since November 2020, I use my vehicle even less. An official had to contact me. No news to date.</v>
      </c>
    </row>
    <row r="949" ht="15.75" customHeight="1">
      <c r="A949" s="2">
        <v>1.0</v>
      </c>
      <c r="B949" s="2" t="s">
        <v>2593</v>
      </c>
      <c r="C949" s="2" t="s">
        <v>2594</v>
      </c>
      <c r="D949" s="2" t="s">
        <v>75</v>
      </c>
      <c r="E949" s="2" t="s">
        <v>14</v>
      </c>
      <c r="F949" s="2" t="s">
        <v>15</v>
      </c>
      <c r="G949" s="2" t="s">
        <v>1990</v>
      </c>
      <c r="H949" s="2" t="s">
        <v>86</v>
      </c>
      <c r="I949" s="2" t="str">
        <f>IFERROR(__xludf.DUMMYFUNCTION("GOOGLETRANSLATE(C949,""fr"",""en"")"),"Payment with the advisor could not succeed. I had to do the subscription alone from my computer. No solution was proposed by the advisor who told me that the manager also had no solution to offer it.
Zero ! For the rest, once the subscription is made by "&amp;"computer, everything is OK.
The insured car will perform a few kilometers, has a secure and old parking lot. I remain surprised, being already ensured at home, the amount of the annual subscription. I would have thought of 50 € less.
Thank you for takin"&amp;"g these inconveniences into consideration.
José Roberto Xavier Affonso")</f>
        <v>Payment with the advisor could not succeed. I had to do the subscription alone from my computer. No solution was proposed by the advisor who told me that the manager also had no solution to offer it.
Zero ! For the rest, once the subscription is made by computer, everything is OK.
The insured car will perform a few kilometers, has a secure and old parking lot. I remain surprised, being already ensured at home, the amount of the annual subscription. I would have thought of 50 € less.
Thank you for taking these inconveniences into consideration.
José Roberto Xavier Affonso</v>
      </c>
    </row>
    <row r="950" ht="15.75" customHeight="1">
      <c r="A950" s="2">
        <v>3.0</v>
      </c>
      <c r="B950" s="2" t="s">
        <v>2595</v>
      </c>
      <c r="C950" s="2" t="s">
        <v>2596</v>
      </c>
      <c r="D950" s="2" t="s">
        <v>70</v>
      </c>
      <c r="E950" s="2" t="s">
        <v>21</v>
      </c>
      <c r="F950" s="2" t="s">
        <v>15</v>
      </c>
      <c r="G950" s="2" t="s">
        <v>2597</v>
      </c>
      <c r="H950" s="2" t="s">
        <v>1392</v>
      </c>
      <c r="I950" s="2" t="str">
        <f>IFERROR(__xludf.DUMMYFUNCTION("GOOGLETRANSLATE(C950,""fr"",""en"")"),"Overall, we are satisfied with the GMF home guarantees. Indeed, we have an accessible agency nearby and the possibility of being recalled is practical. (Note, we are really recalled within the announced deadlines.)
The advisers respond present and the "&amp;"guarantees are good. (Our lock was perfectly taken care of after an attempted break -in ... quickly.)
I also appreciate the concern for customer satisfaction (each exchange gives rise to an assessment of their service).
All of these positive points "&amp;"help pass a high price at first glance.")</f>
        <v>Overall, we are satisfied with the GMF home guarantees. Indeed, we have an accessible agency nearby and the possibility of being recalled is practical. (Note, we are really recalled within the announced deadlines.)
The advisers respond present and the guarantees are good. (Our lock was perfectly taken care of after an attempted break -in ... quickly.)
I also appreciate the concern for customer satisfaction (each exchange gives rise to an assessment of their service).
All of these positive points help pass a high price at first glance.</v>
      </c>
    </row>
    <row r="951" ht="15.75" customHeight="1">
      <c r="A951" s="2">
        <v>1.0</v>
      </c>
      <c r="B951" s="2" t="s">
        <v>2598</v>
      </c>
      <c r="C951" s="2" t="s">
        <v>2599</v>
      </c>
      <c r="D951" s="2" t="s">
        <v>70</v>
      </c>
      <c r="E951" s="2" t="s">
        <v>14</v>
      </c>
      <c r="F951" s="2" t="s">
        <v>15</v>
      </c>
      <c r="G951" s="2" t="s">
        <v>1382</v>
      </c>
      <c r="H951" s="2" t="s">
        <v>286</v>
      </c>
      <c r="I951" s="2" t="str">
        <f>IFERROR(__xludf.DUMMYFUNCTION("GOOGLETRANSLATE(C951,""fr"",""en"")"),"Does not respect the Hamon law:
After having signed with another assurror for 2 months, I now have 2 insurance contracts because the new assurreur could not terminate my car contract to the GMF.
The GMF being in bad faith, it does not communicate with m"&amp;"y new insurer.")</f>
        <v>Does not respect the Hamon law:
After having signed with another assurror for 2 months, I now have 2 insurance contracts because the new assurreur could not terminate my car contract to the GMF.
The GMF being in bad faith, it does not communicate with my new insurer.</v>
      </c>
    </row>
    <row r="952" ht="15.75" customHeight="1">
      <c r="A952" s="2">
        <v>5.0</v>
      </c>
      <c r="B952" s="2" t="s">
        <v>2600</v>
      </c>
      <c r="C952" s="2" t="s">
        <v>2601</v>
      </c>
      <c r="D952" s="2" t="s">
        <v>229</v>
      </c>
      <c r="E952" s="2" t="s">
        <v>96</v>
      </c>
      <c r="F952" s="2" t="s">
        <v>15</v>
      </c>
      <c r="G952" s="2" t="s">
        <v>2159</v>
      </c>
      <c r="H952" s="2" t="s">
        <v>61</v>
      </c>
      <c r="I952" s="2" t="str">
        <f>IFERROR(__xludf.DUMMYFUNCTION("GOOGLETRANSLATE(C952,""fr"",""en"")"),"I had a disaster (motorcycle flight) and giving all the elements necessary for reimbursement, this was settled in 15 days. Aside from being disgusted to have lost my motorcycle that I loved so much, I have nothing to say negative about this insurer. They "&amp;"are listening and responsive. I really recommend because it is good to criticize but it is as well sometimes to know how to say when things go well!")</f>
        <v>I had a disaster (motorcycle flight) and giving all the elements necessary for reimbursement, this was settled in 15 days. Aside from being disgusted to have lost my motorcycle that I loved so much, I have nothing to say negative about this insurer. They are listening and responsive. I really recommend because it is good to criticize but it is as well sometimes to know how to say when things go well!</v>
      </c>
    </row>
    <row r="953" ht="15.75" customHeight="1">
      <c r="A953" s="2">
        <v>5.0</v>
      </c>
      <c r="B953" s="2" t="s">
        <v>2602</v>
      </c>
      <c r="C953" s="2" t="s">
        <v>2603</v>
      </c>
      <c r="D953" s="2" t="s">
        <v>37</v>
      </c>
      <c r="E953" s="2" t="s">
        <v>14</v>
      </c>
      <c r="F953" s="2" t="s">
        <v>15</v>
      </c>
      <c r="G953" s="2" t="s">
        <v>749</v>
      </c>
      <c r="H953" s="2" t="s">
        <v>28</v>
      </c>
      <c r="I953" s="2" t="str">
        <f>IFERROR(__xludf.DUMMYFUNCTION("GOOGLETRANSLATE(C953,""fr"",""en"")"),"Super service and communication by phone with the interlocutors The price is very satisfactory compared to the competition I highly recommend")</f>
        <v>Super service and communication by phone with the interlocutors The price is very satisfactory compared to the competition I highly recommend</v>
      </c>
    </row>
    <row r="954" ht="15.75" customHeight="1">
      <c r="A954" s="2">
        <v>3.0</v>
      </c>
      <c r="B954" s="2" t="s">
        <v>2604</v>
      </c>
      <c r="C954" s="2" t="s">
        <v>2605</v>
      </c>
      <c r="D954" s="2" t="s">
        <v>13</v>
      </c>
      <c r="E954" s="2" t="s">
        <v>14</v>
      </c>
      <c r="F954" s="2" t="s">
        <v>15</v>
      </c>
      <c r="G954" s="2" t="s">
        <v>977</v>
      </c>
      <c r="H954" s="2" t="s">
        <v>44</v>
      </c>
      <c r="I954" s="2" t="str">
        <f>IFERROR(__xludf.DUMMYFUNCTION("GOOGLETRANSLATE(C954,""fr"",""en"")"),"Member Macif since 1990, I had on 21/5/2020 my first disaster, the flight of my vehicle found calcined.
Today on 3/7/2020, 7 weeks later, I am still not reimbursed, I have to call twice a week to know the progress of my file, otherwise no info.
Last wee"&amp;"k, the manager of the file told me that it was a completely normal time.
When it comes to taking contributions, they don't wait 7 weeks.
In addition, I am also insured for my home and another vehicle, and I have my bank account at Socem.
You will under"&amp;"stand, I will therefore leave the Macif, and I do not recommend anyone to join")</f>
        <v>Member Macif since 1990, I had on 21/5/2020 my first disaster, the flight of my vehicle found calcined.
Today on 3/7/2020, 7 weeks later, I am still not reimbursed, I have to call twice a week to know the progress of my file, otherwise no info.
Last week, the manager of the file told me that it was a completely normal time.
When it comes to taking contributions, they don't wait 7 weeks.
In addition, I am also insured for my home and another vehicle, and I have my bank account at Socem.
You will understand, I will therefore leave the Macif, and I do not recommend anyone to join</v>
      </c>
    </row>
    <row r="955" ht="15.75" customHeight="1">
      <c r="A955" s="2">
        <v>1.0</v>
      </c>
      <c r="B955" s="2" t="s">
        <v>2606</v>
      </c>
      <c r="C955" s="2" t="s">
        <v>2607</v>
      </c>
      <c r="D955" s="2" t="s">
        <v>31</v>
      </c>
      <c r="E955" s="2" t="s">
        <v>32</v>
      </c>
      <c r="F955" s="2" t="s">
        <v>15</v>
      </c>
      <c r="G955" s="2" t="s">
        <v>2608</v>
      </c>
      <c r="H955" s="2" t="s">
        <v>34</v>
      </c>
      <c r="I955" s="2" t="str">
        <f>IFERROR(__xludf.DUMMYFUNCTION("GOOGLETRANSLATE(C955,""fr"",""en"")"),"Hello everyone, read my dissatisfaction with this mutual which has greatly changed into
The space of 10 years, by allying with healthclair, Almérys, Amélie, then Tartenpion !!!
I have been at this mutual insurance company for over 40 years, at the time "&amp;"there was a contact, human as a telephone that kept informed or follow -up was serious, clear and precise. Nowadays: there is a customer area (do your way) I can't even go back because you have to go home, and the contact is anonymous. As for contribution"&amp;"s at 63 1/2 I pay 136 euros monthly to hear me say, a pair of glasses every 2 years, or pay dental care in order to be reimbursed afterwards. All this is not normal.Ifer need for glasses or get careful is not a luxury !!!!
What disappointed me the most i"&amp;"n this mutual insurance company, about 6 years ago, they deleted the death capital, as well as to pay a monthly contribution of about 6 euros to another box to keep it. is absurd !!!! speaking with people, many pay less and have the same covers (radiance "&amp;"etc ;;; the best CMU) today, all mutuals should make their passage in schools !!!
Son and grandson of a police officer, I even detected, it deteriorated high speed, like the police orphanage.")</f>
        <v>Hello everyone, read my dissatisfaction with this mutual which has greatly changed into
The space of 10 years, by allying with healthclair, Almérys, Amélie, then Tartenpion !!!
I have been at this mutual insurance company for over 40 years, at the time there was a contact, human as a telephone that kept informed or follow -up was serious, clear and precise. Nowadays: there is a customer area (do your way) I can't even go back because you have to go home, and the contact is anonymous. As for contributions at 63 1/2 I pay 136 euros monthly to hear me say, a pair of glasses every 2 years, or pay dental care in order to be reimbursed afterwards. All this is not normal.Ifer need for glasses or get careful is not a luxury !!!!
What disappointed me the most in this mutual insurance company, about 6 years ago, they deleted the death capital, as well as to pay a monthly contribution of about 6 euros to another box to keep it. is absurd !!!! speaking with people, many pay less and have the same covers (radiance etc ;;; the best CMU) today, all mutuals should make their passage in schools !!!
Son and grandson of a police officer, I even detected, it deteriorated high speed, like the police orphanage.</v>
      </c>
    </row>
    <row r="956" ht="15.75" customHeight="1">
      <c r="A956" s="2">
        <v>4.0</v>
      </c>
      <c r="B956" s="2" t="s">
        <v>2609</v>
      </c>
      <c r="C956" s="2" t="s">
        <v>2610</v>
      </c>
      <c r="D956" s="2" t="s">
        <v>75</v>
      </c>
      <c r="E956" s="2" t="s">
        <v>14</v>
      </c>
      <c r="F956" s="2" t="s">
        <v>15</v>
      </c>
      <c r="G956" s="2" t="s">
        <v>1422</v>
      </c>
      <c r="H956" s="2" t="s">
        <v>77</v>
      </c>
      <c r="I956" s="2" t="str">
        <f>IFERROR(__xludf.DUMMYFUNCTION("GOOGLETRANSLATE(C956,""fr"",""en"")"),"Following a stolen car disaster, Direct Assurance dedicated an advisor to follow my business. I am very happy with support and follow -up. I recommend this insurance.")</f>
        <v>Following a stolen car disaster, Direct Assurance dedicated an advisor to follow my business. I am very happy with support and follow -up. I recommend this insurance.</v>
      </c>
    </row>
    <row r="957" ht="15.75" customHeight="1">
      <c r="A957" s="2">
        <v>1.0</v>
      </c>
      <c r="B957" s="2" t="s">
        <v>2611</v>
      </c>
      <c r="C957" s="2" t="s">
        <v>2612</v>
      </c>
      <c r="D957" s="2" t="s">
        <v>37</v>
      </c>
      <c r="E957" s="2" t="s">
        <v>14</v>
      </c>
      <c r="F957" s="2" t="s">
        <v>15</v>
      </c>
      <c r="G957" s="2" t="s">
        <v>2613</v>
      </c>
      <c r="H957" s="2" t="s">
        <v>57</v>
      </c>
      <c r="I957" s="2" t="str">
        <f>IFERROR(__xludf.DUMMYFUNCTION("GOOGLETRANSLATE(C957,""fr"",""en"")"),"Very bad customer relations and incompetent customer service who does not do his work correctly so the manager !!! You have to wait in the month 15 minutes to have them, error in the contract on their part they add 15 additional euros anything I n 'I have"&amp;" never seen that ... to flee .....")</f>
        <v>Very bad customer relations and incompetent customer service who does not do his work correctly so the manager !!! You have to wait in the month 15 minutes to have them, error in the contract on their part they add 15 additional euros anything I n 'I have never seen that ... to flee .....</v>
      </c>
    </row>
    <row r="958" ht="15.75" customHeight="1">
      <c r="A958" s="2">
        <v>3.0</v>
      </c>
      <c r="B958" s="2" t="s">
        <v>2614</v>
      </c>
      <c r="C958" s="2" t="s">
        <v>2615</v>
      </c>
      <c r="D958" s="2" t="s">
        <v>37</v>
      </c>
      <c r="E958" s="2" t="s">
        <v>14</v>
      </c>
      <c r="F958" s="2" t="s">
        <v>15</v>
      </c>
      <c r="G958" s="2" t="s">
        <v>546</v>
      </c>
      <c r="H958" s="2" t="s">
        <v>77</v>
      </c>
      <c r="I958" s="2" t="str">
        <f>IFERROR(__xludf.DUMMYFUNCTION("GOOGLETRANSLATE(C958,""fr"",""en"")"),"I just subscribed to the new insurance because I had sold my vehicle last summer and I just bought another. The subscription procedure is simple. Thank you.")</f>
        <v>I just subscribed to the new insurance because I had sold my vehicle last summer and I just bought another. The subscription procedure is simple. Thank you.</v>
      </c>
    </row>
    <row r="959" ht="15.75" customHeight="1">
      <c r="A959" s="2">
        <v>3.0</v>
      </c>
      <c r="B959" s="2" t="s">
        <v>2616</v>
      </c>
      <c r="C959" s="2" t="s">
        <v>2617</v>
      </c>
      <c r="D959" s="2" t="s">
        <v>37</v>
      </c>
      <c r="E959" s="2" t="s">
        <v>14</v>
      </c>
      <c r="F959" s="2" t="s">
        <v>15</v>
      </c>
      <c r="G959" s="2" t="s">
        <v>76</v>
      </c>
      <c r="H959" s="2" t="s">
        <v>77</v>
      </c>
      <c r="I959" s="2" t="str">
        <f>IFERROR(__xludf.DUMMYFUNCTION("GOOGLETRANSLATE(C959,""fr"",""en"")"),"I am satisfied but it was very difficult to record the quote online.
I almost gave up subscribing and I had to get there at least ten times")</f>
        <v>I am satisfied but it was very difficult to record the quote online.
I almost gave up subscribing and I had to get there at least ten times</v>
      </c>
    </row>
    <row r="960" ht="15.75" customHeight="1">
      <c r="A960" s="2">
        <v>1.0</v>
      </c>
      <c r="B960" s="2" t="s">
        <v>2618</v>
      </c>
      <c r="C960" s="2" t="s">
        <v>2619</v>
      </c>
      <c r="D960" s="2" t="s">
        <v>13</v>
      </c>
      <c r="E960" s="2" t="s">
        <v>14</v>
      </c>
      <c r="F960" s="2" t="s">
        <v>15</v>
      </c>
      <c r="G960" s="2" t="s">
        <v>2620</v>
      </c>
      <c r="H960" s="2" t="s">
        <v>146</v>
      </c>
      <c r="I960" s="2" t="str">
        <f>IFERROR(__xludf.DUMMYFUNCTION("GOOGLETRANSLATE(C960,""fr"",""en"")"),"I was hung 3 years ago by a good woman who wanted to exceed 2 cars at the same time, including mine, and who fled. And it's been 3 years now that the ""experts"" of the Macif have not read my observation, declaring me 100% responsible by default, or incom"&amp;"petence. And when I call, I am asked to wait where I am told squarely to go and see elsewhere. This insurance is really deplorable.")</f>
        <v>I was hung 3 years ago by a good woman who wanted to exceed 2 cars at the same time, including mine, and who fled. And it's been 3 years now that the "experts" of the Macif have not read my observation, declaring me 100% responsible by default, or incompetence. And when I call, I am asked to wait where I am told squarely to go and see elsewhere. This insurance is really deplorable.</v>
      </c>
    </row>
    <row r="961" ht="15.75" customHeight="1">
      <c r="A961" s="2">
        <v>4.0</v>
      </c>
      <c r="B961" s="2" t="s">
        <v>2621</v>
      </c>
      <c r="C961" s="2" t="s">
        <v>2622</v>
      </c>
      <c r="D961" s="2" t="s">
        <v>95</v>
      </c>
      <c r="E961" s="2" t="s">
        <v>96</v>
      </c>
      <c r="F961" s="2" t="s">
        <v>15</v>
      </c>
      <c r="G961" s="2" t="s">
        <v>449</v>
      </c>
      <c r="H961" s="2" t="s">
        <v>28</v>
      </c>
      <c r="I961" s="2" t="str">
        <f>IFERROR(__xludf.DUMMYFUNCTION("GOOGLETRANSLATE(C961,""fr"",""en"")"),"I am satisfied with the service.
Ease of use of the April Moto site.
Speed ​​of management of my subscription file.
Very good for monthly payments.")</f>
        <v>I am satisfied with the service.
Ease of use of the April Moto site.
Speed ​​of management of my subscription file.
Very good for monthly payments.</v>
      </c>
    </row>
    <row r="962" ht="15.75" customHeight="1">
      <c r="A962" s="2">
        <v>3.0</v>
      </c>
      <c r="B962" s="2" t="s">
        <v>2623</v>
      </c>
      <c r="C962" s="2" t="s">
        <v>2624</v>
      </c>
      <c r="D962" s="2" t="s">
        <v>26</v>
      </c>
      <c r="E962" s="2" t="s">
        <v>21</v>
      </c>
      <c r="F962" s="2" t="s">
        <v>15</v>
      </c>
      <c r="G962" s="2" t="s">
        <v>2625</v>
      </c>
      <c r="H962" s="2" t="s">
        <v>57</v>
      </c>
      <c r="I962" s="2" t="str">
        <f>IFERROR(__xludf.DUMMYFUNCTION("GOOGLETRANSLATE(C962,""fr"",""en"")"),"Following water damage S.DE B. Expert report not communicated to insurance (period 15 working days). Promise of the expert on December 14 of a settlement before or just after Christmas. To date AXA is not aware of the expert's report. Despite several remi"&amp;"nders on my part ... no results. Disappointing.")</f>
        <v>Following water damage S.DE B. Expert report not communicated to insurance (period 15 working days). Promise of the expert on December 14 of a settlement before or just after Christmas. To date AXA is not aware of the expert's report. Despite several reminders on my part ... no results. Disappointing.</v>
      </c>
    </row>
    <row r="963" ht="15.75" customHeight="1">
      <c r="A963" s="2">
        <v>3.0</v>
      </c>
      <c r="B963" s="2" t="s">
        <v>2626</v>
      </c>
      <c r="C963" s="2" t="s">
        <v>2627</v>
      </c>
      <c r="D963" s="2" t="s">
        <v>95</v>
      </c>
      <c r="E963" s="2" t="s">
        <v>96</v>
      </c>
      <c r="F963" s="2" t="s">
        <v>15</v>
      </c>
      <c r="G963" s="2" t="s">
        <v>1115</v>
      </c>
      <c r="H963" s="2" t="s">
        <v>39</v>
      </c>
      <c r="I963" s="2" t="str">
        <f>IFERROR(__xludf.DUMMYFUNCTION("GOOGLETRANSLATE(C963,""fr"",""en"")"),"Very fast is simple
Site safety I think to insure properly for my scooter at an advantageous price I hope to receive my green card quickly")</f>
        <v>Very fast is simple
Site safety I think to insure properly for my scooter at an advantageous price I hope to receive my green card quickly</v>
      </c>
    </row>
    <row r="964" ht="15.75" customHeight="1">
      <c r="A964" s="2">
        <v>5.0</v>
      </c>
      <c r="B964" s="2" t="s">
        <v>2628</v>
      </c>
      <c r="C964" s="2" t="s">
        <v>2629</v>
      </c>
      <c r="D964" s="2" t="s">
        <v>75</v>
      </c>
      <c r="E964" s="2" t="s">
        <v>14</v>
      </c>
      <c r="F964" s="2" t="s">
        <v>15</v>
      </c>
      <c r="G964" s="2" t="s">
        <v>885</v>
      </c>
      <c r="H964" s="2" t="s">
        <v>28</v>
      </c>
      <c r="I964" s="2" t="str">
        <f>IFERROR(__xludf.DUMMYFUNCTION("GOOGLETRANSLATE(C964,""fr"",""en"")"),"The price suits me. The system is simple and practical. Several people have built it to me. Good opinion of departure. We hope it will remain like that in the event of a problem!")</f>
        <v>The price suits me. The system is simple and practical. Several people have built it to me. Good opinion of departure. We hope it will remain like that in the event of a problem!</v>
      </c>
    </row>
    <row r="965" ht="15.75" customHeight="1">
      <c r="A965" s="2">
        <v>5.0</v>
      </c>
      <c r="B965" s="2" t="s">
        <v>2630</v>
      </c>
      <c r="C965" s="2" t="s">
        <v>2631</v>
      </c>
      <c r="D965" s="2" t="s">
        <v>158</v>
      </c>
      <c r="E965" s="2" t="s">
        <v>14</v>
      </c>
      <c r="F965" s="2" t="s">
        <v>15</v>
      </c>
      <c r="G965" s="2" t="s">
        <v>2632</v>
      </c>
      <c r="H965" s="2" t="s">
        <v>17</v>
      </c>
      <c r="I965" s="2" t="str">
        <f>IFERROR(__xludf.DUMMYFUNCTION("GOOGLETRANSLATE(C965,""fr"",""en"")"),"Very satisfied with MAIF, both for self -insurance and living room and others.")</f>
        <v>Very satisfied with MAIF, both for self -insurance and living room and others.</v>
      </c>
    </row>
    <row r="966" ht="15.75" customHeight="1">
      <c r="A966" s="2">
        <v>1.0</v>
      </c>
      <c r="B966" s="2" t="s">
        <v>2633</v>
      </c>
      <c r="C966" s="2" t="s">
        <v>2634</v>
      </c>
      <c r="D966" s="2" t="s">
        <v>560</v>
      </c>
      <c r="E966" s="2" t="s">
        <v>32</v>
      </c>
      <c r="F966" s="2" t="s">
        <v>15</v>
      </c>
      <c r="G966" s="2" t="s">
        <v>2635</v>
      </c>
      <c r="H966" s="2" t="s">
        <v>286</v>
      </c>
      <c r="I966" s="2" t="str">
        <f>IFERROR(__xludf.DUMMYFUNCTION("GOOGLETRANSLATE(C966,""fr"",""en"")"),"To flee!")</f>
        <v>To flee!</v>
      </c>
    </row>
    <row r="967" ht="15.75" customHeight="1">
      <c r="A967" s="2">
        <v>5.0</v>
      </c>
      <c r="B967" s="2" t="s">
        <v>2636</v>
      </c>
      <c r="C967" s="2" t="s">
        <v>2637</v>
      </c>
      <c r="D967" s="2" t="s">
        <v>37</v>
      </c>
      <c r="E967" s="2" t="s">
        <v>14</v>
      </c>
      <c r="F967" s="2" t="s">
        <v>15</v>
      </c>
      <c r="G967" s="2" t="s">
        <v>236</v>
      </c>
      <c r="H967" s="2" t="s">
        <v>28</v>
      </c>
      <c r="I967" s="2" t="str">
        <f>IFERROR(__xludf.DUMMYFUNCTION("GOOGLETRANSLATE(C967,""fr"",""en"")")," Very efficient, fast, competitive staff in terms of prices, very pleasant staff. Quick and simple transaction.
I recommend this insurance.")</f>
        <v> Very efficient, fast, competitive staff in terms of prices, very pleasant staff. Quick and simple transaction.
I recommend this insurance.</v>
      </c>
    </row>
    <row r="968" ht="15.75" customHeight="1">
      <c r="A968" s="2">
        <v>5.0</v>
      </c>
      <c r="B968" s="2" t="s">
        <v>2638</v>
      </c>
      <c r="C968" s="2" t="s">
        <v>2639</v>
      </c>
      <c r="D968" s="2" t="s">
        <v>37</v>
      </c>
      <c r="E968" s="2" t="s">
        <v>14</v>
      </c>
      <c r="F968" s="2" t="s">
        <v>15</v>
      </c>
      <c r="G968" s="2" t="s">
        <v>1272</v>
      </c>
      <c r="H968" s="2" t="s">
        <v>67</v>
      </c>
      <c r="I968" s="2" t="str">
        <f>IFERROR(__xludf.DUMMYFUNCTION("GOOGLETRANSLATE(C968,""fr"",""en"")"),"Satisfactory very good listening of the customer good insurance virtual advisor very effective recessing recessive price suitable assurance to recommend thank you")</f>
        <v>Satisfactory very good listening of the customer good insurance virtual advisor very effective recessing recessive price suitable assurance to recommend thank you</v>
      </c>
    </row>
    <row r="969" ht="15.75" customHeight="1">
      <c r="A969" s="2">
        <v>4.0</v>
      </c>
      <c r="B969" s="2" t="s">
        <v>2640</v>
      </c>
      <c r="C969" s="2" t="s">
        <v>2641</v>
      </c>
      <c r="D969" s="2" t="s">
        <v>75</v>
      </c>
      <c r="E969" s="2" t="s">
        <v>14</v>
      </c>
      <c r="F969" s="2" t="s">
        <v>15</v>
      </c>
      <c r="G969" s="2" t="s">
        <v>149</v>
      </c>
      <c r="H969" s="2" t="s">
        <v>77</v>
      </c>
      <c r="I969" s="2" t="str">
        <f>IFERROR(__xludf.DUMMYFUNCTION("GOOGLETRANSLATE(C969,""fr"",""en"")"),"RAS /
Simply, you had to know that a secondary driver despite his 50%, will pay more, than the main driver with Equivalence of Use.
cheers")</f>
        <v>RAS /
Simply, you had to know that a secondary driver despite his 50%, will pay more, than the main driver with Equivalence of Use.
cheers</v>
      </c>
    </row>
    <row r="970" ht="15.75" customHeight="1">
      <c r="A970" s="2">
        <v>2.0</v>
      </c>
      <c r="B970" s="2" t="s">
        <v>2642</v>
      </c>
      <c r="C970" s="2" t="s">
        <v>2643</v>
      </c>
      <c r="D970" s="2" t="s">
        <v>26</v>
      </c>
      <c r="E970" s="2" t="s">
        <v>65</v>
      </c>
      <c r="F970" s="2" t="s">
        <v>15</v>
      </c>
      <c r="G970" s="2" t="s">
        <v>2462</v>
      </c>
      <c r="H970" s="2" t="s">
        <v>142</v>
      </c>
      <c r="I970" s="2" t="str">
        <f>IFERROR(__xludf.DUMMYFUNCTION("GOOGLETRANSLATE(C970,""fr"",""en"")"),"Total redemption insurance insurance receiving on June 15 at my full file agency to date August 21, 2018 no news. I sent a complaint where I was told that the file had been processed on July 17 more than a month after reception and that it was normal no r"&amp;"esponse to my last email, my advisor had me that 'We had to wait. The legal deadline being two months I ask for a delay compensation and payment as soon as possible has become a lead because I have financial problems currently because of this situation")</f>
        <v>Total redemption insurance insurance receiving on June 15 at my full file agency to date August 21, 2018 no news. I sent a complaint where I was told that the file had been processed on July 17 more than a month after reception and that it was normal no response to my last email, my advisor had me that 'We had to wait. The legal deadline being two months I ask for a delay compensation and payment as soon as possible has become a lead because I have financial problems currently because of this situation</v>
      </c>
    </row>
    <row r="971" ht="15.75" customHeight="1">
      <c r="A971" s="2">
        <v>1.0</v>
      </c>
      <c r="B971" s="2" t="s">
        <v>2644</v>
      </c>
      <c r="C971" s="2" t="s">
        <v>2645</v>
      </c>
      <c r="D971" s="2" t="s">
        <v>75</v>
      </c>
      <c r="E971" s="2" t="s">
        <v>14</v>
      </c>
      <c r="F971" s="2" t="s">
        <v>15</v>
      </c>
      <c r="G971" s="2" t="s">
        <v>1131</v>
      </c>
      <c r="H971" s="2" t="s">
        <v>39</v>
      </c>
      <c r="I971" s="2" t="str">
        <f>IFERROR(__xludf.DUMMYFUNCTION("GOOGLETRANSLATE(C971,""fr"",""en"")"),"Vehicle assignment and lack of contact lacking kindness and lack of explanation lacks kindness and lack of confidence then goodbye
I terminate my contract by sale of vehicle because you would have had me for years as insured goodbye")</f>
        <v>Vehicle assignment and lack of contact lacking kindness and lack of explanation lacks kindness and lack of confidence then goodbye
I terminate my contract by sale of vehicle because you would have had me for years as insured goodbye</v>
      </c>
    </row>
    <row r="972" ht="15.75" customHeight="1">
      <c r="A972" s="2">
        <v>3.0</v>
      </c>
      <c r="B972" s="2" t="s">
        <v>2646</v>
      </c>
      <c r="C972" s="2" t="s">
        <v>2647</v>
      </c>
      <c r="D972" s="2" t="s">
        <v>2648</v>
      </c>
      <c r="E972" s="2" t="s">
        <v>153</v>
      </c>
      <c r="F972" s="2" t="s">
        <v>15</v>
      </c>
      <c r="G972" s="2" t="s">
        <v>2649</v>
      </c>
      <c r="H972" s="2" t="s">
        <v>926</v>
      </c>
      <c r="I972" s="2" t="str">
        <f>IFERROR(__xludf.DUMMYFUNCTION("GOOGLETRANSLATE(C972,""fr"",""en"")"),"Not very fast, but effective ... maybe a little expensive and still. Like all insurances, they have a hedgehog skin wallet .... easy to store but money very hard to go out.")</f>
        <v>Not very fast, but effective ... maybe a little expensive and still. Like all insurances, they have a hedgehog skin wallet .... easy to store but money very hard to go out.</v>
      </c>
    </row>
    <row r="973" ht="15.75" customHeight="1">
      <c r="A973" s="2">
        <v>1.0</v>
      </c>
      <c r="B973" s="2" t="s">
        <v>2650</v>
      </c>
      <c r="C973" s="2" t="s">
        <v>2651</v>
      </c>
      <c r="D973" s="2" t="s">
        <v>242</v>
      </c>
      <c r="E973" s="2" t="s">
        <v>14</v>
      </c>
      <c r="F973" s="2" t="s">
        <v>15</v>
      </c>
      <c r="G973" s="2" t="s">
        <v>2652</v>
      </c>
      <c r="H973" s="2" t="s">
        <v>2264</v>
      </c>
      <c r="I973" s="2" t="str">
        <f>IFERROR(__xludf.DUMMYFUNCTION("GOOGLETRANSLATE(C973,""fr"",""en"")"),"Customer 259070
Very on it I am not listening to me they do not answer me that I have assured for a year I ask for the change of formula he confirms on me it is good after it takes me more than before and of course with the same formula I will terminate "&amp;"soon")</f>
        <v>Customer 259070
Very on it I am not listening to me they do not answer me that I have assured for a year I ask for the change of formula he confirms on me it is good after it takes me more than before and of course with the same formula I will terminate soon</v>
      </c>
    </row>
    <row r="974" ht="15.75" customHeight="1">
      <c r="A974" s="2">
        <v>1.0</v>
      </c>
      <c r="B974" s="2" t="s">
        <v>2653</v>
      </c>
      <c r="C974" s="2" t="s">
        <v>2654</v>
      </c>
      <c r="D974" s="2" t="s">
        <v>221</v>
      </c>
      <c r="E974" s="2" t="s">
        <v>14</v>
      </c>
      <c r="F974" s="2" t="s">
        <v>15</v>
      </c>
      <c r="G974" s="2" t="s">
        <v>2143</v>
      </c>
      <c r="H974" s="2" t="s">
        <v>521</v>
      </c>
      <c r="I974" s="2" t="str">
        <f>IFERROR(__xludf.DUMMYFUNCTION("GOOGLETRANSLATE(C974,""fr"",""en"")"),"Following a non -responsible disaster, my car was declared non -repairable, and I was compensated at 600 euros while equivalent cars were sold 1500 euros occasionally. I managed to recover 200 euros from Doloris penalty thanks to the intervention of a con"&amp;"sumer association (LDDA)")</f>
        <v>Following a non -responsible disaster, my car was declared non -repairable, and I was compensated at 600 euros while equivalent cars were sold 1500 euros occasionally. I managed to recover 200 euros from Doloris penalty thanks to the intervention of a consumer association (LDDA)</v>
      </c>
    </row>
    <row r="975" ht="15.75" customHeight="1">
      <c r="A975" s="2">
        <v>2.0</v>
      </c>
      <c r="B975" s="2" t="s">
        <v>2655</v>
      </c>
      <c r="C975" s="2" t="s">
        <v>2656</v>
      </c>
      <c r="D975" s="2" t="s">
        <v>55</v>
      </c>
      <c r="E975" s="2" t="s">
        <v>14</v>
      </c>
      <c r="F975" s="2" t="s">
        <v>15</v>
      </c>
      <c r="G975" s="2" t="s">
        <v>2657</v>
      </c>
      <c r="H975" s="2" t="s">
        <v>132</v>
      </c>
      <c r="I975" s="2" t="str">
        <f>IFERROR(__xludf.DUMMYFUNCTION("GOOGLETRANSLATE(C975,""fr"",""en"")"),"No one I just had a claim for three days I have been waiting for a replacement vehicle I contacted the audience five times, the vehicle had to have delivered today I blocked all afternoon without any return to Telephone I am asked to say the rental compan"&amp;"y saying ... At the MMAF it is the client who works!")</f>
        <v>No one I just had a claim for three days I have been waiting for a replacement vehicle I contacted the audience five times, the vehicle had to have delivered today I blocked all afternoon without any return to Telephone I am asked to say the rental company saying ... At the MMAF it is the client who works!</v>
      </c>
    </row>
    <row r="976" ht="15.75" customHeight="1">
      <c r="A976" s="2">
        <v>1.0</v>
      </c>
      <c r="B976" s="2" t="s">
        <v>2658</v>
      </c>
      <c r="C976" s="2" t="s">
        <v>2659</v>
      </c>
      <c r="D976" s="2" t="s">
        <v>639</v>
      </c>
      <c r="E976" s="2" t="s">
        <v>90</v>
      </c>
      <c r="F976" s="2" t="s">
        <v>15</v>
      </c>
      <c r="G976" s="2" t="s">
        <v>2660</v>
      </c>
      <c r="H976" s="2" t="s">
        <v>107</v>
      </c>
      <c r="I976" s="2" t="str">
        <f>IFERROR(__xludf.DUMMYFUNCTION("GOOGLETRANSLATE(C976,""fr"",""en"")"),"Be careful if you have been reimbursed from time to year of € 1000 for your dog for example and that you give € 30 per month or € 360 per year
Surprise the year according to you by monthly payments the difference of the € 1000 refunded !!!!!
But of co"&amp;"urse that he doesn't tell you when you register
But they have the cheek to say it when you want to unsubscribe")</f>
        <v>Be careful if you have been reimbursed from time to year of € 1000 for your dog for example and that you give € 30 per month or € 360 per year
Surprise the year according to you by monthly payments the difference of the € 1000 refunded !!!!!
But of course that he doesn't tell you when you register
But they have the cheek to say it when you want to unsubscribe</v>
      </c>
    </row>
    <row r="977" ht="15.75" customHeight="1">
      <c r="A977" s="2">
        <v>1.0</v>
      </c>
      <c r="B977" s="2" t="s">
        <v>2661</v>
      </c>
      <c r="C977" s="2" t="s">
        <v>2662</v>
      </c>
      <c r="D977" s="2" t="s">
        <v>242</v>
      </c>
      <c r="E977" s="2" t="s">
        <v>14</v>
      </c>
      <c r="F977" s="2" t="s">
        <v>15</v>
      </c>
      <c r="G977" s="2" t="s">
        <v>252</v>
      </c>
      <c r="H977" s="2" t="s">
        <v>67</v>
      </c>
      <c r="I977" s="2" t="str">
        <f>IFERROR(__xludf.DUMMYFUNCTION("GOOGLETRANSLATE(C977,""fr"",""en"")"),"I do not recommend at all.
I paid the first year I had to ask or wait to get my gray card and it was up to me to print it.
The second year they took me and I never received anything despite my requests. They are able to send you a letter to warn you tha"&amp;"t you will be taken for the whole year; But not even able to send us what is due to us, this to say the green sticker! I do not recommend at all, go see the known insurance even if it means paying more and not paying for anything !!!!
Have a good day")</f>
        <v>I do not recommend at all.
I paid the first year I had to ask or wait to get my gray card and it was up to me to print it.
The second year they took me and I never received anything despite my requests. They are able to send you a letter to warn you that you will be taken for the whole year; But not even able to send us what is due to us, this to say the green sticker! I do not recommend at all, go see the known insurance even if it means paying more and not paying for anything !!!!
Have a good day</v>
      </c>
    </row>
    <row r="978" ht="15.75" customHeight="1">
      <c r="A978" s="2">
        <v>1.0</v>
      </c>
      <c r="B978" s="2" t="s">
        <v>2663</v>
      </c>
      <c r="C978" s="2" t="s">
        <v>2664</v>
      </c>
      <c r="D978" s="2" t="s">
        <v>173</v>
      </c>
      <c r="E978" s="2" t="s">
        <v>32</v>
      </c>
      <c r="F978" s="2" t="s">
        <v>15</v>
      </c>
      <c r="G978" s="2" t="s">
        <v>2665</v>
      </c>
      <c r="H978" s="2" t="s">
        <v>155</v>
      </c>
      <c r="I978" s="2" t="str">
        <f>IFERROR(__xludf.DUMMYFUNCTION("GOOGLETRANSLATE(C978,""fr"",""en"")"),"To subscribe no worries the advisor Mr Lamy calls you J Usqua 5 times a day before the signing. Then when you need impossible information to have it and to such a person knows how to answer you (potiches) we have the impression of a ghost mutual
Advice t"&amp;"o flee")</f>
        <v>To subscribe no worries the advisor Mr Lamy calls you J Usqua 5 times a day before the signing. Then when you need impossible information to have it and to such a person knows how to answer you (potiches) we have the impression of a ghost mutual
Advice to flee</v>
      </c>
    </row>
    <row r="979" ht="15.75" customHeight="1">
      <c r="A979" s="2">
        <v>1.0</v>
      </c>
      <c r="B979" s="2" t="s">
        <v>2666</v>
      </c>
      <c r="C979" s="2" t="s">
        <v>151</v>
      </c>
      <c r="D979" s="2" t="s">
        <v>13</v>
      </c>
      <c r="E979" s="2" t="s">
        <v>14</v>
      </c>
      <c r="F979" s="2" t="s">
        <v>15</v>
      </c>
      <c r="G979" s="2" t="s">
        <v>660</v>
      </c>
      <c r="H979" s="2" t="s">
        <v>17</v>
      </c>
      <c r="I979" s="2" t="str">
        <f>IFERROR(__xludf.DUMMYFUNCTION("GOOGLETRANSLATE(C979,""fr"",""en"")"),"Intervention deleted at the request of the Internet user.")</f>
        <v>Intervention deleted at the request of the Internet user.</v>
      </c>
    </row>
    <row r="980" ht="15.75" customHeight="1">
      <c r="A980" s="2">
        <v>4.0</v>
      </c>
      <c r="B980" s="2" t="s">
        <v>2667</v>
      </c>
      <c r="C980" s="2" t="s">
        <v>2668</v>
      </c>
      <c r="D980" s="2" t="s">
        <v>13</v>
      </c>
      <c r="E980" s="2" t="s">
        <v>14</v>
      </c>
      <c r="F980" s="2" t="s">
        <v>15</v>
      </c>
      <c r="G980" s="2" t="s">
        <v>420</v>
      </c>
      <c r="H980" s="2" t="s">
        <v>28</v>
      </c>
      <c r="I980" s="2" t="str">
        <f>IFERROR(__xludf.DUMMYFUNCTION("GOOGLETRANSLATE(C980,""fr"",""en"")"),"Ensures for about fifteen years without disaster at the Macif, I change my car and I am increased my bonus by 100 % by telling myself that it is a luxury car ""it's a porsche"" so I terminated My contract, not correct of that time.")</f>
        <v>Ensures for about fifteen years without disaster at the Macif, I change my car and I am increased my bonus by 100 % by telling myself that it is a luxury car "it's a porsche" so I terminated My contract, not correct of that time.</v>
      </c>
    </row>
    <row r="981" ht="15.75" customHeight="1">
      <c r="A981" s="2">
        <v>2.0</v>
      </c>
      <c r="B981" s="2" t="s">
        <v>2669</v>
      </c>
      <c r="C981" s="2" t="s">
        <v>2670</v>
      </c>
      <c r="D981" s="2" t="s">
        <v>37</v>
      </c>
      <c r="E981" s="2" t="s">
        <v>14</v>
      </c>
      <c r="F981" s="2" t="s">
        <v>15</v>
      </c>
      <c r="G981" s="2" t="s">
        <v>1323</v>
      </c>
      <c r="H981" s="2" t="s">
        <v>335</v>
      </c>
      <c r="I981" s="2" t="str">
        <f>IFERROR(__xludf.DUMMYFUNCTION("GOOGLETRANSLATE(C981,""fr"",""en"")"),"I regret to be registered in this insurance, the word unchanging was created for them, for an ice breeze I am asked to take photos, I did it, and I am asked to do it again and again, 9 days that I am without vehicle because they refuse to reimburse me if "&amp;"I do not have their validation")</f>
        <v>I regret to be registered in this insurance, the word unchanging was created for them, for an ice breeze I am asked to take photos, I did it, and I am asked to do it again and again, 9 days that I am without vehicle because they refuse to reimburse me if I do not have their validation</v>
      </c>
    </row>
    <row r="982" ht="15.75" customHeight="1">
      <c r="A982" s="2">
        <v>3.0</v>
      </c>
      <c r="B982" s="2" t="s">
        <v>2671</v>
      </c>
      <c r="C982" s="2" t="s">
        <v>2672</v>
      </c>
      <c r="D982" s="2" t="s">
        <v>579</v>
      </c>
      <c r="E982" s="2" t="s">
        <v>14</v>
      </c>
      <c r="F982" s="2" t="s">
        <v>15</v>
      </c>
      <c r="G982" s="2" t="s">
        <v>2673</v>
      </c>
      <c r="H982" s="2" t="s">
        <v>784</v>
      </c>
      <c r="I982" s="2" t="str">
        <f>IFERROR(__xludf.DUMMYFUNCTION("GOOGLETRANSLATE(C982,""fr"",""en"")"),"Avoid making sure to look for this insurance company that there are two non -responsible problems terminate not to reimburse in addition with a bonus50% more ensures more than 25 anne looking for? I do not advise to ensure you dear")</f>
        <v>Avoid making sure to look for this insurance company that there are two non -responsible problems terminate not to reimburse in addition with a bonus50% more ensures more than 25 anne looking for? I do not advise to ensure you dear</v>
      </c>
    </row>
    <row r="983" ht="15.75" customHeight="1">
      <c r="A983" s="2">
        <v>5.0</v>
      </c>
      <c r="B983" s="2" t="s">
        <v>2674</v>
      </c>
      <c r="C983" s="2" t="s">
        <v>2675</v>
      </c>
      <c r="D983" s="2" t="s">
        <v>273</v>
      </c>
      <c r="E983" s="2" t="s">
        <v>153</v>
      </c>
      <c r="F983" s="2" t="s">
        <v>15</v>
      </c>
      <c r="G983" s="2" t="s">
        <v>2676</v>
      </c>
      <c r="H983" s="2" t="s">
        <v>321</v>
      </c>
      <c r="I983" s="2" t="str">
        <f>IFERROR(__xludf.DUMMYFUNCTION("GOOGLETRANSLATE(C983,""fr"",""en"")"),"   I had a credit repurchase with death insurance on my husband and myself. Both insured at 100%. My husband died in May. I opened a file to take charge of my insurance. My credit repurchase was 100%covered. Competent insurance. My file was processed quic"&amp;"kly despite the confinement. I recommend this insurance. I was well accompanied for the proper follow -up of my insurance. Thank you.")</f>
        <v>   I had a credit repurchase with death insurance on my husband and myself. Both insured at 100%. My husband died in May. I opened a file to take charge of my insurance. My credit repurchase was 100%covered. Competent insurance. My file was processed quickly despite the confinement. I recommend this insurance. I was well accompanied for the proper follow -up of my insurance. Thank you.</v>
      </c>
    </row>
    <row r="984" ht="15.75" customHeight="1">
      <c r="A984" s="2">
        <v>4.0</v>
      </c>
      <c r="B984" s="2" t="s">
        <v>2677</v>
      </c>
      <c r="C984" s="2" t="s">
        <v>2678</v>
      </c>
      <c r="D984" s="2" t="s">
        <v>75</v>
      </c>
      <c r="E984" s="2" t="s">
        <v>14</v>
      </c>
      <c r="F984" s="2" t="s">
        <v>15</v>
      </c>
      <c r="G984" s="2" t="s">
        <v>2679</v>
      </c>
      <c r="H984" s="2" t="s">
        <v>28</v>
      </c>
      <c r="I984" s="2" t="str">
        <f>IFERROR(__xludf.DUMMYFUNCTION("GOOGLETRANSLATE(C984,""fr"",""en"")"),"Very competence advisor I am a new user so not too much opinion on the quality of the service in the event of an incident but I already find that the connected option is interesting, I hope that I will find myself financially.")</f>
        <v>Very competence advisor I am a new user so not too much opinion on the quality of the service in the event of an incident but I already find that the connected option is interesting, I hope that I will find myself financially.</v>
      </c>
    </row>
    <row r="985" ht="15.75" customHeight="1">
      <c r="A985" s="2">
        <v>1.0</v>
      </c>
      <c r="B985" s="2" t="s">
        <v>2680</v>
      </c>
      <c r="C985" s="2" t="s">
        <v>2681</v>
      </c>
      <c r="D985" s="2" t="s">
        <v>158</v>
      </c>
      <c r="E985" s="2" t="s">
        <v>14</v>
      </c>
      <c r="F985" s="2" t="s">
        <v>15</v>
      </c>
      <c r="G985" s="2" t="s">
        <v>2682</v>
      </c>
      <c r="H985" s="2" t="s">
        <v>331</v>
      </c>
      <c r="I985" s="2" t="str">
        <f>IFERROR(__xludf.DUMMYFUNCTION("GOOGLETRANSLATE(C985,""fr"",""en"")"),"After more than forty years of insurance (1979) auto and others with the MAIF, I have just received a notice of radiation without any motivation for a vehicle (VAM) when I have not had a claim for a very long time, However, my 3 Raqvam contracts were not "&amp;"terminated ... after having? To the delegation of my department the person I had on the phone had no information, too bad! So I'm going to go to the front and do research to change insurer for all of my contracts.
MAIF militant insurer ...
 Best regards")</f>
        <v>After more than forty years of insurance (1979) auto and others with the MAIF, I have just received a notice of radiation without any motivation for a vehicle (VAM) when I have not had a claim for a very long time, However, my 3 Raqvam contracts were not terminated ... after having? To the delegation of my department the person I had on the phone had no information, too bad! So I'm going to go to the front and do research to change insurer for all of my contracts.
MAIF militant insurer ...
 Best regards</v>
      </c>
    </row>
    <row r="986" ht="15.75" customHeight="1">
      <c r="A986" s="2">
        <v>1.0</v>
      </c>
      <c r="B986" s="2" t="s">
        <v>2683</v>
      </c>
      <c r="C986" s="2" t="s">
        <v>2684</v>
      </c>
      <c r="D986" s="2" t="s">
        <v>42</v>
      </c>
      <c r="E986" s="2" t="s">
        <v>32</v>
      </c>
      <c r="F986" s="2" t="s">
        <v>15</v>
      </c>
      <c r="G986" s="2" t="s">
        <v>118</v>
      </c>
      <c r="H986" s="2" t="s">
        <v>77</v>
      </c>
      <c r="I986" s="2" t="str">
        <f>IFERROR(__xludf.DUMMYFUNCTION("GOOGLETRANSLATE(C986,""fr"",""en"")"),"MGEN is an unreachable mutual. If we don't have a problem then everything is fine. The contributions are expensive and the reimbursements unsuitable, insufficient. MGEN does not adapt to new patient practices (osteo very little reimbursed, alternative med"&amp;"icine nothing ...). No possibility of having an interlocutor and a direct line. It is a platform that treats calls. You come across a different person every time and you have to take your explanations at 0 ... difficult to escape it when you are a teacher"&amp;". It is very curious, on the Mgen site, the mutual is curiously very well rated while on an independent site it is very badly rated ... The other major brands have their local agencies and their accessible advisers. At the Mgen we do not feel customer ...")</f>
        <v>MGEN is an unreachable mutual. If we don't have a problem then everything is fine. The contributions are expensive and the reimbursements unsuitable, insufficient. MGEN does not adapt to new patient practices (osteo very little reimbursed, alternative medicine nothing ...). No possibility of having an interlocutor and a direct line. It is a platform that treats calls. You come across a different person every time and you have to take your explanations at 0 ... difficult to escape it when you are a teacher. It is very curious, on the Mgen site, the mutual is curiously very well rated while on an independent site it is very badly rated ... The other major brands have their local agencies and their accessible advisers. At the Mgen we do not feel customer ...</v>
      </c>
    </row>
    <row r="987" ht="15.75" customHeight="1">
      <c r="A987" s="2">
        <v>2.0</v>
      </c>
      <c r="B987" s="2" t="s">
        <v>2685</v>
      </c>
      <c r="C987" s="2" t="s">
        <v>2686</v>
      </c>
      <c r="D987" s="2" t="s">
        <v>20</v>
      </c>
      <c r="E987" s="2" t="s">
        <v>21</v>
      </c>
      <c r="F987" s="2" t="s">
        <v>15</v>
      </c>
      <c r="G987" s="2" t="s">
        <v>1718</v>
      </c>
      <c r="H987" s="2" t="s">
        <v>201</v>
      </c>
      <c r="I987" s="2" t="str">
        <f>IFERROR(__xludf.DUMMYFUNCTION("GOOGLETRANSLATE(C987,""fr"",""en"")"),"Damage of AUs which is still not paid 7 months later. Characterized bad faith. No reaction to the emails and when you hit your fist on the table, an ""illiterate"" accuses you of a scam because a quote dated 07 and read like 01 !!!! I have to contact a la"&amp;"wyer. It is a scandal. The customer is considered to be a contribution of money, but zero relationship. To be strongly not recommended.")</f>
        <v>Damage of AUs which is still not paid 7 months later. Characterized bad faith. No reaction to the emails and when you hit your fist on the table, an "illiterate" accuses you of a scam because a quote dated 07 and read like 01 !!!! I have to contact a lawyer. It is a scandal. The customer is considered to be a contribution of money, but zero relationship. To be strongly not recommended.</v>
      </c>
    </row>
    <row r="988" ht="15.75" customHeight="1">
      <c r="A988" s="2">
        <v>3.0</v>
      </c>
      <c r="B988" s="2" t="s">
        <v>2687</v>
      </c>
      <c r="C988" s="2" t="s">
        <v>2688</v>
      </c>
      <c r="D988" s="2" t="s">
        <v>75</v>
      </c>
      <c r="E988" s="2" t="s">
        <v>14</v>
      </c>
      <c r="F988" s="2" t="s">
        <v>15</v>
      </c>
      <c r="G988" s="2" t="s">
        <v>1247</v>
      </c>
      <c r="H988" s="2" t="s">
        <v>86</v>
      </c>
      <c r="I988" s="2" t="str">
        <f>IFERROR(__xludf.DUMMYFUNCTION("GOOGLETRANSLATE(C988,""fr"",""en"")"),"Well placed in terms of price and guaranteed (a or even in the event of a claim)
We hope to be satisfied with this insurance if we have a disaster.
The future will tell !!")</f>
        <v>Well placed in terms of price and guaranteed (a or even in the event of a claim)
We hope to be satisfied with this insurance if we have a disaster.
The future will tell !!</v>
      </c>
    </row>
    <row r="989" ht="15.75" customHeight="1">
      <c r="A989" s="2">
        <v>5.0</v>
      </c>
      <c r="B989" s="2" t="s">
        <v>2689</v>
      </c>
      <c r="C989" s="2" t="s">
        <v>2690</v>
      </c>
      <c r="D989" s="2" t="s">
        <v>37</v>
      </c>
      <c r="E989" s="2" t="s">
        <v>14</v>
      </c>
      <c r="F989" s="2" t="s">
        <v>15</v>
      </c>
      <c r="G989" s="2" t="s">
        <v>481</v>
      </c>
      <c r="H989" s="2" t="s">
        <v>98</v>
      </c>
      <c r="I989" s="2" t="str">
        <f>IFERROR(__xludf.DUMMYFUNCTION("GOOGLETRANSLATE(C989,""fr"",""en"")"),"I am very satisfied with this insurance because she provides everyone at a good price compared to other insurances which are too selective and this is a strong point")</f>
        <v>I am very satisfied with this insurance because she provides everyone at a good price compared to other insurances which are too selective and this is a strong point</v>
      </c>
    </row>
    <row r="990" ht="15.75" customHeight="1">
      <c r="A990" s="2">
        <v>2.0</v>
      </c>
      <c r="B990" s="2" t="s">
        <v>2691</v>
      </c>
      <c r="C990" s="2" t="s">
        <v>2692</v>
      </c>
      <c r="D990" s="2" t="s">
        <v>2693</v>
      </c>
      <c r="E990" s="2" t="s">
        <v>96</v>
      </c>
      <c r="F990" s="2" t="s">
        <v>15</v>
      </c>
      <c r="G990" s="2" t="s">
        <v>521</v>
      </c>
      <c r="H990" s="2" t="s">
        <v>521</v>
      </c>
      <c r="I990" s="2" t="str">
        <f>IFERROR(__xludf.DUMMYFUNCTION("GOOGLETRANSLATE(C990,""fr"",""en"")"),"Please note, the information given during the first contact by phone is not reliable. I asked if I had to have my vehicle engraved, the operator told me that no. I signed the contract and a few weeks later I was asked for the certificate of engraving.")</f>
        <v>Please note, the information given during the first contact by phone is not reliable. I asked if I had to have my vehicle engraved, the operator told me that no. I signed the contract and a few weeks later I was asked for the certificate of engraving.</v>
      </c>
    </row>
    <row r="991" ht="15.75" customHeight="1">
      <c r="A991" s="2">
        <v>1.0</v>
      </c>
      <c r="B991" s="2" t="s">
        <v>2694</v>
      </c>
      <c r="C991" s="2" t="s">
        <v>2695</v>
      </c>
      <c r="D991" s="2" t="s">
        <v>313</v>
      </c>
      <c r="E991" s="2" t="s">
        <v>90</v>
      </c>
      <c r="F991" s="2" t="s">
        <v>15</v>
      </c>
      <c r="G991" s="2" t="s">
        <v>609</v>
      </c>
      <c r="H991" s="2" t="s">
        <v>321</v>
      </c>
      <c r="I991" s="2" t="str">
        <f>IFERROR(__xludf.DUMMYFUNCTION("GOOGLETRANSLATE(C991,""fr"",""en"")"),"I sponsored 3 people, I have never seen the sponsorship offer. For several months, they have the numbers of the contracts signed, they have never offered me the offer of which I had the right. It is false advertising and it is especially deplorable and qu"&amp;"ite shabby than a company As this one does not honor a gesture which did not cost him much !!! What does this represent for them? Deplorable really !!!")</f>
        <v>I sponsored 3 people, I have never seen the sponsorship offer. For several months, they have the numbers of the contracts signed, they have never offered me the offer of which I had the right. It is false advertising and it is especially deplorable and quite shabby than a company As this one does not honor a gesture which did not cost him much !!! What does this represent for them? Deplorable really !!!</v>
      </c>
    </row>
    <row r="992" ht="15.75" customHeight="1">
      <c r="A992" s="2">
        <v>1.0</v>
      </c>
      <c r="B992" s="2" t="s">
        <v>2696</v>
      </c>
      <c r="C992" s="2" t="s">
        <v>2697</v>
      </c>
      <c r="D992" s="2" t="s">
        <v>639</v>
      </c>
      <c r="E992" s="2" t="s">
        <v>90</v>
      </c>
      <c r="F992" s="2" t="s">
        <v>15</v>
      </c>
      <c r="G992" s="2" t="s">
        <v>2698</v>
      </c>
      <c r="H992" s="2" t="s">
        <v>175</v>
      </c>
      <c r="I992" s="2" t="str">
        <f>IFERROR(__xludf.DUMMYFUNCTION("GOOGLETRANSLATE(C992,""fr"",""en"")"),"The contribution that increases by 82 % ??????? Clearly if your animal falls ill the contributions fly away ..... everyone knows that an aged animal is more likely to be visiting the veterinarian. It is the door open to this insurer to explode contributio"&amp;"ns. I immediately stop my contract (which has years) and I will advise against this insurance everywhere!")</f>
        <v>The contribution that increases by 82 % ??????? Clearly if your animal falls ill the contributions fly away ..... everyone knows that an aged animal is more likely to be visiting the veterinarian. It is the door open to this insurer to explode contributions. I immediately stop my contract (which has years) and I will advise against this insurance everywhere!</v>
      </c>
    </row>
    <row r="993" ht="15.75" customHeight="1">
      <c r="A993" s="2">
        <v>1.0</v>
      </c>
      <c r="B993" s="2" t="s">
        <v>2699</v>
      </c>
      <c r="C993" s="2" t="s">
        <v>2700</v>
      </c>
      <c r="D993" s="2" t="s">
        <v>55</v>
      </c>
      <c r="E993" s="2" t="s">
        <v>14</v>
      </c>
      <c r="F993" s="2" t="s">
        <v>15</v>
      </c>
      <c r="G993" s="2" t="s">
        <v>2701</v>
      </c>
      <c r="H993" s="2" t="s">
        <v>103</v>
      </c>
      <c r="I993" s="2" t="str">
        <f>IFERROR(__xludf.DUMMYFUNCTION("GOOGLETRANSLATE(C993,""fr"",""en"")"),"Maaf and their false advertising .... a whole story that is repeated ...
Insured maaf for years (housing contract, auto, motorcycle, additional contracts child instruments etc ...) I had the honor to receive, following a responsible disaster, a letter in"&amp;"forming me that as a result Customer I benefited from the life bonus .... except that a penalty was applied to me with the related increase .....!
Obviously following a complaint I was informed that I received this letter by mistake .... end of the dis"&amp;"cussion ... if there is one at one point ...
We will therefore terminate all the contracts (+ those of the parents -in -law) in peace and continue to bear the good word as to their actions ....
A pigeon among so many others alas ...")</f>
        <v>Maaf and their false advertising .... a whole story that is repeated ...
Insured maaf for years (housing contract, auto, motorcycle, additional contracts child instruments etc ...) I had the honor to receive, following a responsible disaster, a letter informing me that as a result Customer I benefited from the life bonus .... except that a penalty was applied to me with the related increase .....!
Obviously following a complaint I was informed that I received this letter by mistake .... end of the discussion ... if there is one at one point ...
We will therefore terminate all the contracts (+ those of the parents -in -law) in peace and continue to bear the good word as to their actions ....
A pigeon among so many others alas ...</v>
      </c>
    </row>
    <row r="994" ht="15.75" customHeight="1">
      <c r="A994" s="2">
        <v>5.0</v>
      </c>
      <c r="B994" s="2" t="s">
        <v>2702</v>
      </c>
      <c r="C994" s="2" t="s">
        <v>2703</v>
      </c>
      <c r="D994" s="2" t="s">
        <v>173</v>
      </c>
      <c r="E994" s="2" t="s">
        <v>32</v>
      </c>
      <c r="F994" s="2" t="s">
        <v>15</v>
      </c>
      <c r="G994" s="2" t="s">
        <v>2704</v>
      </c>
      <c r="H994" s="2" t="s">
        <v>175</v>
      </c>
      <c r="I994" s="2" t="str">
        <f>IFERROR(__xludf.DUMMYFUNCTION("GOOGLETRANSLATE(C994,""fr"",""en"")"),"I was particularly well informed by Rali, very nice, welcoming on the phone and very pleasant")</f>
        <v>I was particularly well informed by Rali, very nice, welcoming on the phone and very pleasant</v>
      </c>
    </row>
    <row r="995" ht="15.75" customHeight="1">
      <c r="A995" s="2">
        <v>5.0</v>
      </c>
      <c r="B995" s="2" t="s">
        <v>2705</v>
      </c>
      <c r="C995" s="2" t="s">
        <v>2706</v>
      </c>
      <c r="D995" s="2" t="s">
        <v>37</v>
      </c>
      <c r="E995" s="2" t="s">
        <v>14</v>
      </c>
      <c r="F995" s="2" t="s">
        <v>15</v>
      </c>
      <c r="G995" s="2" t="s">
        <v>778</v>
      </c>
      <c r="H995" s="2" t="s">
        <v>107</v>
      </c>
      <c r="I995" s="2" t="str">
        <f>IFERROR(__xludf.DUMMYFUNCTION("GOOGLETRANSLATE(C995,""fr"",""en"")"),"I AM SATISFIED WITH THE SERVICE . Good contact with the advisor. Correct price.
Facilitates start -up for the future. Super contact with all customer service")</f>
        <v>I AM SATISFIED WITH THE SERVICE . Good contact with the advisor. Correct price.
Facilitates start -up for the future. Super contact with all customer service</v>
      </c>
    </row>
    <row r="996" ht="15.75" customHeight="1">
      <c r="A996" s="2">
        <v>1.0</v>
      </c>
      <c r="B996" s="2" t="s">
        <v>2707</v>
      </c>
      <c r="C996" s="2" t="s">
        <v>2708</v>
      </c>
      <c r="D996" s="2" t="s">
        <v>75</v>
      </c>
      <c r="E996" s="2" t="s">
        <v>14</v>
      </c>
      <c r="F996" s="2" t="s">
        <v>15</v>
      </c>
      <c r="G996" s="2" t="s">
        <v>524</v>
      </c>
      <c r="H996" s="2" t="s">
        <v>28</v>
      </c>
      <c r="I996" s="2" t="str">
        <f>IFERROR(__xludf.DUMMYFUNCTION("GOOGLETRANSLATE(C996,""fr"",""en"")"),"Following a too large Delai of reimbursement of repairing of windshields, with XXXX recovery, I made a quote in another insurance which is expensive of 200 euros for more service.
I therefore think of this contract soon to be terminated")</f>
        <v>Following a too large Delai of reimbursement of repairing of windshields, with XXXX recovery, I made a quote in another insurance which is expensive of 200 euros for more service.
I therefore think of this contract soon to be terminated</v>
      </c>
    </row>
    <row r="997" ht="15.75" customHeight="1">
      <c r="A997" s="2">
        <v>4.0</v>
      </c>
      <c r="B997" s="2" t="s">
        <v>2709</v>
      </c>
      <c r="C997" s="2" t="s">
        <v>2710</v>
      </c>
      <c r="D997" s="2" t="s">
        <v>75</v>
      </c>
      <c r="E997" s="2" t="s">
        <v>14</v>
      </c>
      <c r="F997" s="2" t="s">
        <v>15</v>
      </c>
      <c r="G997" s="2" t="s">
        <v>2711</v>
      </c>
      <c r="H997" s="2" t="s">
        <v>77</v>
      </c>
      <c r="I997" s="2" t="str">
        <f>IFERROR(__xludf.DUMMYFUNCTION("GOOGLETRANSLATE(C997,""fr"",""en"")"),"Excellent value for money and great ease of use of the site.
And 50% cheaper than my previous insurance with services that seem equivalent to me.")</f>
        <v>Excellent value for money and great ease of use of the site.
And 50% cheaper than my previous insurance with services that seem equivalent to me.</v>
      </c>
    </row>
    <row r="998" ht="15.75" customHeight="1">
      <c r="A998" s="2">
        <v>2.0</v>
      </c>
      <c r="B998" s="2" t="s">
        <v>2712</v>
      </c>
      <c r="C998" s="2" t="s">
        <v>2713</v>
      </c>
      <c r="D998" s="2" t="s">
        <v>75</v>
      </c>
      <c r="E998" s="2" t="s">
        <v>14</v>
      </c>
      <c r="F998" s="2" t="s">
        <v>15</v>
      </c>
      <c r="G998" s="2" t="s">
        <v>193</v>
      </c>
      <c r="H998" s="2" t="s">
        <v>193</v>
      </c>
      <c r="I998" s="2" t="str">
        <f>IFERROR(__xludf.DUMMYFUNCTION("GOOGLETRANSLATE(C998,""fr"",""en"")"),"I need to lower the monthly fixed cost following the COVID. I find an offer lower by 100 euros on the internet at home for my car .... which means that I pay more than a new subscriber .. great for loyalty!")</f>
        <v>I need to lower the monthly fixed cost following the COVID. I find an offer lower by 100 euros on the internet at home for my car .... which means that I pay more than a new subscriber .. great for loyalty!</v>
      </c>
    </row>
    <row r="999" ht="15.75" customHeight="1">
      <c r="A999" s="2">
        <v>2.0</v>
      </c>
      <c r="B999" s="2" t="s">
        <v>2714</v>
      </c>
      <c r="C999" s="2" t="s">
        <v>2715</v>
      </c>
      <c r="D999" s="2" t="s">
        <v>394</v>
      </c>
      <c r="E999" s="2" t="s">
        <v>32</v>
      </c>
      <c r="F999" s="2" t="s">
        <v>15</v>
      </c>
      <c r="G999" s="2" t="s">
        <v>2716</v>
      </c>
      <c r="H999" s="2" t="s">
        <v>48</v>
      </c>
      <c r="I999" s="2" t="str">
        <f>IFERROR(__xludf.DUMMYFUNCTION("GOOGLETRANSLATE(C999,""fr"",""en"")"),"Horrible ... I never saw that !! 5 months that I joined, and not a single reimbursement ... The teletransmitation which is part of the contract is not even implemented! They owe me several hundred euros, and despite my calls and mail of complaints, nothin"&amp;"g moves !! ... I am desperate ... and very disappointed.")</f>
        <v>Horrible ... I never saw that !! 5 months that I joined, and not a single reimbursement ... The teletransmitation which is part of the contract is not even implemented! They owe me several hundred euros, and despite my calls and mail of complaints, nothing moves !! ... I am desperate ... and very disappointed.</v>
      </c>
    </row>
    <row r="1000" ht="15.75" customHeight="1">
      <c r="A1000" s="2">
        <v>4.0</v>
      </c>
      <c r="B1000" s="2" t="s">
        <v>2717</v>
      </c>
      <c r="C1000" s="2" t="s">
        <v>2718</v>
      </c>
      <c r="D1000" s="2" t="s">
        <v>37</v>
      </c>
      <c r="E1000" s="2" t="s">
        <v>14</v>
      </c>
      <c r="F1000" s="2" t="s">
        <v>15</v>
      </c>
      <c r="G1000" s="2" t="s">
        <v>2719</v>
      </c>
      <c r="H1000" s="2" t="s">
        <v>67</v>
      </c>
      <c r="I1000" s="2" t="str">
        <f>IFERROR(__xludf.DUMMYFUNCTION("GOOGLETRANSLATE(C1000,""fr"",""en"")"),"I was a customer at home before, before my partner was hired at Groupama where we all had our contracts. We will see if the return goes well ...")</f>
        <v>I was a customer at home before, before my partner was hired at Groupama where we all had our contracts. We will see if the return goes well ...</v>
      </c>
    </row>
    <row r="1001" ht="15.75" customHeight="1">
      <c r="A1001" s="2">
        <v>4.0</v>
      </c>
      <c r="B1001" s="2" t="s">
        <v>2720</v>
      </c>
      <c r="C1001" s="2" t="s">
        <v>2721</v>
      </c>
      <c r="D1001" s="2" t="s">
        <v>75</v>
      </c>
      <c r="E1001" s="2" t="s">
        <v>14</v>
      </c>
      <c r="F1001" s="2" t="s">
        <v>15</v>
      </c>
      <c r="G1001" s="2" t="s">
        <v>363</v>
      </c>
      <c r="H1001" s="2" t="s">
        <v>86</v>
      </c>
      <c r="I1001" s="2" t="str">
        <f>IFERROR(__xludf.DUMMYFUNCTION("GOOGLETRANSLATE(C1001,""fr"",""en"")"),"The quote is correct, but a lack of info on the Youdrive. A delai of 10 J to pay the sums by CB would have been good. Otherwise simple service and report")</f>
        <v>The quote is correct, but a lack of info on the Youdrive. A delai of 10 J to pay the sums by CB would have been good. Otherwise simple service and report</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2022-12-16T15:48:22Z</dcterms:created>
</cp:coreProperties>
</file>