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QvecmhWOule1k5MHCmCjeMgm1Dw=="/>
    </ext>
  </extLst>
</workbook>
</file>

<file path=xl/sharedStrings.xml><?xml version="1.0" encoding="utf-8"?>
<sst xmlns="http://schemas.openxmlformats.org/spreadsheetml/2006/main" count="7011" uniqueCount="2703">
  <si>
    <t>note</t>
  </si>
  <si>
    <t>auteur</t>
  </si>
  <si>
    <t>avis</t>
  </si>
  <si>
    <t>assureur</t>
  </si>
  <si>
    <t>produit</t>
  </si>
  <si>
    <t>type</t>
  </si>
  <si>
    <t>date_publication</t>
  </si>
  <si>
    <t>date_exp</t>
  </si>
  <si>
    <t>avis_en</t>
  </si>
  <si>
    <t>avis_cor</t>
  </si>
  <si>
    <t>avis_cor_en</t>
  </si>
  <si>
    <t>jdjdj-130127</t>
  </si>
  <si>
    <t xml:space="preserve">Beaucoup d'option très chère et inutile. Pour exemple ma fille a cassé sa tablette et rentrait dans les conditions de l'option équipement +, en appelant pacifica ces derniers m'ont refusé le remboursement. </t>
  </si>
  <si>
    <t>Pacifica</t>
  </si>
  <si>
    <t>auto</t>
  </si>
  <si>
    <t>train</t>
  </si>
  <si>
    <t>30/08/2021</t>
  </si>
  <si>
    <t>01/08/2021</t>
  </si>
  <si>
    <t>cardap-50643</t>
  </si>
  <si>
    <t xml:space="preserve">accueil au 3015 hautin et suffisant (style si vous n’êtes pas content , allez voir ailleurs , en agence , pas de problème ,mais les devis changent trop facilement pour les mêmes demande quand on fait un devis sur le net  </t>
  </si>
  <si>
    <t>MAAF</t>
  </si>
  <si>
    <t>25/12/2016</t>
  </si>
  <si>
    <t>01/12/2016</t>
  </si>
  <si>
    <t>morais-p-110445</t>
  </si>
  <si>
    <t xml:space="preserve">Très bien tout par téléphone et mail , explications des options et des prix
reste après envoie des documents le remboursement des 50 euros du parrainage  </t>
  </si>
  <si>
    <t>L'olivier Assurance</t>
  </si>
  <si>
    <t>14/04/2021</t>
  </si>
  <si>
    <t>01/04/2021</t>
  </si>
  <si>
    <t>romain-m-110150</t>
  </si>
  <si>
    <t xml:space="preserve">Je suis très satisfait du site et de cette assurance que je viens de souscrire pour ma moto le site est très fluide et bien expliqué rien à dire super </t>
  </si>
  <si>
    <t>APRIL Moto</t>
  </si>
  <si>
    <t>moto</t>
  </si>
  <si>
    <t>12/04/2021</t>
  </si>
  <si>
    <t>aurelien-q-129419</t>
  </si>
  <si>
    <t xml:space="preserve">5étoiles niveau prix étant donné que c'est la seule assurance qui a acceptée de m'assurer jeune permis sur la moto de mon choix.
Contact rapide avec un conseiller, démarches simples et rapides rien à reprocher : 5 étoiles </t>
  </si>
  <si>
    <t>AMV</t>
  </si>
  <si>
    <t>25/08/2021</t>
  </si>
  <si>
    <t>melissambre-61122</t>
  </si>
  <si>
    <t>Client depuis 2 ans chez direct assurance, nous avons été radiés du jour au lendemain pour un impayé, nous n'avons pas reçu de courrier nous l'indiquant (dernier courrier reçu : carte verte) et on se retrouve à devoir payer la fin du contrat mais en devant s'assurer ailleurs. Savez-vous a quel point il est difficile de s'assurer quand on a été résilié ? Sans avoir eu de sinistre ? Vous mettez les gens dans des situations délicates, sans même essayer de faire un geste, l'erreur et humaine, votre réponse et celle d'une entreprise sans coeur.</t>
  </si>
  <si>
    <t>Direct Assurance</t>
  </si>
  <si>
    <t>05/02/2018</t>
  </si>
  <si>
    <t>01/02/2018</t>
  </si>
  <si>
    <t>chantal-61058</t>
  </si>
  <si>
    <t>je viens de prendre cette mutuelle très mécontente cegéma on vous fait croire bon remboursement dentaire faux 32.25euros je n ai jamais connu celà</t>
  </si>
  <si>
    <t>Cegema Assurances</t>
  </si>
  <si>
    <t>sante</t>
  </si>
  <si>
    <t>02/02/2018</t>
  </si>
  <si>
    <t>delyce69-97947</t>
  </si>
  <si>
    <t>Plus de 2 ans que je me bats avec eux pour résilier une assurance habitation d'un logement quitté en juin 2018, malgré les relances et documents fournis
A chaque fois la même réponse de l'interlocuteur "nous ne pouvons rien faire à notre niveau, le dossier est bloqué au siège, nous n'avons pas de réponse, nous vous tenons informés" .. Mais jamais de réponse
Honteux</t>
  </si>
  <si>
    <t>Allianz</t>
  </si>
  <si>
    <t>habitation</t>
  </si>
  <si>
    <t>29/09/2020</t>
  </si>
  <si>
    <t>01/09/2020</t>
  </si>
  <si>
    <t>yb-62913</t>
  </si>
  <si>
    <t>Assuré depuis 2 ans chez Eurofil pour une auto, j'ai reçu un recommandé me signifiant la résiliation de mon contrat en des termes flous "inadéquation du risque au regard de la politique d'acceptation de la Cie".
J'ai appelé le service clientèle qui m'a confirmé que ce n'était ni une blague ni une erreur et qu'effectivement certaines contraintes et exigences notamment au niveau des risques étaient apparus et qu'ils mettaient donc un terme au contrat fin mai 2018.
Bref on me vire comme un malpropre alors qu'il n'y a jamais eu aucune déclaration de sinistre et que mes cotisations sont à jour.
Le pire c'est qu'on ne veut pas m'en donner la raison surtout qu'on m'a dit que ce renvoi pourrait m'être préjudiciable au moment de m'assurer ailleurs (ils me conseillent de prendre contact avec leur partenaire Assurpeople, connu pour être l'assureur des cas désespérés).
Tout ceci est lamentable ...
Que puis-je faire ?</t>
  </si>
  <si>
    <t>Eurofil</t>
  </si>
  <si>
    <t>03/04/2018</t>
  </si>
  <si>
    <t>01/04/2018</t>
  </si>
  <si>
    <t>bonneau-s-129570</t>
  </si>
  <si>
    <t>Je suis pour le moment très satisfait de vos services, merci. Les prix sont correctes, et le niveau des relations téléphoniques est très bien.
Cordialement</t>
  </si>
  <si>
    <t>26/08/2021</t>
  </si>
  <si>
    <t>bernard-j-139285</t>
  </si>
  <si>
    <t>Les prix sont intéressants le service téléphonique également je recommanderai cette assurance autour de moi ou ferai sûrement assurer dautres véhicules chez eux</t>
  </si>
  <si>
    <t>09/11/2021</t>
  </si>
  <si>
    <t>01/11/2021</t>
  </si>
  <si>
    <t>emma06-81946</t>
  </si>
  <si>
    <t>Ca fait 3 fois que j appelle p revoir l ensemble de mes contrats et personne ne m a rappelé.  Ce n est pas du tout sérieux !</t>
  </si>
  <si>
    <t>GMF</t>
  </si>
  <si>
    <t>15/12/2019</t>
  </si>
  <si>
    <t>01/12/2019</t>
  </si>
  <si>
    <t>helene-92678</t>
  </si>
  <si>
    <t>Bien, réponse rapide. Par contre difficultés pour lire les clauses des contrats. Très pratique d avoir le devis rapidement . Tarif pas le plus intéressant mais correct.</t>
  </si>
  <si>
    <t>29/06/2020</t>
  </si>
  <si>
    <t>01/06/2020</t>
  </si>
  <si>
    <t>sabugueiro-a-115814</t>
  </si>
  <si>
    <t>Très Satisfait des services et un accueil téléphonique parfait. Les interlocuteurs sont très explicites et compréhensifs. les tarifs sont très attractifs. merci</t>
  </si>
  <si>
    <t>03/06/2021</t>
  </si>
  <si>
    <t>01/06/2021</t>
  </si>
  <si>
    <t>diogo89500morais-126601</t>
  </si>
  <si>
    <t xml:space="preserve">Je suis satisfait de vous prix ainsi de votre compréhension de vous contrat assurance simple est rapide est surtout beaucoup efficace est beaucoup de rapidité </t>
  </si>
  <si>
    <t>05/08/2021</t>
  </si>
  <si>
    <t>hoc59-36942</t>
  </si>
  <si>
    <t xml:space="preserve">Ma femme à appeler Direct Assurance pour faire un devis il voulait pas nos assuré pour la seule l'unique raison son mari est chauffeur de taxi aucun rapport 25 ans de permis pour moi, 25 ans de permis pour ma femme jamais eu de sinistre accident, je trouve ça ridicule
</t>
  </si>
  <si>
    <t>02/10/2021</t>
  </si>
  <si>
    <t>01/09/2021</t>
  </si>
  <si>
    <t>mec1tent-90337</t>
  </si>
  <si>
    <t>Si j'avais pu mettre aucunes etoiles concernant la satisfaction je l'aurais fait. Voilà une assurance qui vous éjecte au premier accident resmonsable sans tenir compte des circonstances de l'accident. Ma fille a eu un accident. 4 mois ont passés elle vend son véhicule et demande à en assurer un autre on lui dit qu'il faut d'abord résilier son contrat et faire une demande de devis en envoyant toutes les infos. Chose faite on attend. Rien..j'appelle 6 fois de suite on me balade et on me fait attendre..monsieur on vous envoie le devis et on vous rappellle..pas de devis pas d'appel. Et voilà qu'au 7ème appel ce coup ci on me rappelle pour me dire que vu qu'elle a eu un accident responsable il ne la reprenne plus..les assureurs n'accepteraient ils que les gens qui n'on jamais d'accident ?? En tous cas cette compagnie est à fuir. Aucun respect des gens.</t>
  </si>
  <si>
    <t>Active Assurances</t>
  </si>
  <si>
    <t>09/06/2020</t>
  </si>
  <si>
    <t>fable80-58851</t>
  </si>
  <si>
    <t xml:space="preserve">Simplement catastrophique.
Si vous n'avez pas besoin d'assurance c'est l'assurance qu'il vous faut!
En cas de problème, vous aller vite voir que vous ne serez jamais correctement pris en charge. (Et pourtant je suis assuré tout risque)
</t>
  </si>
  <si>
    <t>15/11/2017</t>
  </si>
  <si>
    <t>01/11/2017</t>
  </si>
  <si>
    <t>lesage-97060</t>
  </si>
  <si>
    <t xml:space="preserve">La SWISS LIFE ne fait pas de bénéfice. Elle fait de la pub sur Arte avec l'argent de ses sociétaires. FUYEZ votre capital est en danger. Les conseillers ne sont que des prédateurs n'ayant qu'une seule logique, la leur. </t>
  </si>
  <si>
    <t>SwissLife</t>
  </si>
  <si>
    <t>vie</t>
  </si>
  <si>
    <t>05/09/2020</t>
  </si>
  <si>
    <t>liz-112862</t>
  </si>
  <si>
    <t xml:space="preserve">Je me battre depuis d’un an pour la réparation des dégâts des eaux, avec une chambre inutilisable et insalubre, on me refuse de m’indemniser et je ne peux pas le réparer avant que on me donne un solution </t>
  </si>
  <si>
    <t>06/05/2021</t>
  </si>
  <si>
    <t>01/05/2021</t>
  </si>
  <si>
    <t>jean-mathieu-f-130929</t>
  </si>
  <si>
    <t>je suis satisfait du service client notamment de l’accueil téléphonique avec des conseillés clients basés en France, ainsi que du site internet très pratique. Je suis également satisfait des tarifs proposés.</t>
  </si>
  <si>
    <t>02/09/2021</t>
  </si>
  <si>
    <t>ptj-105863</t>
  </si>
  <si>
    <t xml:space="preserve">Bonjour
Je viens d'être démarché par une opératrice travaillant pour neoliane qui possédait mes coordonnées  bancaire de plus m'informant que que cette mutuelle est soi disant une obligation en compensation de la sécurité sociale.
J'ai  explique que je n'en n'est pas besoin ,J'ai déjà une mutuelle militaire et  plusieurs  prévoyances .Rien a faire elle m'affirme que c'est obligatoire pour 25 euros par mois.
Vu les témoignages de toute ces personnes qui ont été abusés ,je me sens également piégé.
je viens de déposé une réclamation auprès de néoliane mais ce qui est incroyable ,ces démarcheurs possèdent mes coordonnées bancaire.
J'attend avec impatience une explication sue ce démarchage abusif 
 </t>
  </si>
  <si>
    <t>Néoliane Santé</t>
  </si>
  <si>
    <t>08/03/2021</t>
  </si>
  <si>
    <t>01/03/2021</t>
  </si>
  <si>
    <t>picot-f-123950</t>
  </si>
  <si>
    <t xml:space="preserve">Satisfait du service, même je n 'ai pas pu profiter de l 'avantage multi assurance .
Dommage car je ne bénéficie pas des 10 % pourtant annoncé .
interlocuteur agréable
</t>
  </si>
  <si>
    <t>20/07/2021</t>
  </si>
  <si>
    <t>01/07/2021</t>
  </si>
  <si>
    <t>chaouki-b-107306</t>
  </si>
  <si>
    <t>Service impeccable conseillers à l'écoute toujours disponible pour répondre à toutes les questions. Devis moins cher par rapport aux autres assurances.</t>
  </si>
  <si>
    <t>20/03/2021</t>
  </si>
  <si>
    <t>silver-m-136384</t>
  </si>
  <si>
    <t>je suis satisfait du service proposer , personnel trés reatif et à l'écoute je recommande.
j'ai était parrainer et conseiller par mon frere qui à deja deux véhicule assurer chez l'olivier assurance.</t>
  </si>
  <si>
    <t>07/10/2021</t>
  </si>
  <si>
    <t>01/10/2021</t>
  </si>
  <si>
    <t>guymich-76389</t>
  </si>
  <si>
    <t>4 mois avant la restitution d'un mois de cotisation prélevé après décès. De plus la restitution a été faite chez mon notaire. Aucune réponse malgré LR avec AR, déplacements, mails, coups de téléphone.</t>
  </si>
  <si>
    <t>Ag2r La Mondiale</t>
  </si>
  <si>
    <t>01/06/2019</t>
  </si>
  <si>
    <t>delphine-b-132774</t>
  </si>
  <si>
    <t>Je suis satisfait des prix lors des nouveaux contrats.
en revanche je suis moins satisfait de l'évolution des prix au fil du temps. Les anciens client ne semblent pas une priorité pour DA.</t>
  </si>
  <si>
    <t>14/09/2021</t>
  </si>
  <si>
    <t>moimeme-99621</t>
  </si>
  <si>
    <t xml:space="preserve">très bon conseillers site simple facile a comprendre service client facile a joindre réponse rapide je vais mettre tous mes contrats chez eux en début d'année </t>
  </si>
  <si>
    <t>04/11/2020</t>
  </si>
  <si>
    <t>01/11/2020</t>
  </si>
  <si>
    <t>nathalie-t-114316</t>
  </si>
  <si>
    <t>je suis satisfaite du service pour le moment simple et rapide,on verra pour la suite en ésperant ne pas être déçue...vu les avis d'autres adhérents tout devrait bien se passer.</t>
  </si>
  <si>
    <t>19/05/2021</t>
  </si>
  <si>
    <t>camille-r-138785</t>
  </si>
  <si>
    <t>Je suis satisfaite du service et du prix maintenant je vais voir dans le futur si ça continue de me plaire. sinon je changerais mes formules de remboursement.</t>
  </si>
  <si>
    <t>APRIL</t>
  </si>
  <si>
    <t>02/11/2021</t>
  </si>
  <si>
    <t>martine-b-132170</t>
  </si>
  <si>
    <t>l'obtention d'un devis est rapide et efficace, la demande de renseignements complète, la comparaison facile, à domicile, sans déplacement, en bénéficiant de la loi Hamon.</t>
  </si>
  <si>
    <t>10/09/2021</t>
  </si>
  <si>
    <t>joseph-w-122620</t>
  </si>
  <si>
    <t xml:space="preserve">Satisfait a tous les niveaux :prix, entretien telephonique, explications, rapidité d'effectuation du contrat et envoie de tous les documents par mail </t>
  </si>
  <si>
    <t>07/07/2021</t>
  </si>
  <si>
    <t>beaufils-v-110050</t>
  </si>
  <si>
    <t xml:space="preserve">je suis satisfait de mes services. les prix sont attractifs et les options proposé sont pertinentes. le fait de gérer son abonnement directement su le site est super pratique et intuitifs. </t>
  </si>
  <si>
    <t>amina-b-133268</t>
  </si>
  <si>
    <t xml:space="preserve">Je suis satisfaite du service les nouveaux conducteur vous remercie un service de qualité jamais déçu avec directe assurance  les conseiller très compétents </t>
  </si>
  <si>
    <t>17/09/2021</t>
  </si>
  <si>
    <t>blot-l-136284</t>
  </si>
  <si>
    <t xml:space="preserve">Simple, pratique et conseiller très agréable ! Devis en ligne et contrat effectué au téléphone sans problème, je recommande vivement + offre parrainage etc très intéressant </t>
  </si>
  <si>
    <t>06/10/2021</t>
  </si>
  <si>
    <t>richer-f-115081</t>
  </si>
  <si>
    <t>Je suis très satisfait du service, conseiller très à l'écouter et très gentil je recommande lolivier assurance sur une échelle de 10 et les prix sont très abordable.</t>
  </si>
  <si>
    <t>27/05/2021</t>
  </si>
  <si>
    <t>sophonie65-64952</t>
  </si>
  <si>
    <t xml:space="preserve">J'attends depuis le 24 juillet un remboursement de 255 euros correspondant à des frais dentaires. Ce remboursementr m'a été refusé une première fois prétextant un non-paiement de ma cotisation. Le 4 août, un conseiller téléphonique a confirmé que j'étais bien à jour de mes cotisation et m'a dit de refaire la demande. Depuis j"attends le remboursement. Pas de réponse à mon mail au service client ni au service réclamation.  </t>
  </si>
  <si>
    <t>15/08/2020</t>
  </si>
  <si>
    <t>01/08/2020</t>
  </si>
  <si>
    <t>aline-77429</t>
  </si>
  <si>
    <t>très satisfaite aprés plusieurs appels donc plusieurs personnes d'avoir eu Salima qui m'a réglé mon problème en 1 mn</t>
  </si>
  <si>
    <t>Santiane</t>
  </si>
  <si>
    <t>08/07/2019</t>
  </si>
  <si>
    <t>01/07/2019</t>
  </si>
  <si>
    <t>haganxiii-100598</t>
  </si>
  <si>
    <t xml:space="preserve">Accueil téléphonique fort professionnel pour finaliser le devis effectué sur le site , prix attractif par rapport aux autres assureurs , la rapidité de vérification des documents et l'envoi de la carte verte définitive </t>
  </si>
  <si>
    <t>25/11/2020</t>
  </si>
  <si>
    <t>paul-g-107362</t>
  </si>
  <si>
    <t>Je ne suis pas du tout content . Je ne recois plus de justif d'assurance .. Juste des copies N&amp;B valables 2 mois. J'ai tjrs un justif d'assurance périmé et me fait verbalisé en permanence.. C'EST TRES AGAÇANT!!!!!!</t>
  </si>
  <si>
    <t>21/03/2021</t>
  </si>
  <si>
    <t>espuela-e-138915</t>
  </si>
  <si>
    <t>Je suis satisfaite des services proposés par l'Olivier Assurance, les prix sont très abordables, surtout pour les jeunes conducteurs !
L'assurance est réalisée simplement et en toute rapidité.</t>
  </si>
  <si>
    <t>04/11/2021</t>
  </si>
  <si>
    <t>diego-50343</t>
  </si>
  <si>
    <t>15 ans pour moi et 20 ans pour mon mari chez afer. Rien a redire - rendement toujours dans le top 3 . Accompagnement personnel et deplacements des conseillers jusqu' a votre domicile. Nous avon eu retriat a faire il y a 5 ans il est vrai qu'il fuat compter 15 à 20 jours pour disposer réllement des fonds, mais c'est c'est ainsi sur toutes les assurances vie, puisque les retraits sont soumises aux périodes et temps de rachat.</t>
  </si>
  <si>
    <t>Afer</t>
  </si>
  <si>
    <t>16/01/2017</t>
  </si>
  <si>
    <t>01/01/2017</t>
  </si>
  <si>
    <t>sudheer-t-105733</t>
  </si>
  <si>
    <t>Je suis satisfait du service. c'était rapide. Le prix est interessant et je conseillerai aux autres. Je serai aussi très content que les choses vont se faire très vite. Je suis pressé que tout soit en ordre.</t>
  </si>
  <si>
    <t>07/03/2021</t>
  </si>
  <si>
    <t>mondeo2009-59739</t>
  </si>
  <si>
    <t>Je suis très satisfait du rapport prix/qualité de l'olivier assurance. En plus leur gestion de sinistre est très rapide.ils sont très compétents et réactif.j'etais victime d'1 accident le 09/09/2017 à Toulouse avec ma ford Mondeo, ils m'ont indemnisé en moins de 2 mois du degas matériel.</t>
  </si>
  <si>
    <t>16/12/2017</t>
  </si>
  <si>
    <t>01/12/2017</t>
  </si>
  <si>
    <t>brigitte-b-117878</t>
  </si>
  <si>
    <t>Je suis totalement satisfaite du service offert. Pas d'attente au téléphone, réponse rapide et précise. Interlocuteurs agréables et sérieux Je recommande cette assurance</t>
  </si>
  <si>
    <t>22/06/2021</t>
  </si>
  <si>
    <t>martel-m-115385</t>
  </si>
  <si>
    <t>je suis satisfait du prix et les renseignement que le conseiller ma formuler.
Rapide et très efficace pour tout renseignement donner par le conseiller</t>
  </si>
  <si>
    <t>31/05/2021</t>
  </si>
  <si>
    <t>badre-l-116687</t>
  </si>
  <si>
    <t>L'offre proposée est intéressante et l'expérience internet est pédagogique.                                                                
Le système YouDrive est une excellente idée</t>
  </si>
  <si>
    <t>10/06/2021</t>
  </si>
  <si>
    <t>domi-101535</t>
  </si>
  <si>
    <t>très bonne assurance très bonne réactivité a chaque demande de ma part et  satisfais  de mes demande car il trouve toujours des solutions  cordialement</t>
  </si>
  <si>
    <t>16/12/2020</t>
  </si>
  <si>
    <t>01/12/2020</t>
  </si>
  <si>
    <t>desbou-93912</t>
  </si>
  <si>
    <t xml:space="preserve">Le tarif est un peu élevé mais c’est une bonne offre car tout ce que je désire est compris dans les options. J’espère que le tarif baissera au fil du temps </t>
  </si>
  <si>
    <t>13/07/2020</t>
  </si>
  <si>
    <t>01/07/2020</t>
  </si>
  <si>
    <t>salem-m-112530</t>
  </si>
  <si>
    <t>Les renseignements demandés étaient très claires... Je suis satisfaite service... Les prix me conviennent... Simple et pratique... Le site est très bien fait...</t>
  </si>
  <si>
    <t>04/05/2021</t>
  </si>
  <si>
    <t>aziz310-20322</t>
  </si>
  <si>
    <t xml:space="preserve">Litige avec un garage qui refuse d'appliquer la garantie moteur 3 mois ..
Après des recommandés ..appels
Silence radio de l assurance environ 2 mois Réparations à ma charge.
Inefficacite et abandon du client
Zéro
</t>
  </si>
  <si>
    <t>Matmut</t>
  </si>
  <si>
    <t>ev-80004</t>
  </si>
  <si>
    <t>J'ai été mis en relation avec Caroline. Agent très sympathique, à l'écoute et qui fait son possible pour répondre rapidement à la demande.
Je recommande.</t>
  </si>
  <si>
    <t>14/10/2019</t>
  </si>
  <si>
    <t>01/10/2019</t>
  </si>
  <si>
    <t>perrine78-52999</t>
  </si>
  <si>
    <t xml:space="preserve">J'ai eu un accident totalement non responsable en 2015 impliquant des dommages corporel qui ne m'ont toujours pas été indemnisé, les dommages matériels ont été rapidement indemnisé en revanche. Direct assurance me répond que c'est à moi de contacter l'assureur Allemand (les personnes qui m'ont percuté était allemande) pour demander l'indemnisation. Donc je paye une cotisation pour une assurance pour qui je dois en fait faire les démarches administratives. 
Et aujourd'hui 2017 j'ai vendu ma clio et acheté un scenic je demande donc un changement de véhicule sur mon contrat. Au final ils m'ont fait 2 contrats, 1 pour ma clio tandis que je leur ai envoyé le papier de cession. Et 1 pour le scenic, cela fait donc 3 mois que je paye une double cotisation et que personne ne me répond ni prend en considération le problème. </t>
  </si>
  <si>
    <t>04/03/2017</t>
  </si>
  <si>
    <t>01/03/2017</t>
  </si>
  <si>
    <t>mymy-61333</t>
  </si>
  <si>
    <t>Très incompétent! Ne veulent pas trop ce prendre la tête á travailler donc il ne te trouvent pas des solutions, on dirait que ils sont entrain de nous faire un faveur quand c'est nous les clients.... Impossible d'assurer une voiture tout seule chez eux si on ne le donne pas tous les assurances qu'on a. Pas de respect vers le client, même ils sont entrain de rigoler de nous. Je ne recommende pas de tout!</t>
  </si>
  <si>
    <t>AXA</t>
  </si>
  <si>
    <t>11/02/2018</t>
  </si>
  <si>
    <t>pataninja-66765</t>
  </si>
  <si>
    <t>La meilleure assurance que j'ai jamais eu. 
Satisfaite à 100%</t>
  </si>
  <si>
    <t>11/09/2018</t>
  </si>
  <si>
    <t>01/09/2018</t>
  </si>
  <si>
    <t>perez-137353</t>
  </si>
  <si>
    <t>Bonjour je tenais à donner mon avis sur votre collaboratrice Emeline que je trouve très compétente est très sympathique ça fait plaisir d’avoir des personnes comme ça au téléphone cordialement Monsieur Perez</t>
  </si>
  <si>
    <t>13/10/2021</t>
  </si>
  <si>
    <t>fabrice-s-114728</t>
  </si>
  <si>
    <t xml:space="preserve">je suis satisfait de mes assurances. Mais n'ayant pas encore eu de sinistres, j'attends de voir à ce moment là pour savoir ce que vaut Direct Assurance :-) </t>
  </si>
  <si>
    <t>25/05/2021</t>
  </si>
  <si>
    <t>valerie-139606</t>
  </si>
  <si>
    <t xml:space="preserve">Opérée d’un cancer très rare en septembre 2020 et sous traitement depuis j’ai été convoquée par une Medecin expert en mai 2021 qui m’a déclaré apte à reprendre à plein temps mon travail et ceux depuis décembre 2020 soit 3 mois après une opération qui a duré 7 heures et contre avis médicale de mon oncologue à cause des nombreux effets secondaires de mon traitement 
J’ai donc reçu en juillet un courrier me stipulant qu’ils arrêtaient de payer les prestations !
J’ai demandé une contre expertise et la …deuxième surprise 320 euros à payer !
tout cela doit être dénoncé !! 
Pratique scandaleuse 
</t>
  </si>
  <si>
    <t>prevoyance</t>
  </si>
  <si>
    <t>14/11/2021</t>
  </si>
  <si>
    <t>jean-marc-m-103142</t>
  </si>
  <si>
    <t>je suis satisfait du service et des prix proposés
aucun problème pour la demande de devis plus de difficultés pour remplir la fiche de satisfaction
rien de plus à ajouter</t>
  </si>
  <si>
    <t>23/01/2021</t>
  </si>
  <si>
    <t>01/01/2021</t>
  </si>
  <si>
    <t>jofred-129008</t>
  </si>
  <si>
    <t>Comme toute les mutuelles, pour encaisser les primes aucun problème, pour les remboursement cela se complique.
Changement en cours de contrat des condition de remboursement des indemnités liées à une perte de salaire.
Le demi traitement suffisait, maintenant il faut un arrêté administratif en plus.
Je pensais naïvement qu'un demi traitement se justifiait par un demi traitement sur une fiche de paie. Depuis peu ce n'est pas suffisant pour la MGP.</t>
  </si>
  <si>
    <t>MGP</t>
  </si>
  <si>
    <t>22/08/2021</t>
  </si>
  <si>
    <t>quevedo-cruz-o-123114</t>
  </si>
  <si>
    <t>Jusqu'à maintenant tout va excellent, j'apprécie énormément l'effort de cet entreprise pour s'adapter au marché réellement pour les moins mieux positionnés</t>
  </si>
  <si>
    <t>11/07/2021</t>
  </si>
  <si>
    <t>anthonyprast-75345</t>
  </si>
  <si>
    <t xml:space="preserve">A éviter à tout prix  
Virée sans aucun ménagement et sans aucun motif  
réponse du service commercial   on arrête votre contrat comme vous vous pouvez l'arreter  jai toujours payée mes cotisations jamais eu d'accident  
Merci de ne pas revenir vers moi en commentaire dessous car aucune solution n'as été trouver et surtout aucune raison ne m'as été communiqué </t>
  </si>
  <si>
    <t>24/04/2019</t>
  </si>
  <si>
    <t>01/04/2019</t>
  </si>
  <si>
    <t>floma-65904</t>
  </si>
  <si>
    <t xml:space="preserve">Tres anciens clients du Credit Agricole et de Pacifica  je suis scandalisé par le service clients de Pacifica Privas qui apres avoir transmis un faux numérisé et prouvée par l impossibilité de fournir un document comptable de resiliation .
Zlors que je n ai jamais demandé une resiliation ,Pacifica pretend que j aurai résilié mon contrat en me fournissant une copie fabriquée de resiliation .
Et alors que je conteste et prouve le faux fourni par Pacifica .en reclamant le document comptable de cette resiliation  qui obligatoirement est fourni.avec un remboursement de trop prélevé.
Pacifica ne repind pad et couvre le faux etabli par un conseiller du Credit Agricole de Ruoms 
Ce conseiller avait transmis a la meme date tous mes comptes bancaires à un tiers ey que j ai pu prouvée .
Le Service Juridique du Credit Agricole m a présenté alors des excuses
En ce delit couvert par Pacifica prouvé  ,il est constaté que tous les conseillers peuvent intervenirs sur les comptes des clients.Sans aucune sécurité pour les clients du Credit Agricole et de Pacifica et le service clients de Privas refuse de repondre aux justesr. reclamations en couvrant les delits subits par les clients 
Ce service refuse de fournir la situation d assuré demandée legalement </t>
  </si>
  <si>
    <t>31/07/2018</t>
  </si>
  <si>
    <t>01/07/2018</t>
  </si>
  <si>
    <t>jacqueline-136905</t>
  </si>
  <si>
    <t>Suite à un Violent orage , la foudre a endommagé l unité extérieure de la climatisation.
J ai pu signaler rapidement cet incident à un conseiller Pacifica.
Une semaine après l envoi de la facture de réparation, le groupe Pacifica m a indemnisé .
Je suis donc satisfaite.</t>
  </si>
  <si>
    <t>10/10/2021</t>
  </si>
  <si>
    <t>elena-95833</t>
  </si>
  <si>
    <t>Une conseillère d'agence de la Macif m'a forcer à accepter un prélèvement automatique pour assurer 3 mois une location saisonnière. Ayant pourtant fourni l'état des lieux de sortie à l'agence 29, ainsi que par mail, la Macif a continué de me prélever le mois suivant, sans vouloir me rembourser.</t>
  </si>
  <si>
    <t>MACIF</t>
  </si>
  <si>
    <t>02/08/2020</t>
  </si>
  <si>
    <t>max073-124771</t>
  </si>
  <si>
    <t>Bonjour, je déconseille cet assureur. La 2ieme année de mon contrat, L'olivier m'a augmenté mon contrat sans m'avertir de plus de 20%. Il a fallu que je me batte pour payer la même somme que la 1er année. La 3ieme année L'olivier résilie le contrat sans aucun justificatif et refuse de me donner l'explication (je n'ai pas de malus ni quoi que ce soit). Bref à fuire</t>
  </si>
  <si>
    <t>26/07/2021</t>
  </si>
  <si>
    <t>bauland-s-110494</t>
  </si>
  <si>
    <t>Je suis satisfait de la rapidité de la procédure même si celle-ci aurait pû être accrue si le formulaire en ligne n'avait pas dysfonctionné.
Les tarifs sont compétitifs.</t>
  </si>
  <si>
    <t>15/04/2021</t>
  </si>
  <si>
    <t>mickael-c-129046</t>
  </si>
  <si>
    <t>Prix d'appel attractif mais lorsque l'on rajoute quelques options de confort et de sécurité, le prix est presque doublé.....
L'inscription au contrat est plutôt rapide</t>
  </si>
  <si>
    <t>ferreira-c-114208</t>
  </si>
  <si>
    <t>Je suis satisfaite, une assurance réactive et à l’écoute de ses clients. Les tarifs sont raisonnables et à la portée de chacun. Je recommande cette assurance.</t>
  </si>
  <si>
    <t>ripp2003-130863</t>
  </si>
  <si>
    <t>3 voitures assurés chez eux, 1 devis d'habitation prêt à être signé. et paiement comptant des cotisations à l'année.
Je modifie un contrat pour ajouter le bris de glace; pour la déclaration je reste honnête , le bris de glace s'est produit avant la modification du contrat.... DA débloque tout de même mon dossier (cool) mais, fini par me rappeler.....une fois le parebrise changé (alors celle là, elle est belle) , en me disant que ce n'est finalement pas possible et, que je vais devoir régler le montant directement ! 
Aucune négociation possible, on me dit que j'ai fait une fausse déclaration.
Pas mal d'année assuré chez eux (plus de 5 ans) avec 1 seul accident non responsable.
  J'ai résilié dans l'heure mes 3 contrats et payé Carglass (environ 600€). DA, très peu pour moi, pas cher mais au final, pas assuré !</t>
  </si>
  <si>
    <t>virignie-t-122817</t>
  </si>
  <si>
    <t>pas facile d'avoir un conseiller en ligne sur le site (souvent aucun agent)
au téléphone pour assurance habitation responsabilité civile c compliqué
à télécharger cette attestation n'est pas disponible</t>
  </si>
  <si>
    <t>08/07/2021</t>
  </si>
  <si>
    <t>gilles-v-134101</t>
  </si>
  <si>
    <t>Globalement content, les prix sont compétitifs même si je n'aime pas le fait d'avoir des options un peu partout. Et la franchise à chaque fois un peu élevée</t>
  </si>
  <si>
    <t>23/09/2021</t>
  </si>
  <si>
    <t>jps-96332</t>
  </si>
  <si>
    <t>Très très mauvais assureur,délais d’attente pour réparation très longue et trouve des prétextes d entretien du toit ouvrant pour diminuer la facture de réparation (je vous le déconseille)</t>
  </si>
  <si>
    <t>anthony--p-130001</t>
  </si>
  <si>
    <t>Je suis satisfait du service le prix ça va j'ai pu me m'assurer un dimanche ce que je trouve très bien j'ai un quad à assurer et je pense aussi venir chez AMV</t>
  </si>
  <si>
    <t>29/08/2021</t>
  </si>
  <si>
    <t>eyebe-mvogo-l-109489</t>
  </si>
  <si>
    <t xml:space="preserve">Je suis satisfaite du service, très belle accueille, tout a était très bien expliqué. Je recommande l'olivier assurance que je ne connaissais pas auparavant. </t>
  </si>
  <si>
    <t>07/04/2021</t>
  </si>
  <si>
    <t>dom2047-68502</t>
  </si>
  <si>
    <t xml:space="preserve"> assuré depuis 15 ans pour mes voitures, un  service téléphonique catastrophique toujours injoignable, impossible de les avoir au bout du fil... et bloque les numeros quand on réessaie de les appeler.. une honte et un scandale , de plus les conseillers de plus en plus agressifs, pas commercial du tout même a 11h du matin.. il a du ménage a faire au sein de cette assurance, je pense à quitté cette assurance!!!!!</t>
  </si>
  <si>
    <t>10/11/2018</t>
  </si>
  <si>
    <t>01/11/2018</t>
  </si>
  <si>
    <t>telemking-75605</t>
  </si>
  <si>
    <t>Parfait pour se faire balader et avoir une réponse en les menaçant de faire résilier 300 contrats de groupe chez eux. Aucuns suivi dans les dossiers de réclamation (dit par un conseiller au téléphone) et oublie total de la prise en compte des remboursements de la surcomplémentaire individuelle</t>
  </si>
  <si>
    <t>Génération</t>
  </si>
  <si>
    <t>04/05/2019</t>
  </si>
  <si>
    <t>01/05/2019</t>
  </si>
  <si>
    <t>locquet-c-116630</t>
  </si>
  <si>
    <t>Satisfaite. L'ensemble des propositions faites correspondent à mes attentes. Je recommanderai à toutes les personnes de mon entourage voulant souscrire une assuarance véhicule de vous contacter.</t>
  </si>
  <si>
    <t>stephane-133195</t>
  </si>
  <si>
    <t xml:space="preserve">Juste un petit bémol concernant la garantie perte de salaire.
Il serait opportun de demander chaque année un bulletin de salaire aux adhérents afin de réévaluer le montant de cette garantie pour éviter toute surprise en cas de besoin.
Je viens d'apprendre que dans les conditions de la garantie perte de salaire, je suis censé envoyer une fiche de salaire chaque année. Personne ne m'en a informé lors de la souscription. Pire encore, je ne l'ai jamais fait et personne ne me l'a réclamée...
</t>
  </si>
  <si>
    <t>coelho-m-107793</t>
  </si>
  <si>
    <t xml:space="preserve">De très bonne explications merci l écoute est très importante après avoir eu plusieurs personnes toujours très calme les résultats so t très satisfaisant
</t>
  </si>
  <si>
    <t>24/03/2021</t>
  </si>
  <si>
    <t>dylan-t-110799</t>
  </si>
  <si>
    <t>Très bien je recommande cette assurance je pense que c'est la moins chère la plus fiable suivant le modèle merci beaucoup bonne soirée cordialement merci</t>
  </si>
  <si>
    <t>17/04/2021</t>
  </si>
  <si>
    <t>arbuste33-62091</t>
  </si>
  <si>
    <t>L'assureur m'a augmenté sans raison les tarifs de 30% chaque année en acceptant uniquement le payement annuelle d'où le motif de ma résiliation.</t>
  </si>
  <si>
    <t>08/03/2018</t>
  </si>
  <si>
    <t>01/03/2018</t>
  </si>
  <si>
    <t>colette-t-108889</t>
  </si>
  <si>
    <t xml:space="preserve">je suis satisfait des produits proposer par direct assurance comparer a la concurrence il n'y a pas photo . Mon entourage m'en avais déjà parler c'est pour ça que me suis tourné vers eux . </t>
  </si>
  <si>
    <t>02/04/2021</t>
  </si>
  <si>
    <t>wild-99262</t>
  </si>
  <si>
    <t>Sinistre secheresse d'après l'assurance dommage ouvrage.
Du côté du crédit mutuel devoir de conseil et d'assistance du client zéro. Déclaration des sinistres sur une plateforme en ligne ou téléphonique ou les interlocuteurs ne sont pas en mesure de répondre aux questions et vous dire si votre sinistre peut être pris en charge par vos garanties. 
Laissé a vous même pour les demarches, a plus forte raison quand cela nécessite des contre expertises.
Des gestionnaires sinistres qui tiennent un discours différent de celui de l'expert mandaté pour constater les dégâts. Il faut pleurer pour obtenir les rapports d'expertises, quand on veux bien vous les donner.
Nous avons fait de notre mieux et avons suivi les conseils de nos différents interlocuteurs aux ACM pour que notre sinistre soit traité correctement, nous nous sommes débrouillés seuls malgré qu'une assistance juridique soit adossée a notre contrat pour qu'on nous dise finalement que nous sommes résiliés car nous n'avons pas fait en sorte de protéger notre maison. Lettre de résiliation qui plus est brutale on vous dit qu'on vous doit dehors "pour une gestion équilibrée des activités".
Zéro conseil. Zéro aide. Zero indemnisation. Et zéro intérêt. 
Une honte. A fuir si vous n'êtes pas expert en assurance, et encore...</t>
  </si>
  <si>
    <t>Crédit Mutuel</t>
  </si>
  <si>
    <t>26/10/2020</t>
  </si>
  <si>
    <t>01/10/2020</t>
  </si>
  <si>
    <t>sega-d-111073</t>
  </si>
  <si>
    <t xml:space="preserve">simple et pratique , je suis vraiment satisfais du service proposé en ligne . Je conseillerais à mes proches de se faire assuré a direct assurance 
Bravo Bravo  </t>
  </si>
  <si>
    <t>20/04/2021</t>
  </si>
  <si>
    <t>lea-60587</t>
  </si>
  <si>
    <t>Bonjour,
Pour ma part j'ai été assurée de nombreuses années à la MGEN d'abord par le biais de ma mère puis directement via MGEN Filia (filiale MGEN privée). J'ai toujours été satisfaite dans l'ensemble. Cependant, je demande à résilier mon contrat pour perte d'emploi et départ à l'étranger, on m'a dit à 2 reprises au téléphone de ne pas m'inquiéter que je pouvais résilier mon contrat à tout moment et que mon préavis n'était que de deux mois et au final on m'informe que, étant donné que je suis porteuse du contrat, j'ai un préavis de 4 mois avec aucune exception qui s'applique à mon cas! J'avais en plus contacté la mutuelle à temps et ai attendu janvier exprès pour résilier mon contrat en mars. J'ai indiqué la situation dans ma lettre recommandée. Pour le moment j'attends. Je perdrais sinon 90 € (pour quelqu'un sans source de revenu ce n'est pas négligeable d'autant que je dois prendre une autre assurance pour l'étranger!)</t>
  </si>
  <si>
    <t>Mgen</t>
  </si>
  <si>
    <t>17/01/2018</t>
  </si>
  <si>
    <t>01/01/2018</t>
  </si>
  <si>
    <t>lucas57-67009</t>
  </si>
  <si>
    <t>A eviter dossier gere depuis 2016 premiere indemnisation en decembre 2016 puis pour la suite le contrat ne serait pas valide. Le service contentieux gere le dossier mais pas de reponse depuis des mois</t>
  </si>
  <si>
    <t>Cardif</t>
  </si>
  <si>
    <t>14/02/2019</t>
  </si>
  <si>
    <t>01/02/2019</t>
  </si>
  <si>
    <t>sireuil-a-138847</t>
  </si>
  <si>
    <t xml:space="preserve">Parfait
service rapide et complet
signature électronique idéal pour gérer à distance et notamment pour une rapidité de service et exécution du contrat </t>
  </si>
  <si>
    <t>03/11/2021</t>
  </si>
  <si>
    <t>framy40-91781</t>
  </si>
  <si>
    <t xml:space="preserve">Ayant des problèmes de santé j'ai besoin de leur faire parvenir des devis on m'a appelée je n'ai pas pu répondre et impossible de les rappeler, aucune réponse à mes mails Je suis très déçue </t>
  </si>
  <si>
    <t>22/06/2020</t>
  </si>
  <si>
    <t>polo-110650</t>
  </si>
  <si>
    <t xml:space="preserve">Service client absolument lamentable !
Les documents déposés sur la plateforme n'arrivent pas dans les services
Aucune personne compétente ne peut être jointe, et même aucune personne tout court, c'est ahurissant...
 </t>
  </si>
  <si>
    <t>Mercer</t>
  </si>
  <si>
    <t>16/04/2021</t>
  </si>
  <si>
    <t>anonymes94-136012</t>
  </si>
  <si>
    <t xml:space="preserve">Bonjour
Je dois dire tout d-abord que mon expérience avec la MGP est ancienne 
Mon dernier appel acheté pris en compte par une interlocutrice très humaine et très gentille. 
Seul point négatif pour bénéfice récupération perte salaire et prime, long . Cordialement Mde TROVATO Sylvie </t>
  </si>
  <si>
    <t>05/10/2021</t>
  </si>
  <si>
    <t>lejc-117990</t>
  </si>
  <si>
    <t>Bonjour, j'ai bien fait le tour de tous les avis avant de m'engager chez "la Rolls des assureurs", je vais donc passer mon chemin et mettre de côté plutôt que d'aller chez eux.
Merci pour tous ces avis très précieux</t>
  </si>
  <si>
    <t>SantéVet</t>
  </si>
  <si>
    <t>animaux</t>
  </si>
  <si>
    <t>23/06/2021</t>
  </si>
  <si>
    <t>el-ghouizy-c-135867</t>
  </si>
  <si>
    <t>Bonjour, 
Je suis satisfaite du service de l'olivier . Ma souscription a été rapide et claire. Je remercie les conseillers de  l'olivier assurance. Merci.</t>
  </si>
  <si>
    <t>04/10/2021</t>
  </si>
  <si>
    <t>ling-t-116520</t>
  </si>
  <si>
    <t>très bien pour le service téléphonique client
l'interface numérique et les formules proposées qui sont personnalisées
rapidité et efficacité 
fidélisation</t>
  </si>
  <si>
    <t>09/06/2021</t>
  </si>
  <si>
    <t>jean-d-117814</t>
  </si>
  <si>
    <t xml:space="preserve">Je suis satisfait du service
je ne suis pas satisfait du prix 
l'application est très bien, pratique simple et rapide 
J'aimerais de meilleurs prix et pour mon scooter aussi </t>
  </si>
  <si>
    <t>el-aouadi-t-112831</t>
  </si>
  <si>
    <t xml:space="preserve">Je suis conductrice principale de mon véhicule, proprietaire de mon véhicule, j'ai payé l'année d'assurance, mais tout est au nom de mon mari. Je n'ai aucun compte client, je ne recois aucun email, aucun courrier, aucune notification.. je ne comprends pas. Même mon adresse email je ne peux pas la modifier et je dois formuler cet avis avec l'adresse email de mon mari. </t>
  </si>
  <si>
    <t>al67-53571</t>
  </si>
  <si>
    <t>Bonjour, très déçu par cette assurance, tant que tout va bien (pas de sinistre) on paye, on paye .... et cher ! Et pendant des années !
Par contre lors d'un accident la Maif se défile, pas d'expertise, rien !
Actuellement je suis en recherche d'un nouvel assureur.</t>
  </si>
  <si>
    <t>MAIF</t>
  </si>
  <si>
    <t>25/03/2017</t>
  </si>
  <si>
    <t>harmonie56-76888</t>
  </si>
  <si>
    <t xml:space="preserve">Service client catastrophique, les contacts téléphoniques sont désespérants, Les mails inefficaces. On a l'impression de se retrouver face à un mur impossible de communiquer et de se faire rembourser </t>
  </si>
  <si>
    <t>18/06/2019</t>
  </si>
  <si>
    <t>dan4558-117964</t>
  </si>
  <si>
    <t xml:space="preserve">Depuis 1 semaine on doit me rappeler, hier encore 1h30 au téléphone et quelqu'un doit me contacter (service gestion) .C'est à croire qu'ils sont tous en vacances. C'est vraiment un service clientèle déplorable. 
Je regrette d'avoir changer de mutuelle. </t>
  </si>
  <si>
    <t>patricem2-54898</t>
  </si>
  <si>
    <t>Prix attractif et intéressant. Par contre, le service client est catastrophique.</t>
  </si>
  <si>
    <t>24/05/2017</t>
  </si>
  <si>
    <t>01/05/2017</t>
  </si>
  <si>
    <t>stevens-78181</t>
  </si>
  <si>
    <t xml:space="preserve">réponse rapide  et efficace pas d'attente pour la communication et de plus  une  interlocutrice très agréable qui a répondu a tout mes demandes en  très peu de temps de conversation </t>
  </si>
  <si>
    <t>05/08/2019</t>
  </si>
  <si>
    <t>01/08/2019</t>
  </si>
  <si>
    <t>dorothee-d-106588</t>
  </si>
  <si>
    <t>je suis satisfait du service qualité/prix .
C'est d'ailleurs pour ça que je resigne pour ma nouvelle voiture. Les appels avec le service client sont satisfaisant, je suis tombée sur des conseillers de qualité.
Continuez comme ça !</t>
  </si>
  <si>
    <t>15/03/2021</t>
  </si>
  <si>
    <t>lipizan-134637</t>
  </si>
  <si>
    <t xml:space="preserve">je vous ai contacté parce que je n'arvai pas a creer mon compte client,et j'ai eu un tres bon contact avec DAOUDA sur question posée.
J'attends votre rtour retour pour corriger ce petit problème </t>
  </si>
  <si>
    <t>27/09/2021</t>
  </si>
  <si>
    <t>tarte-74782</t>
  </si>
  <si>
    <t>C'est triste, la "drive box" oblige a conduire comme un papy, n'essayez pas de vous insérer sur une voie rapide en partant de 0kmh (comme il arrive sur les courtes voies d'insertion) sinon vous accélérez trop ou ne passez jamais, n'essayez pas de doubler un peu rapidement, sinon vous faites des "virages serrés", tenez 2 fois vos distances de sécurité, il faut freiner tout doucement pour ne pas avoir de décélération trop forte. Seul le paramètre d'allure de la vitesse a l'air au point.
Et attention, 1 faute c'est 10% ou 25% sur 20km, Je conduit tout bien tout carré, TOUT mes passager me disent que j'en fait trop et je n'arrive qu'a 70% au maximum ce qui correspond a 20% de réduction seulement, vue le prix de l'assurance j'esperais toucher les 40% maximaux, parceque oui, par mois, les 500km je les fait sans aucun soucis, il faut faire moins de 16km par jour pour en profiter.</t>
  </si>
  <si>
    <t>05/04/2019</t>
  </si>
  <si>
    <t>gppart-67848</t>
  </si>
  <si>
    <t xml:space="preserve">Très bien très compétent impliqués et soutenant hhhhhhhhhhhhhhhhhhhhhhhhhhhhhhhhhhhhhhhhhhhhhhhhhhhhhhhhhhhhhhhhhhhhhhhhhhhhhhhhhhhhhhhhhhhhhhhhhhhhhhhhhhhhhhhhhhhhhhhhhhhhhhhhhhhhhhhhhhhhhhhhhhhhhhhhhhhhhhhhhhhhhhhhhhhhhhhhhhhhhhhhhhhhhhhhhhhhhhhhhhhhhhhhhhhhhhhhhhhhhhhhhhhhhhhhhhhhhhhhhhhhhhhhhhhhhhhhhhhhhhhhhhhhh                                                                                                                                                                                                                                                     </t>
  </si>
  <si>
    <t>18/10/2018</t>
  </si>
  <si>
    <t>01/10/2018</t>
  </si>
  <si>
    <t>emilietytymama-102149</t>
  </si>
  <si>
    <t xml:space="preserve">Première fois que je prend une assurance est bien je suis déçu. Ne prend pas en charge les maladies anterieur sois disant. Donc je paye l’assurance pour rien du tout. Et en plus de sa ne veux pas résilier mon contrat et me raccroche au nez sans vouloir satisfaire ma demande. </t>
  </si>
  <si>
    <t>Assur O'Poil</t>
  </si>
  <si>
    <t>04/01/2021</t>
  </si>
  <si>
    <t>stefany62-95498</t>
  </si>
  <si>
    <t xml:space="preserve">Assurance qui va paraître superbe jusqu au jour où vous en aurez besoin et la c est la catastrophe ! Assurance a fuir absolument </t>
  </si>
  <si>
    <t>28/07/2020</t>
  </si>
  <si>
    <t>matt-101162</t>
  </si>
  <si>
    <t xml:space="preserve">Je m'ajoute à la longue liste des assurés insatisfaits par cette mutuelle. D'une manière générale cotisations élevées pour des remboursements faibles, et échanges jamais très clairs avec les conseillers. 
Quant à la résiliation, une mauvaise foi incroyable ! Après avoir envoyé en RAR et par courrier sur l'espace client une demande de résiliation du contrat, je reçois 3 semaines plus tard un nouvel échéancier mentionnant les cotisations à payer pour l'année à venir, pour une option associée au même contrat. Explication de la conseillère, sur un ton condescendant : "on ne peut pas résilier cette option si vous ne l'avez pas explicitement citée, vous savez certains assurés la gardent !" Tout est bon pour garder des sociétaires. </t>
  </si>
  <si>
    <t>Harmonie Mutuelle</t>
  </si>
  <si>
    <t>09/12/2020</t>
  </si>
  <si>
    <t>rodier-109327</t>
  </si>
  <si>
    <t>Une premiere annee chez cegema satisfaisante et la une catastrophe. . j attends des remboursements du 30 novembre! reclamation.. prise en compte il y a q9 jours et on m anno ce pt ertre 2 mois d attente. Meme AXA qui m a fait prendre le contrat chez eux n arrive pas a les joindre.. Tres mauvaise reputation en ce moment ...</t>
  </si>
  <si>
    <t>06/04/2021</t>
  </si>
  <si>
    <t>romane-h-112339</t>
  </si>
  <si>
    <t xml:space="preserve">les prix me conviennent
le site est compréhensible 
a confirmer avec les conseillés pour une entière satisfaction de la demande effectuée 
les réponses sont rapides </t>
  </si>
  <si>
    <t>serge--90858</t>
  </si>
  <si>
    <t xml:space="preserve">Je suis agréablement surpris des tarifs pratiqués , une énorme différence par rapport à Sogessur , à moyen terme un remplacement de mon actuel véhicule est prévu </t>
  </si>
  <si>
    <t>15/06/2020</t>
  </si>
  <si>
    <t>f-g-112484</t>
  </si>
  <si>
    <t>Très bonne assurance auto, niveau prix intéressant mais des franchise sont à prévoir malheureusement en cas de sinistre (bris de glace etc...). Les conseillers sont prévenants et à votre écoute c'est un exploit dans ce métier face aux concurrents. Bravo à cette assurance qui est au top mis à part le point négatif donné.</t>
  </si>
  <si>
    <t>03/05/2021</t>
  </si>
  <si>
    <t>musa325-55681</t>
  </si>
  <si>
    <t xml:space="preserve">Bonjour,
Accident arrivé en janvier 2017 et à ce jour, je ne suis toujours pas remboursé des 350€ que j’ai dû avancer, car le garage partenaire n’était pas assez compètent pour réparer mon véhicule, du coup j’ai dû aller dans un garage du réseau Citroën et avancer les frais … 
Pourtant les choses sont à priori simple et clair, véhicule à l’arrêt, conducteur hors du véhicule, accident survenu dans une station/tunnel de lavage qui n’a pas fonctionné, l’eau n’est pas sortie, résultat les rouleaux ont tournés à sec et ont cassé le rétroviseur passager, le gérant reconnait ses torts et a fait un constat …
A vous de vous faire un avis sur la qualité et les prestations  de cette assurance ... 
</t>
  </si>
  <si>
    <t>28/06/2017</t>
  </si>
  <si>
    <t>01/06/2017</t>
  </si>
  <si>
    <t>cjo-122881</t>
  </si>
  <si>
    <t>A fuir c'est une catastrophe, injoignable au téléphone, site internet ingérable, aucune réponse aux mails, plus de nouvelles du conseiller vendeur, agence injoignable répondeur saturé, quelle désolation. Il est 10h18 depuis 9h ce matin j'essaie de les joindre c'est une honte.</t>
  </si>
  <si>
    <t>09/07/2021</t>
  </si>
  <si>
    <t>leslie-m-110830</t>
  </si>
  <si>
    <t>je suis très satisfaite du service et de l'assurance habitation , c'est une assurance qui est fiable
C'est une assurance qui a des prix très fiable et je recommanderai à mon entourage</t>
  </si>
  <si>
    <t>18/04/2021</t>
  </si>
  <si>
    <t>soso-90363</t>
  </si>
  <si>
    <t>Pire assurance du monde, ils font les mielleux au téléphone mais le jour où vous avez un problème, il n'y a plus personne ! J'ai été victime d'un accident et ils m'ont été d'aucune aide, ils s'arrangent pour ne verser aucune indemnité, pas de véhicule de remplacement (ils trouvent toujours un prétexte pour se dérober) et près de 13 mois après, je n'ai toujours pas obtenu réparation... S'ils sont si peu cher, on comprend vite pourquoi !</t>
  </si>
  <si>
    <t>24/02/2021</t>
  </si>
  <si>
    <t>01/02/2021</t>
  </si>
  <si>
    <t>fodeilla-m-107888</t>
  </si>
  <si>
    <t xml:space="preserve">Je suis très satisfaite des prix sa me convient simple et rapide je vais de vive voix le recommandait a mes amis merci de votre compréhension bonne soirée </t>
  </si>
  <si>
    <t>cec-78070</t>
  </si>
  <si>
    <t xml:space="preserve">Voir message du 30 juillet 2019
Ne vous laissez pas faire.... moi c'est décidé. Je leur ai laissé 15 jours pour revoir leur positionnement sur mon invalidité qu'ils ont classé à un taux fonctionnel de 15 % ( pour ne pas indemniser bien evidemment) avec 1 minute d auscultation ! Aujourd'hui il leur reste 7 jours et je les attaque en justice avec demande de dommages et intérêts.
Sur les avocats que j'ai contacté tous veulent me représenter et me confirme un taux de réussite !
Je pense que ça vaut le coup de se battre. Ne lâchez rien et ne vous laissez pas faire si vous pensez être lesé. 
</t>
  </si>
  <si>
    <t>credit</t>
  </si>
  <si>
    <t>21/09/2019</t>
  </si>
  <si>
    <t>01/09/2019</t>
  </si>
  <si>
    <t>nadia-vasseur--103235</t>
  </si>
  <si>
    <t>Je ne peux fournir un numéro de sécurité sociale, je veux juste un renseignement afin de connaître la procédure pour arrêter le versement d’une complémentaire, on me raccroche au nez ! Je trouve ça inadmissible.</t>
  </si>
  <si>
    <t>Malakoff Humanis</t>
  </si>
  <si>
    <t>26/01/2021</t>
  </si>
  <si>
    <t>cindy-61416</t>
  </si>
  <si>
    <t xml:space="preserve">12 ans de fidélité, aucun accident. Et après le décès de mon conjoint j'ai eu un accident. Il y a eu 8000e de frais et du coup la maaf m'a viré car je leur ai coûté trop cher ! Vive la fidélité ! </t>
  </si>
  <si>
    <t>14/02/2018</t>
  </si>
  <si>
    <t>lobert--112323</t>
  </si>
  <si>
    <t xml:space="preserve">Après deux petits sinistres sur deux ans je reçois avant l'échéance un courrier de résiliation de mon contrat tt risques,, j'ai toujours été bon conducteur,,, quand il s'agit de payer ça va mais dès qu'ils doivent intervenir pour un sinistre on se fait éjecter,,, </t>
  </si>
  <si>
    <t>alexandre-s-110283</t>
  </si>
  <si>
    <t>Je suis satisfait du service et de la qualité proposée, je n'ai jamais eu de problème jusqu'à présent. Vous êtes réactifs et je vous en remercie. Cordialement.</t>
  </si>
  <si>
    <t>13/04/2021</t>
  </si>
  <si>
    <t>sauvant-j-138964</t>
  </si>
  <si>
    <t xml:space="preserve">Bonne compagnie dassurance juste dommage ces 36e de frais de dossier mais sinon rien à dire les personnes qui gère sont très sympathique je recommande </t>
  </si>
  <si>
    <t>bis-60932</t>
  </si>
  <si>
    <t>Cher, très cher, trop cher mais c'est normal , il faut la payer la pub de la télé.
D'ailleurs il faut éviter tous les produits qui passent en boucle à la télé</t>
  </si>
  <si>
    <t>29/01/2018</t>
  </si>
  <si>
    <t>toto-61065</t>
  </si>
  <si>
    <t xml:space="preserve">j ai recu un recommande en janvier 2018 avec une mise en demeure de payer ma cotisation. hors j ai déjà payé par carte bleue en nov 2017. et depuis impossible de l ai avoir par mail et telephone. vaut mieux payer un peu plus cher et avoir un contact sur place. je redoute d avoir un sinistre avec eux. </t>
  </si>
  <si>
    <t>gregory-d-112697</t>
  </si>
  <si>
    <t>Super je conseille bonne assurance rapide et sérieux  assurance rapide en ligne devis reçus rapide rapidement qje conseillé à tout les motard tre bonne asUrance</t>
  </si>
  <si>
    <t>05/05/2021</t>
  </si>
  <si>
    <t>alain-t-123063</t>
  </si>
  <si>
    <t xml:space="preserve">Excellente réactivité qui nous a conduit à prendre cette assurance.
Une couverture qui correspond aux besoins des motards.
Un tarif concurrentiel et correct.
</t>
  </si>
  <si>
    <t>10/07/2021</t>
  </si>
  <si>
    <t>marie-117919</t>
  </si>
  <si>
    <t xml:space="preserve">Depuis le 1er février cegema preléve mes mensualité mais ne m a remboursé que 2 factures de médicament non remboursés par la secu, j attends depuis des semaines les remboursements kiné, ostéopathie et scanner je n ai toujours pas de réponse à mon devis dentaire envoyé par mes soins en février et par le courtier début avril
Les remboursements ont été fait suite à un courrier recommandé que j avais envoyé </t>
  </si>
  <si>
    <t>cedric-j-122975</t>
  </si>
  <si>
    <t xml:space="preserve">Je suis jusqu'ici satisfait des services, j'ai très rarement besoin de l'assurance, mais pour le coup, ayant un sinistre actuellement, je serais rapidement fixé sur l’efficacité de mon contrat tout risque. </t>
  </si>
  <si>
    <t>abre-los-ojos-79858</t>
  </si>
  <si>
    <t>J'ai pris une assurance auto tout risque, une personne a enfoncé volontairement ma voiture sur un rond-point et a pris la fuite. J'ai effectué une déclaration à la gendarmerie (violence avec arme) mais la MAIF ne tient pas compte de mon témoignage et me considère comme responsable de l'accident car je n'ai pas de témoin ni le nom ou plaque du conducteur à l'origine de l'accident.
Même assuré correctement, la MAIF n'a aucune confiance en ses sociétaires et insinue que j'aurais pu faire une fausse déclaration à la gendarmerie.</t>
  </si>
  <si>
    <t>09/10/2019</t>
  </si>
  <si>
    <t>plummm-117038</t>
  </si>
  <si>
    <t>Nous avons une assurance vie chez SOGECAP et ça fait 20 jours que le dossier est prêt et même qu'il est parti ( le 26 mai21).... cerise sur le gâteau ils sont fermés soi-disant depuis vendredi  11 juin 21 , ( ainsi que lundi 14,donc)je ne peux les contacter pour le moment que par téléphone ?? je crois qu'il va falloir que je trouve un autre moyen</t>
  </si>
  <si>
    <t>Sogecap</t>
  </si>
  <si>
    <t>14/06/2021</t>
  </si>
  <si>
    <t>gobillot-f-112771</t>
  </si>
  <si>
    <t xml:space="preserve">Je suis satisfait du service et des prix proposés
À mes yeux le rapport qualité prix est exelent
Surtout pour les jeunes conducteur comme moi         </t>
  </si>
  <si>
    <t>recrem-103778</t>
  </si>
  <si>
    <t xml:space="preserve">Mutuelle méprisant ses adhérents .Ne répond pas aux questions de ses adhérents difficile à joindre aussi bien par téléphone que par internet tout juste bonne à toucher les cotisations. relation avec ses adherents,impossible
</t>
  </si>
  <si>
    <t>06/02/2021</t>
  </si>
  <si>
    <t>julien-52190</t>
  </si>
  <si>
    <t>J'ai envoyé un mail "urgent" au service gestion entreprise le 21/01/2017, car mon fils a été hospitalisé, je n'ai toujours pas eu de réponse. Ma femme à appelé, la conseillère qui n'a pas su répondre à nos questions... je suis vraiment décu du service client.
Lorsqu'on a des souci de santé, on aimerai avoir une mutuelle réactive et la ce n'est pas du tout le cas !!</t>
  </si>
  <si>
    <t>08/02/2017</t>
  </si>
  <si>
    <t>01/02/2017</t>
  </si>
  <si>
    <t>jean-francois-l-105502</t>
  </si>
  <si>
    <t>satisfait de la rapidité de souscription , de la clarté des questions demandées, par contre les clauses du CGV sont très longues et pas très claire à comprendre.</t>
  </si>
  <si>
    <t>04/03/2021</t>
  </si>
  <si>
    <t>lucas-61251</t>
  </si>
  <si>
    <t>Après plusieurs années et contrats chez eux...je me demande si l’on peut appeler ça assurance ?? Ils demandent clairement à leurs experts de minimiser le montant des dégâts et exclure un maximun de leurs sinistres et gare à vous si vous demandez réparation ils vous appliquent un taux « minoré » appelation d’origine constatel...un terme pour vous rembourser le minimum possible.</t>
  </si>
  <si>
    <t>08/02/2018</t>
  </si>
  <si>
    <t>philippe-m-127565</t>
  </si>
  <si>
    <t>Parfait en tout points les prix sont corrects et la rapidité pour la prise en charge de ma demande et vraiment géniale je ne regrette pas mon choix . Merci</t>
  </si>
  <si>
    <t>11/08/2021</t>
  </si>
  <si>
    <t>charles-c-107008</t>
  </si>
  <si>
    <t>je suis satisfait mais une ristourne aurait été la bienvenue à cause de la covid-19 qui a immobilisé la voiture pendant plusieurs mois en 2020, et qui dit pas de déplacement dit pas de sinistre</t>
  </si>
  <si>
    <t>18/03/2021</t>
  </si>
  <si>
    <t>cpraly-52795</t>
  </si>
  <si>
    <t>Ne prenez pas harmonie mutuelle une fois le contrat signé nous avons que des ennuies il ne répondent plus au téléphone donc plus de renseignement il sont bidons</t>
  </si>
  <si>
    <t>27/02/2017</t>
  </si>
  <si>
    <t>natcheyan-m-137806</t>
  </si>
  <si>
    <t>Les prix me conviennent, la moins chère sur les comparateurs d’assurance. Facile et simple. Rapidité pour souscrire à une assurance voiture. Tout se passe bien.</t>
  </si>
  <si>
    <t>19/10/2021</t>
  </si>
  <si>
    <t>naffy-115312</t>
  </si>
  <si>
    <t>Jeune enseignant, je n'avais quasiment pas de demandes de remboursement et j'étais heureux de cotiser par solidarité.
Aujourd'hui avec une vie de famille, les petites demandes s'accumulent (soins dentaires, médecines spécialisées, ophtalmo, lunettes, etc). 
Chaque demande de remboursement ou presque est rejetée malgré l'envoi de tous les justificatifs nécessaires. Sans envoyer plusieurs messages, aucune chance d'être remboursé ou d'avoir la moindre explication sur un rejet.
C'est un long combat pour chaque demande de remboursement. Si perdre du temps ne vous fait pas peur, allez-y.
Comme l'ensemble des commentaires, je constate que le rapport tarif/qualité de service est extrêmement décevant.</t>
  </si>
  <si>
    <t>29/05/2021</t>
  </si>
  <si>
    <t>joelle-61466</t>
  </si>
  <si>
    <t>Rigidité des échanges avec le client, pour souscrire hyper rapide, on vous refourgue un produit supplémentaire sans votre accord, par contre une fois client, ne surtout pas déroger de leurs procédures.
Très mauvaise communication et inertie totale sur les réponses attendues.</t>
  </si>
  <si>
    <t>15/02/2018</t>
  </si>
  <si>
    <t>mattwallace-70272</t>
  </si>
  <si>
    <t>Suite a un sinistre survenu dans une zone commerciale ,mon fils arrêté à un stop c'est fait percuter par un vehicule sur tout le côté droit(au dessus roue puis portiere arriere et enfoncement portiere avt) La personne nous disant ne pas nous avoir vu car regardait sur sa droite..Direct assurance lui annonce 100% de responsabilité!!!il aurait soi disant coché une mauvaise case!! A Quoi sert le croquis de l'accident et les observations alors!!!</t>
  </si>
  <si>
    <t>16/01/2019</t>
  </si>
  <si>
    <t>01/01/2019</t>
  </si>
  <si>
    <t>nati-p-116249</t>
  </si>
  <si>
    <t>simple et rapide, des prix plus que convenables
très satisfaite de faire parti des clients
toujours à l'écoute et très professionnel 
déménagement prévu bientôt et toujours assurée chez Direct Assurance</t>
  </si>
  <si>
    <t>07/06/2021</t>
  </si>
  <si>
    <t>occhipinti-a-113648</t>
  </si>
  <si>
    <t>je suis entièrement satisfait, les prix me conviennent, le site de l'assurance est très simple d'utilisation, la rapidité pour finaliser le contrat est très appréciable.</t>
  </si>
  <si>
    <t>13/05/2021</t>
  </si>
  <si>
    <t>nanou--104970</t>
  </si>
  <si>
    <t xml:space="preserve">Bonjour,
Sauf erreur de ma part, cela fait 19 ans que je suis à la MGP et pour le moment je suis satisfaite, alors pourquoi changer une relation qui gagne. </t>
  </si>
  <si>
    <t>alain-d-106326</t>
  </si>
  <si>
    <t>A ce jour je n'ai pas trouve mieux niveaux prix . Dommage qu'a ce jour vous n'assurez pas les camions poids lourds et ne faite pas des assurances pros.</t>
  </si>
  <si>
    <t>12/03/2021</t>
  </si>
  <si>
    <t>corinne-geoffrion--134096</t>
  </si>
  <si>
    <t xml:space="preserve">Je déplore la prise en charge de notre dossier suite au décès de mon frère : résiliation du contrat et appel du service contentieux 5 mois plus tard...sans aucun courrier entre temps.
Je déconseille cette assurance peut-être moins chère mais sans suivi si décès </t>
  </si>
  <si>
    <t>lecomte-m-123609</t>
  </si>
  <si>
    <t>Très satisfaite du service et de la réactivité des professionnels, prix très abordable comparé à d'autres assureurs qui je crois profite bien des petit citoyens.</t>
  </si>
  <si>
    <t>16/07/2021</t>
  </si>
  <si>
    <t>soufyane-a-131731</t>
  </si>
  <si>
    <t xml:space="preserve">Je suis satisfait de la qualité et rapidité du service.
Je recommanderais direct assurance à tous mes amis et proches sans aucune hésitations.
De plus je vais regrouper toutes mes assurances chez  direct assurance </t>
  </si>
  <si>
    <t>07/09/2021</t>
  </si>
  <si>
    <t>le-gorrec-m-123129</t>
  </si>
  <si>
    <t>Je suis satisfaite du service, les prix me conviennent, le service est rapide et efficace, j'ai été assurée très rapidement, je recommande l'Olivier Asurance</t>
  </si>
  <si>
    <t>12/07/2021</t>
  </si>
  <si>
    <t>jourdain-a-116904</t>
  </si>
  <si>
    <t>bonne explication au téléphone personne agréable qui à pris le temps.
nous avons assurés nos deux véhicules tout de suites nous verrons pour le contrat habitation par la suite.</t>
  </si>
  <si>
    <t>13/06/2021</t>
  </si>
  <si>
    <t>bernard-a-138557</t>
  </si>
  <si>
    <t xml:space="preserve">JE SUIS SATISFAITE DES PRIX TRES ABORDABLES POUR UNE PERSONNE QUI CONDUIT DEPUIS PLUS DE 10 ANS SANS HISTORIQUE. JE CONSEILLE L OLIVIER ASSURANCE POUR DES CONDUCTEURS COMME MOI QUI N'ONT PAS D 'ANTECEDENTS QUELQUONQUE ET QUI VEULENT AVOIR UNE ASSURANCE CONVENABLE SANS SE RUINER </t>
  </si>
  <si>
    <t>29/10/2021</t>
  </si>
  <si>
    <t>kalai-m-137633</t>
  </si>
  <si>
    <t xml:space="preserve">Je suis satisfait du service. Les tarifs sont correct. À recommander sans hésiter. 
C'est très simple et et très pratique avec la signature électronique. </t>
  </si>
  <si>
    <t>17/10/2021</t>
  </si>
  <si>
    <t>cnirod-69156</t>
  </si>
  <si>
    <t xml:space="preserve">Contrat santé Numéro  A12624814   depuis le 9 octobre 2018, la CPAM de Vesoul à retransmis à Réunica AG2R un décompte santé d'un montant de 55,50  euros à ce jour, après quatre mails et une lettre recommandée réceptionnée le 26 11 2018 le tout envoyé par mes soins, je n'ai aucune réponse de cette assurance qui ne mérite pas ce nom de ce fait, j'attends toujours le remboursement de ces soins couverts par cette société .
Je déconseille vivement cet organisme qui ne prend même pas la peine de répondre à mes demandes </t>
  </si>
  <si>
    <t>05/12/2018</t>
  </si>
  <si>
    <t>01/12/2018</t>
  </si>
  <si>
    <t>chrbor-74539</t>
  </si>
  <si>
    <t>Bonjour, je suis adhérent à la MGP depuis 20 ans et policier en activité. Je ne suis pas satisfait de la MGP et du manque de clarté concernant les prélèvements et les remboursements. J'ai fait plusieurs réclamations sur le web, la question est marquée comme traitée mais je n'ai aucune réponse. Les conseillers par téléphone ne savent rien. Un conseillé m'a demandé de rappeler à une date ultérieure afin d'avoir un autre conseillé. J'ai fait une demande de remboursement de frais TV sur 4 jours d'hospitalisation (maternité de mon épouse) non résolu (il est noté résolu sur le site mais je n'ai aucun remboursement et aucune réponse malgré mes sollicitations). J'ai résilié ma gamme tradition le 31 janvier 2019 et j'ai eu un prélèvement de 67.75 euros le 5 février 2019 et je ne suis toujours pas remboursé. Prélèvement de 219.38 euros le 5 mars 2019 sans explications. J'ai fait une demande téléphonique le 13/03/2019 par téléphone à un conseillé concernant ces prélèvements. Le conseillé n'a pas su me répondre. Je n'ai toujours pas de réponse et la question sur mon compte ressort "en cours de traitement". Je passe mon temps à faire des réclamations. Je pense résilier dès que possible.</t>
  </si>
  <si>
    <t>28/03/2019</t>
  </si>
  <si>
    <t>01/03/2019</t>
  </si>
  <si>
    <t>boudjemaa-o-128383</t>
  </si>
  <si>
    <t xml:space="preserve">je suis satisfait de l’ensemble des services apporté.
ravis de la personne qui c’est occupé de moi très convivial et souriante au Téléphone 
rapide et simple   </t>
  </si>
  <si>
    <t>17/08/2021</t>
  </si>
  <si>
    <t>begood-57832</t>
  </si>
  <si>
    <t>FUYEZ   assurance impossible de joindre une personne responsable j'ai envoyé ma carte grise trop tard j'ai été résilie depuis pas possible d'avoir un nouveau contrat par contre je n'arrive pas à recevoir le remboursement de la cotisation annuelle que j'avais payé en fait il son nul   Fuyez c'est mon conseil</t>
  </si>
  <si>
    <t>05/10/2017</t>
  </si>
  <si>
    <t>01/10/2017</t>
  </si>
  <si>
    <t>jade-r-114966</t>
  </si>
  <si>
    <t xml:space="preserve">Les tarifs sont un peu élevés mais le site internet est très bien fait. L'obligation de mettre un avis avec un minimum de caractères est contraignant. </t>
  </si>
  <si>
    <t>26/05/2021</t>
  </si>
  <si>
    <t>hugo-c-105145</t>
  </si>
  <si>
    <t xml:space="preserve">J'ai un sinistre en cours depuis Juin 2020, j'ai envoyé plus de 3 mails, toujours pas traité ...
Ma mensualité a été augmentée, mais la prise en charge de mes réparation jamais prise en compte. 
</t>
  </si>
  <si>
    <t>02/03/2021</t>
  </si>
  <si>
    <t>sabine-c-130379</t>
  </si>
  <si>
    <t xml:space="preserve">LE PRIX QUI EST PROPOSE EST : 700 mais à la fin je paye 900  !!!!! et je ne comprends pas pour quoi payer l'année est different de payer mensuellement </t>
  </si>
  <si>
    <t>31/08/2021</t>
  </si>
  <si>
    <t>ricoxes-69684</t>
  </si>
  <si>
    <t>A  eviter  c est la pire assurance que j ai eu pour un petit accrochage non responsable sa traine  heureusement que je n ai pas eu d accident responsable</t>
  </si>
  <si>
    <t>26/12/2018</t>
  </si>
  <si>
    <t>jim-89247</t>
  </si>
  <si>
    <t xml:space="preserve">Une honte cette assurance je doit remboursé une franchise alors que je ne suis pas en tort pourtant je suis assuré tout risque.Tout sa pour une personne qui  a créé un accident sur mon véhicule qui stationner devant mon domicile et en pleine nuit et qui a pris la fuite , j'ai intercepté le véhicule 200metre plus loin plus de chauffeur dépôt plainte etc et la on m'annonce messieurs 300e de franchise +10% des dégâts et au max sa ne peut pas excédé 850e mais vous rigolez une catastrophe cette assurance </t>
  </si>
  <si>
    <t>cathy-108472</t>
  </si>
  <si>
    <t>Bonjour,
Je viens d'appeler aujourd'hui afin d'aider mon fils qui n'avait pas le temps matériel de vous appeler, mais non surtout pas... surtout plus de droit d'aider un membre de sa famille...pire qu'une banque...je dois le laisser se débrouiller sans avoir le droit d'intervenir alors que j'avais tous les éléments en main pour prouver que j'étais sa mère...Donc vive la sociabilité, que je constate que vous n'avez pas et c'est la raison pour laquelle cela ne donne vraiment pas envie de rester dans votre assurance MACIF...
Cordialement</t>
  </si>
  <si>
    <t>30/03/2021</t>
  </si>
  <si>
    <t>beltzung-m-110102</t>
  </si>
  <si>
    <t xml:space="preserve">Je suis satisfait de l assurance l Olivier. Je la conseillerais à mes amies et mes proches. Les conseillère très sympathique et avec professionnalisme. </t>
  </si>
  <si>
    <t>herve-p-122707</t>
  </si>
  <si>
    <t xml:space="preserve">FACILE ECONOMIQUE ET TRES RAPIDE 
je suis entierement sastisfait du site et de son approche très intuitive 
je peux rouler tranquille maintenant
je conseillle APRIL MOTO sans réserve </t>
  </si>
  <si>
    <t>ben-rhouma-h-115866</t>
  </si>
  <si>
    <t>Je suis satisfait du prix, ca me convient, je suis très content. Je vous remercie infiniment pour m'avoir assuré. Je suis très content de votre service</t>
  </si>
  <si>
    <t>romain-m-132379</t>
  </si>
  <si>
    <t>Tres bien rapidité  fluidité  facile à faire très content de service en ligne. . Petit problème de piment par carte mais problème regler très vite merci</t>
  </si>
  <si>
    <t>11/09/2021</t>
  </si>
  <si>
    <t>harjinder-singh-g-134193</t>
  </si>
  <si>
    <t xml:space="preserve">Je suis heureux de assuré avec vous merci pour votre service j’espère bientôt  je vais récrivons notre assurance ticket j’ai trouve votre company sur internet </t>
  </si>
  <si>
    <t>anh-tho-m-126609</t>
  </si>
  <si>
    <t>Parfait et explications claires prix correct je le recommandes au futur assureur merci beaucoup vous êtes les seul qui acceptent de m'assurer vous êtes top</t>
  </si>
  <si>
    <t>boub01-52399</t>
  </si>
  <si>
    <t>Nous avons été assuré 1 an et demi chez cet assureur et nous constatons que certes, le prix de l'assurance est attractif (et encore) mais ces au détriment du service! Nous avons eu un sinistre, nous avons percuté un animal sauvage. Il a fallut une semaine à l'assurance pour nous communiquer le garage qui allait s'occuper de notre voiture (heureusement que rien ne fuyait sur la voiture!). À la suite de ce sinistre nous avons payé une franchise et un an et demi après, ils nous ont prélevé 20 euros sur notre mensualité pour une régularisation (dont les explications sont...incompréhensibles, quand vous arrivez à les obtenir après 20 à 30 min d'attente au téléphone). Je pense que c'est l'une des pires assurances que j'ai fait.</t>
  </si>
  <si>
    <t>14/02/2017</t>
  </si>
  <si>
    <t>christi-104945</t>
  </si>
  <si>
    <t>Bonjour Madame, je suis très satisfait de votre réponse très bien expliqué avec gentillesse. Il serait bien qu'un bureau MGP ré ouvre à Carcassonne.
Recevez, Madame, mes salutations distinguées.</t>
  </si>
  <si>
    <t>guiot-j-130157</t>
  </si>
  <si>
    <t xml:space="preserve">Je suis satisfait du service.les prix sont compétitif et l'accu
l'accueil téléphonique est efficace et rapide. J'ai beaucoup de mal à effectuer les transactions via un ordinateur. </t>
  </si>
  <si>
    <t>franki-a-115991</t>
  </si>
  <si>
    <t>JE SUIS SATISFAIT DU SERVICE PROPOSER J'AI TELLEMENT GALÉRER A TROUVER UNE ASSURANCE COMPÉTENTE ICI C'EST SIMPLE RAPIDE ET PAS CHÈRE JE RECOMMANDE VRAIMENT CE SERVICE EN LIGNE.</t>
  </si>
  <si>
    <t>04/06/2021</t>
  </si>
  <si>
    <t>bill-87247</t>
  </si>
  <si>
    <t>J ai souscrit un contrat avec ma compagne le 3 de ce mois, nos dates de naissance ont été interverties. 
Impossible donc de me servir des cartes reçues.
Suite à appel téléphonique ils m'ont demandés  de leur adresser en mail qu'ils m'ont donnés nos deux attestations sécurité sociale. ce que j'ai fat...toujours pas de nouvelles ...!</t>
  </si>
  <si>
    <t>17/02/2020</t>
  </si>
  <si>
    <t>01/02/2020</t>
  </si>
  <si>
    <t>hecq-e-137601</t>
  </si>
  <si>
    <t xml:space="preserve">Je suis satisfaite des prix bien qu'ils soient forts élevés pour les jeunes conducteurs. En revanche, le contrat est rapide à souscrire et est complet. </t>
  </si>
  <si>
    <t>16/10/2021</t>
  </si>
  <si>
    <t>pat-101878</t>
  </si>
  <si>
    <t xml:space="preserve">Je viens de souscrire cette assurance. Les conseillers sont facilement joignables par téléphone. Le service par mail est pratique pour enregistrer ses coordonnées ou effectuer un changement de véhicule. La carte verte est envoyée par mail en attendant l'original par courrier ce qui est très pratique </t>
  </si>
  <si>
    <t>27/12/2020</t>
  </si>
  <si>
    <t>amara-59967</t>
  </si>
  <si>
    <t>Bonjour april moto Ils sont incompétentes Suite a un sinistre (0% responsable, l'expert il est passé il a validé les travaux toujours rien a signaler de la part de april moto qui n'a pas souhaité le prise en charge la seule chose qu'on me dit a chaque coup du fil il faut patienter messieur ! Mais il faudra patienter  jusqu'à quand ?</t>
  </si>
  <si>
    <t>27/12/2017</t>
  </si>
  <si>
    <t>gabrac71-79076</t>
  </si>
  <si>
    <t xml:space="preserve">C'est la pire assurance auto.Le jour 03 Septembre 2019 vous avez reçu ma lettre recommandée A R ci jointe ou j'ai vous demande la résiliation a l'échéance de la fin de Septembre de mon contrat assurance auto n 398798 en application des dispositions de l'article L113 15 1 du Code des Assurances (ou Loi Châtel ), pour le motif suivant:
absence d'envoi obligatoire de mon avis d'échéance. 
Et en vous demandant aussi le relevé d'information, dans le plus bref délai, selon l'article A. 121 1 du Code des assurances.
En toute réponse vous avez moi demande aujourd'hui le 9 Septembre 2019, la mise en demeure  pour l'échéance du 05 Septembre 2019, d'ailleurs en utilisant mon ancien adresse. 
Je vous demande de procéder à l'annulation immédiat de la procédure de mise en demeure, et de prendre en compte la demande de résiliation à l'échéance de la fin de Septembre, et d'envoi relevé d'information comme demande par ma lettre recommandé A R jointe.
</t>
  </si>
  <si>
    <t>09/09/2019</t>
  </si>
  <si>
    <t>sd-91058</t>
  </si>
  <si>
    <t xml:space="preserve">bonjour
je reçois ce jour un courrier de l'assureur me disant que j'ai dépassé le délai d'un mois pour être remboursée !!
cette info étant écrite en tout petit dans les conditions générales, non signalée par le commercial, et non indiquée clairement sur le site !!
je fais un courrier au service remboursement, en espérant avoir une réponse positive. J'ai même attendu la fin du confinement volontairement en supposant que leurs services fonctionnaient au ralenti !! </t>
  </si>
  <si>
    <t>16/06/2020</t>
  </si>
  <si>
    <t>perse-s-124991</t>
  </si>
  <si>
    <t>Je suis satisfaite de mettre inscrit dans votre assurance et de l'accueil que vous avez eu pour mon dossier je conseillerai certe assurance à mes amis</t>
  </si>
  <si>
    <t>27/07/2021</t>
  </si>
  <si>
    <t>jim-103500</t>
  </si>
  <si>
    <t xml:space="preserve">Cela fait maintenant plus de 3 semaines que je demande un bulletin d information assurance auto et après trois appel , même si cela remonte à des années rien n empêche à l assureur de fournir le document  d autant plus que tout se fait par internet chez eux et informatiquement  , service déplorable ,pas envie de le conseiller du tout à Mon entourage </t>
  </si>
  <si>
    <t>roebuck-k-109851</t>
  </si>
  <si>
    <t>Service telephonique parfait - tres gentile
Bon prix et service client impeccable. Je suis tres content avec Olivier.
Mainteneant je trouve le prix pour la maison!</t>
  </si>
  <si>
    <t>09/04/2021</t>
  </si>
  <si>
    <t>demerzel-52590</t>
  </si>
  <si>
    <t>Le M de MACIF n'a plus rien à voir avec Mutuelle.
C'est une assurance vautour incapable d'assister ses assurés face à un accident de la vie et qui missionne des experts qui n'ont d'expert que le nom, par exemple des dégâts de carrosserie extérieure vus "après démontage"...</t>
  </si>
  <si>
    <t>20/02/2017</t>
  </si>
  <si>
    <t>melimelo-63729</t>
  </si>
  <si>
    <t xml:space="preserve">Très bon service, et très bon suivi client.............................................................. </t>
  </si>
  <si>
    <t>02/05/2018</t>
  </si>
  <si>
    <t>01/05/2018</t>
  </si>
  <si>
    <t>abir-a-113376</t>
  </si>
  <si>
    <t xml:space="preserve">Très à l'écoute, les prix son abordables rien a dire franchement, je conseillerais à mes proches l'assurances. Très facile et rapide en quelque clique on a une assurance </t>
  </si>
  <si>
    <t>11/05/2021</t>
  </si>
  <si>
    <t>papa-62755</t>
  </si>
  <si>
    <t xml:space="preserve">Je suis client  depuis juillet  2017 je viens  davoir un accident  avec un sanglier  le 21 mars 2018 j appelle  l'olivier  il ouvre le dossier  et je suis assuré  au tiers++1115€a l'année  prise en charge  7 jours au bout de 5jours un responsable vous appelle et vous dit pas de prise en charge  car on peut pas attaquer  le sanglier  et  si on vous dedomage on doit pouvoir  ce faire rembourser des frais de vos dégât par contre en tourisque  il y a prise. 
 en charge 
on a fournie photos  il y a des témoins 
Le lieux il y a des panneaux qui indique  que le lieux  et dangereux  !! L'olivier  
mr antoine nous dit que c'est une assurance  virtuel il n'y  a pas d'agence  et vous soucriver en ligne vous donner votre cb et payer 2mois avance et pas de conseiller  pour vous dire quand vous êtes  jeune  prener le niveau  tourisque  si vous voulez  être rembourser  pour tout accident  sinon   vous vous faite avoir le personnel  pas commercial  
Les prestations non expliquer  ou le jour  ou vous avez  un accident  on vous dit sa oui sa non SURPRISE  !!
tout sa pour dire l'olivier  non ailleurs  c'est meilleur  c'est un conseil   assureur  non pas sérieux  a valeur  ce que de droit  me Delahaye </t>
  </si>
  <si>
    <t>28/03/2018</t>
  </si>
  <si>
    <t>pulcocitron-99526</t>
  </si>
  <si>
    <t>Jamais eu de sinistre mais je préfère pas en avoir car j'ai aussi assurance habitation et j'ai eu un sinistre sur l'habitation et ça a été un cauchemard, je vais tout résilier et aller à la maaf car j'ai fait des devis et les tarifs sont les mêmes à la différence qu'il y a un interlocuteur physique. Chez Eurofil, tout à distance avec des gens au téléphone qui en ont rien à faire et cherche juste à vous vendre des choses mais quand vous avez besoin d'eux l'attitude change, on a l'impression d'être un criminel, il donne des explications fantaisistes juste pour être sûr de ne rien vous donner, ils sont juste bon à encaisser vos cotisations et c'est tout, si vous avez besoin de rien vous les appeler, je déconseille fortement cette assurance</t>
  </si>
  <si>
    <t>12/12/2020</t>
  </si>
  <si>
    <t>mj-87897</t>
  </si>
  <si>
    <t>10 minutes d'attente à chaque appel. Envoi de mon dossier début janvier et il a été perdu. J'ai appelé plusieurs fois et jamais aucun rappel...</t>
  </si>
  <si>
    <t>03/03/2020</t>
  </si>
  <si>
    <t>01/03/2020</t>
  </si>
  <si>
    <t>ferron-h-114899</t>
  </si>
  <si>
    <t>Je suis satisfaite de la discussion avec mon interlocutrice. 
Par contre, j'ai eu de la difficulté à activer mon compte perso, le "bouton" ne fonctionnait pas ! Je découvre l'assurance par internet, j'espère ne pas être déçue !</t>
  </si>
  <si>
    <t>nour-eddine--91651</t>
  </si>
  <si>
    <t xml:space="preserve">Je suis satisfait du service et recommanderai vos services A d’autres merci et à très vite je fais le point et verrai si oui ou non je continue avec vous </t>
  </si>
  <si>
    <t>20/06/2020</t>
  </si>
  <si>
    <t>ferard-m-107865</t>
  </si>
  <si>
    <t>Bonjour, je suis très satisfait par la personne qui ma fait signer le contrat au téléphone  très gentille , très. pros.
J ai fait une fosse manip pour  noter ma satisfaction, après l appel mais je mets 10/10
Merci à elle :)</t>
  </si>
  <si>
    <t>jbadi-82233</t>
  </si>
  <si>
    <t>S'il m'était possible de ne pas mettre d'étoiles, je le ferais très rapidement. A votre écoute la 1ère année, après tout change au fur et à mesure, même le fameux prix discount d'arrivée. Augmentation drastique la 2ème année sans raisons (dans notre cas, tentative de +8 à +10%), cette année +5%. En fait, vous payez plus tard "la remise accordée "sur votre tarif de "bienvenue".</t>
  </si>
  <si>
    <t>23/12/2019</t>
  </si>
  <si>
    <t>romu66-62645</t>
  </si>
  <si>
    <t>Le gros point noir relevé est la qualité du service client. Ils considèrent qu'il est normal un délai de remboursement de 6 mois au prétexte qu'aucun délai n'est mentionné dans le code des assurances.</t>
  </si>
  <si>
    <t>24/03/2018</t>
  </si>
  <si>
    <t>philfree-88358</t>
  </si>
  <si>
    <t xml:space="preserve">A fuir très vite! Je me retrouve dans tous les autres avis, aucune réponse aux mails et téléphone. J'ai fait une demande de résiliation fin novembre. Réponse mi-février, résiliation prise en compte à partir du 29/02/20. Je suis donc prélevé par Néoliane et ma nouvelle mutuelle... </t>
  </si>
  <si>
    <t>16/03/2020</t>
  </si>
  <si>
    <t>tranzat-50384</t>
  </si>
  <si>
    <t>Je donne mon avis sur assur bon plan qui est une assurance à éviter à tout prix !! 
Sinistre non responsable le 06/11/2016, toujours en attente d'un remboursement.
Service client inexistant, mail et téléphone ne répondent jamais.
Me voilà en galère d'argent depuis, je ne peux même pas me racheter un véhicule car je n'en est pas les moyens tant que l'assurance ne m'a pas remboursé.
Ma moto a été déclaré épave et l'expert m'a confirmé la remise du dossier et de la cession du véhicule !
C'est scandaleux quand on voit que des assurances comme ça existe !
En plus elle est dans la liste de lelinx.fr je pense qu'ils doivent beaucoup leur donner car cette assurance à rien pour elle.
Je ne suis vraiment pas contant et si je n'ai toujours pas de réponse d'ici janvier 2017 je prends un avocat et les poursuit en justice.
ça suffit de payer pour di vent !</t>
  </si>
  <si>
    <t>16/12/2016</t>
  </si>
  <si>
    <t>philippe-c-116455</t>
  </si>
  <si>
    <t xml:space="preserve">je suis satisfait car malgré les années qui passent vous restez à l'écoute de vos sociétaires .J'ai toujours eu un très bon service en agence et spécialement à Agen. Continuez à considérer vos clients ils vous resteront fidèles .Merci 
</t>
  </si>
  <si>
    <t>boce-f-129709</t>
  </si>
  <si>
    <t xml:space="preserve">beaucoup moins chere que d'autre assurance je suis sastifait je viens de faire un benefice grace a votr assurance je vous en remercie je suis heureux de vous contez parmis vous </t>
  </si>
  <si>
    <t>27/08/2021</t>
  </si>
  <si>
    <t>edgar-a-121542</t>
  </si>
  <si>
    <t>Bonjour.
Je suis satisfait du service de Direct Assurance.
Cependant, j'estime que les prix pour les services proposés sont TROP élevés.
Cordialement, Edgar Arakelyan.</t>
  </si>
  <si>
    <t>29/06/2021</t>
  </si>
  <si>
    <t>robert-m-108961</t>
  </si>
  <si>
    <t xml:space="preserve">quand on à besoin de rien tout va bien , j'ai eu un problème sur ma toiture un vendredi dans la nuit  donc j'ai téléphoner le samedi matin et dans la semaine j'ai retéléphoner et semaine d'après on ma donner le numéro d'un expert qui ma donner pour fixer un rendez-vous pas  avent 15  jours ? donc j'ai tout annuler . j'ai téléphoner à un qui est venu le lendemain pour me remplacer les 5 chapeaux </t>
  </si>
  <si>
    <t>francois-l-109082</t>
  </si>
  <si>
    <t>Désolé , mais le prix que vous m'avez imposé ne correspond pas au contrat que j'avais obtenu la première fois .
J'aimerais pouvoir rectifier cette erreur 
Que dois -je faire ?
Merci de me tenir au courant .</t>
  </si>
  <si>
    <t>03/04/2021</t>
  </si>
  <si>
    <t>laurent78-102360</t>
  </si>
  <si>
    <t>A fuir !!!, disposant d'un plan retraite entreprise, j'ai depuis le mois de juillet 2020 fait une demande de liquidation de ce contrat, pour l'instant après de multiples relances, impossible d'obtenir le moindre renseignement sur la lenteur du remboursement. Impossible de joindre un responsable, uniquement la plateforme téléphonique. J'en suis réduit à faire un courrier recommandé à la direction générale pour leur dire mon mécontentement et demander une action de leur part</t>
  </si>
  <si>
    <t>08/01/2021</t>
  </si>
  <si>
    <t>naja66-69395</t>
  </si>
  <si>
    <t>Très bon accueil conseillère très bien m à bien conseiller et bien renseigné je suis adhérente depuis 2011 et j ai toujours étais bien renseignée Aucun problème rencontre depuis que je suis chez neoliane</t>
  </si>
  <si>
    <t>13/12/2018</t>
  </si>
  <si>
    <t>chris-52142</t>
  </si>
  <si>
    <t>Aucun sens commercial.j'ai changer d'assureur pour passer chez eux.on me dit on s'occupe des formalités avec votre ancienne assurance pour résilier votre ancien contrat.malheureusement au bout de 4 mois je m'aperçois que je paye deux assurance car eurofil n'a pas fais les démarches comme prévu. Après un coup de téléphone passé chez eux pour avoir des explications on me remballe gentiment en me disant qu'il ont rien à ce rapprocher alors qu'il sont incapable de me faire parvenir la preuve de leur soit disant recommandé avec A.R.Fuyez eurofil leur service client vous méprise et ce donne des droits qu'il n'on pas.</t>
  </si>
  <si>
    <t>07/02/2017</t>
  </si>
  <si>
    <t>akoi-a-105610</t>
  </si>
  <si>
    <t>Un bon service clientèle et une tarification meilleure que la concurrence pour de meilleures prestations.. J'ai opté pour une option tous risques et pour l'heure, les relations que j'ai avec l'assurance se passent très bien.</t>
  </si>
  <si>
    <t>05/03/2021</t>
  </si>
  <si>
    <t>viessmann-102534</t>
  </si>
  <si>
    <t>Rapport qualité tarif échanges réguliers je suis satisfait des services proposés même si je n ai pas eu l occasion d avoir eu besoin d une indemnisation pour sinistre .</t>
  </si>
  <si>
    <t>12/01/2021</t>
  </si>
  <si>
    <t>fan-64481</t>
  </si>
  <si>
    <t>La personne qui a endommagé ma portière a complètement reconnu les faits. Je ne comprend pas pourquoi  je dois participer financièrement à la réparation étant déjà lésé</t>
  </si>
  <si>
    <t>05/06/2018</t>
  </si>
  <si>
    <t>01/06/2018</t>
  </si>
  <si>
    <t>valcar-55090</t>
  </si>
  <si>
    <t xml:space="preserve">Inadmissible, très mauvais ... j'ai souscrit en 01/2017 et depuis je n'ai toujours pas reçu ma carte d'assurance définitive (nous sommes en juin !) plusieurs relances, relevé d'information demandés à plusieurs reprises et envoyés .... pas de suivi, pas de réponse rapide ... je les quitterai au terme des 12 mois révolus pour repartir certainement chez mon ancien assureur chez lequel je n'étais pas si mal en fait !! </t>
  </si>
  <si>
    <t>02/06/2017</t>
  </si>
  <si>
    <t>samake-m-116626</t>
  </si>
  <si>
    <t>JE SUIS SATISFAIT PAR LE RETOUR QUE J'AI EU, j'ai eu un bon échange et le conseiller que j'avais au téléphone a bien pris le soin de m'expliquer les choses</t>
  </si>
  <si>
    <t>noelle--128604</t>
  </si>
  <si>
    <t xml:space="preserve">On' paye une assurance pour rien. On se fait volé les clé de notre voiture dans notre maison. Une enquête est en cour et on connai l'auteur des fait. Mais pour l'assurance celle ci n'est pas considéré comme volé car il avais les clé.  Il ne rembourse rien. Sachant que l'on es tourisque. Mais on va où ??? C'est quoi cette assurance. Vous payez juste pour jeter l'argents par les fenêtre   fuyez. Assurance de guignol. Pas sérieuse du tous </t>
  </si>
  <si>
    <t>19/08/2021</t>
  </si>
  <si>
    <t>celia-i-115752</t>
  </si>
  <si>
    <t>Parfait, le site est bien fait, c'est rapide et efficace.
J'aurai aimé parler à un conseiller mais la ligne était exceptionnellement indisponible.
Merci à vous</t>
  </si>
  <si>
    <t>02/06/2021</t>
  </si>
  <si>
    <t>serantoni-e-108934</t>
  </si>
  <si>
    <t>Je viens d'arriver chez l'olivier Assurance, les prix sont corrects cependant j'attends de voir les services et la réactivités de ceux-ci. Les offres sont intéressantes.</t>
  </si>
  <si>
    <t>richard91200-77880</t>
  </si>
  <si>
    <t xml:space="preserve">Je ne pourrais donner que ma propre expérience sans juger au delà des résultats encore attendus. Accident du 28 février 2019, réception du PV par TransPV le 15 juillet 2019. Pour info, je ne suis pas responsable de mon accident. On me propose une avance de 1000 euros sur les souffrances endurées et que j'endure toujours. J'en suis de ma poche à + de 2000 euros et suis dans l'incapacité de reprendre mon travail d'autoentrepreneur. Au téléphone on me dit  La personne qui s'occupe de votre dossier est en vacances. Alors ma question Comment je fais pour vivre moi et mon épouse en étant à la retraite et qui plus est en fauteuil roulant ? </t>
  </si>
  <si>
    <t>24/07/2019</t>
  </si>
  <si>
    <t>youssef-n-126483</t>
  </si>
  <si>
    <t>Je trouve le service Très bien
Je trouve le service Rapide
Je trouve le service Efficace
Je trouve le service simple 
Je trouve les prix attractifs
J'espère que je serai satisfait durant tout le contrat</t>
  </si>
  <si>
    <t>04/08/2021</t>
  </si>
  <si>
    <t>malika--101832</t>
  </si>
  <si>
    <t>En pleine crise sanitaire , juste un mail pour m’annoncer la fin de ma portabilité au 30/11/2020 alors qu’elle est valable selon leurs engagements jusqu’au 31/12/2020 et qu’en mars ils avaient pris l’engagement de me faire une proposition de renouvellement selon les dispositions de la loi EVIN.
Depuis aucune réponse ni à mes mails ni à mes appels.
C’est une attitude irresponsable à l’égard d’une famille.</t>
  </si>
  <si>
    <t>24/12/2020</t>
  </si>
  <si>
    <t>bertrand-b-130418</t>
  </si>
  <si>
    <t>Prix et service plus que compétitif à la souscription.
Le service client est présent et répond rapidement aux questions qui lui sont posées.
Les démarches via internet sont très simple et rapide.</t>
  </si>
  <si>
    <t>jake-ann-c-127935</t>
  </si>
  <si>
    <t>Le site est simple d'utilisation. Les prix sont compétitifs et il est relativement simple d'y souscrire une assurance moto.
A voir dans le temps en cas de sinistre.</t>
  </si>
  <si>
    <t>13/08/2021</t>
  </si>
  <si>
    <t>clemence-c-127764</t>
  </si>
  <si>
    <t>Besoin d’une assurance rapidement pour assurer un véhicule . 
Service simple , facile, rapide et efficace. 
Prix raisonnable . 
Je recommande . 
Merci</t>
  </si>
  <si>
    <t>12/08/2021</t>
  </si>
  <si>
    <t>daria-123117</t>
  </si>
  <si>
    <t>Bonne assurance mais n'ayez surtout pas un accident non responsable. Prêt à tout pour que vous limitiez les frais, y compris vous mettre la pression pour ne pas payer du gardiennage alors que votre conjoint est à l'hôpital. Aucune aide pour la vie quotidienne ensuite, ménage, enfants démerdez vous !!!
Aucunes nouvelles pendant des mois, vous prenez un avocat et paf vous colle un rendez-vous chez un expert avant que l'avocat ne vous donne des conseils... Bref tout pour limiter vos droits.
Au téléphone : interlocuteurs dénués d'humanité. 
Bref à l'opposé de leurs publicités.</t>
  </si>
  <si>
    <t>calou-88030</t>
  </si>
  <si>
    <t>remboursement avec un délai de 1mois minimum
aucune réponse aux mails prise en charge jamais envoyée à temps donc nus devons avancer les frais et attendre le remboursement 2mois pour ma dernière intervention et je ne suis encore pas remboursée.</t>
  </si>
  <si>
    <t>06/03/2020</t>
  </si>
  <si>
    <t>fayez-b-112786</t>
  </si>
  <si>
    <t xml:space="preserve">Rapide, je suis satisfait, je recommande cet assureur.
Je la prendrai pour mes nouveaux véhicules.
Devis en ligne rapide et efficace, Direct Assurance. </t>
  </si>
  <si>
    <t>carteron-l-109696</t>
  </si>
  <si>
    <t>Très simple et très rapide pour effectuer un devis. Mais petit point negatif, pas trouvé de tableau concernant les franchises ou non. Sinon rien à redire.</t>
  </si>
  <si>
    <t>08/04/2021</t>
  </si>
  <si>
    <t>olifav-103634</t>
  </si>
  <si>
    <t xml:space="preserve">Bonjour,
Il faut savoir que vos bénéficiaires recevront les fonds sans justification, et apparemment il doit y avoir des frais, mais cela n'est pas trop expliqué lorsque l'on souscrit.
De plus pour obtenir détail des sommes versées, il faut en faire la demande par écrit alors même que tout le dossier est se fait en ligne, cela démontre la non transparence du décompte par CNP.
</t>
  </si>
  <si>
    <t>CNP Assurances</t>
  </si>
  <si>
    <t>03/02/2021</t>
  </si>
  <si>
    <t>bikeusedusud-95312</t>
  </si>
  <si>
    <t>super contente des conseils prodigué par Romu, car grace a lui lors de mon accident j'avais toutes les garanties pour vite récupérer ma moto, je recommande,</t>
  </si>
  <si>
    <t>Assur Bon Plan</t>
  </si>
  <si>
    <t>27/07/2020</t>
  </si>
  <si>
    <t>aferasuivre-75964</t>
  </si>
  <si>
    <t>Adhérent au contrat retraite complémentaire, impossible d'avoir des informations pour pouvoir liquider le dossier et recevoir la rente. Depuis un an trois recommandés restés sans réponse, les appels téléphoniques sans résultat les documents égarés par le siège, les emails sans réponse. 3 mois pour obtenir l'accès à mon compte par le net et en connaître le solde. La conseillère indiquée sur le site ne répond ni aux emails ni au téléphone.</t>
  </si>
  <si>
    <t>16/05/2019</t>
  </si>
  <si>
    <t>axis-97586</t>
  </si>
  <si>
    <t>Une catastrophe. Impossible à joindre au tel un employé qui puisse vous renseigner. Le seul numero surtaxé vous mets apres une attente interminable avec un employé qui se contente de transmettre votre message. Oui vous avez bien lu. Il transmet uniquement votre message avec une promesse jamais tenue d'etre recontacté. Vous recevez des courriers contradictoires jamais signés. Aucune ligne de tel pour traiter votre cas.A FUIR.</t>
  </si>
  <si>
    <t>18/09/2020</t>
  </si>
  <si>
    <t>u-m-115026</t>
  </si>
  <si>
    <t>il faudrait suprimer  les franchises et  les assistance en cas de panne pour des tarifs encore bien plus intéressant  ou je sais pas si vous le faites des tarifs sur les véhicules de plus de 10 ans</t>
  </si>
  <si>
    <t>romain-72-103052</t>
  </si>
  <si>
    <t>Suite à un dégât des eaux dans une salle de bain le placo a pourri derrière la faïence et la fixation de la colle de douche ne tient plus puis les peintures des pièces adjacentes sont à refaire.L'assureur ne prend en compte que les peintures ??. Assurance pas très sérieuse à éviter.</t>
  </si>
  <si>
    <t>21/01/2021</t>
  </si>
  <si>
    <t>jean-michel-v-133399</t>
  </si>
  <si>
    <t xml:space="preserve">SATISFAIT DU SERVICE ET DES TARIFS
SIMPLE PRATIQUE ET FONCTIONNEL
DEJA ASSURE SUR UN ANCIEN VEHICULE ET TOTALEMENT SATISFAIT
JE N'AI EU AUCUN SINISTRE PAR LE PASSE, </t>
  </si>
  <si>
    <t>18/09/2021</t>
  </si>
  <si>
    <t>bilto43-50572</t>
  </si>
  <si>
    <t>contrat garantie retraite souscrit en 1988 ...suite décés maman en fin octobre  2016...soit 28 ans ...réglement du dossier rapide . 1 téléphone + demande en ligne avec justificatifs demandés = versement aux bénéficiaires le 3 decembre 2016 .</t>
  </si>
  <si>
    <t>22/12/2016</t>
  </si>
  <si>
    <t>pasuale29-60969</t>
  </si>
  <si>
    <t>Nul j'ai souscrit pour une voiture que je devais acheter mais finalement j'en ai acheté un autre suite à un drame familiale je n'ai pu les contacter que 15j plus tard.... Et la il me prennent 15 j d'assurance d un voiture non acheté et gardes les frais bravo et en plus ils me proposent de m'assurer mon nouveau véhicule sans compter que je n'ai pas encor reçu le remboursement donc je les conseils à personne...</t>
  </si>
  <si>
    <t>30/01/2018</t>
  </si>
  <si>
    <t>nooppi-60979</t>
  </si>
  <si>
    <t xml:space="preserve">La fidélité - plus de 10 ans à la MATMUT - ne semble pas être un critère important pour cet assureur.
« Celui qui est au cœur, c'est le sociétaire. » Daniel Havis, Président du Groupe Matmut =_x009b_ Faux... du moins incomplet : « Celui qui est au cœur, c'est le porte-feuille du sociétaire. » </t>
  </si>
  <si>
    <t>iacob-r-124608</t>
  </si>
  <si>
    <t xml:space="preserve">Très content 
Très bonne assurance pas trop cher 
Je suis très content de vos tarif je vous remercie beaucoup c'est une des moins cher assurance merci 
</t>
  </si>
  <si>
    <t>24/07/2021</t>
  </si>
  <si>
    <t>thetiot-p-109882</t>
  </si>
  <si>
    <t>Je suis venu chez vous pour bénéficier du parrainage. Vos prix sont compétitifs et ma compagne est satisfaite de son contrat actuel chez vous. Merci de nous avoir aidé</t>
  </si>
  <si>
    <t>10/04/2021</t>
  </si>
  <si>
    <t>jaber-a-117355</t>
  </si>
  <si>
    <t>C'est la première avec L'Olivier Assurance. Jusquà maintenant on va dire je suis satisfait du service, mais à voir pendant les moments où j'aurais besoin d'eux si ils sont tout aussi disponible.</t>
  </si>
  <si>
    <t>17/06/2021</t>
  </si>
  <si>
    <t>gloopy-72227</t>
  </si>
  <si>
    <t>Résident fiscal étranger je suis en train de faire un rachat partiel de mon assurance vie generalli via boursorama : J ai du faire tout par courrier... Ça prend un temps fou...je leur ai envoyé les formulaires 5000 et 5002 remplis par l administration fiscale. Ils ont mis 3 semaines pour me les renvoyer j ai perdu encore une semaine avec les impôts ici et les délais de la poste pour les retourner...
J en suis a 5 semaines et toujours rien Je suis pris par des délais pour acheter un appartement et je me demande si je ne vais pas devoir faire un prêt relai qui va me générer des frais  Je trouve que la procédure courrier et trop lente C est vraiment dommage</t>
  </si>
  <si>
    <t>Generali</t>
  </si>
  <si>
    <t>17/03/2019</t>
  </si>
  <si>
    <t>lussiez-j-122502</t>
  </si>
  <si>
    <t>Je suis satisfait du service téléphonique très agréable et patient, si on a pas compris y nous reisplique sans aucun souci je ne regrette pas avoir signer mon contrat chez l'olivier</t>
  </si>
  <si>
    <t>06/07/2021</t>
  </si>
  <si>
    <t>arnaud-p-129810</t>
  </si>
  <si>
    <t>Je suis satisfait du service et des prix obtenus sue votre site. Rapidité de réponse et accueil chaleureux au téléphone. Personne à l'écoute de questions .</t>
  </si>
  <si>
    <t>didier-f-135221</t>
  </si>
  <si>
    <t>Bravo pour le service ainsi que pour les prix.                                                                                                        merci</t>
  </si>
  <si>
    <t>30/09/2021</t>
  </si>
  <si>
    <t>laurent-l-115298</t>
  </si>
  <si>
    <t>je suis satisfait des services de directassurance les tarifs sont bon et l acceuil aussi si je peut recommander cette assurance a mes amis je le ferait.</t>
  </si>
  <si>
    <t>dima-86099</t>
  </si>
  <si>
    <t xml:space="preserve">Bonjour,
Je suis actuellement en arrêt suite à un accident de travail depuis le 11/08/19.
Mon galère à commencer quand j'ai voulu signalé le sinistre. 
Toujours pas de conseiller disponible selon le répondeur jusqu'à ce que J'arrives à résoudre ce problème en décembre puis j'ai pu envoyer les justificatifs et une foi les justificatifs envoyés on me réclame le bulletin d'hospitalisation alors que j'ai été immobilisé à domicile par mon Médecin. 
J'ai hâte de pouvoir résilier mes 2 contrats souscrits parce que j'en peux plus. </t>
  </si>
  <si>
    <t>20/01/2020</t>
  </si>
  <si>
    <t>01/01/2020</t>
  </si>
  <si>
    <t>laetitia-k-95757</t>
  </si>
  <si>
    <t xml:space="preserve">Je suis satisfaite du service, très réactif.
Je le recommande. 
Tarif très compétitif.
Je suis très contente de la prise en charge clientèle. 
         </t>
  </si>
  <si>
    <t>31/07/2020</t>
  </si>
  <si>
    <t>cricri-98151</t>
  </si>
  <si>
    <t xml:space="preserve">J appelle depuis 1 semaine pour faire un tranfert urgent d assurance et ont doit me rappeller mais toujours rien sa fait 1 semaine que j'appelle en vain </t>
  </si>
  <si>
    <t>30/09/2020</t>
  </si>
  <si>
    <t>marco-117581</t>
  </si>
  <si>
    <t>Attention car cette compagnie d'assurance n'est plus du tout ce qu'elle était: personne ne répond au téléphone après plusieurs appels où cela sonne pendant une heure.
Pas de réponse aux mails non plus. En cas de sinistre, y compris lorsque vous êtes 100% non responsable, vous vous retrouvez tout seul.
N'y allez pas!</t>
  </si>
  <si>
    <t>Mutuelle des Motards</t>
  </si>
  <si>
    <t>19/06/2021</t>
  </si>
  <si>
    <t>keo-107393</t>
  </si>
  <si>
    <t xml:space="preserve">L'Olivier est une assurance à éviter absolument.
En effet il vous attire avec des tarifs qui dans un premier temps vous semble attractif mais qui au fil des années augmentent régulièrement.
J'ai 50% de bonus, ma voiture est depuis 2016 une Hyundai Ioniq Hybrid (3CV) mes cotisations annuelles pour une assurance tous risques ont été : 2016/403€, 2017/447€, 2018/515 €, 2019/632€, 2020/607€.  Je viens de quitter l'Olivier pour AXA où j'ai pris une assurance tous risques ma cotisation annuelle est de 375€ et j'ai une meilleure couverture (moins de franchises).
La goutte d'eau qui m'a fait quitté L'Olivier : le 3 janvier 2021 lors d'une manœuvre j'ai raclé le coté droit sur un rocher qui a mis la tôle a nu et enlevé la protection zinc de la tôle par endroit, et en voulant repartir j'ai frotté le coté gauche sur une protection tubulaire de lampadaire. Après déclaration de l'accident, l'expert est passé 12 jours plus tard et a considéré qu'il s'agissait de 2 accidents (à la limite pourquoi pas) mais il a estimé que l'état de corrosion était antérieure.  J'ai reçu le rapport d'expertise un mois plus tard après l'avoir réclamé plusieurs fois.
L'Olivier a refusé de prendre en charge les travaux au motif sous-entendu que j'avais fait une fausse déclaration sur la date, pourtant l'accident s'est réellement déroulé comme déclaré. D'autre part quand bien même l'accident aurait eu lieu quelques jours avant, aucun tiers n'est en cause, je suis le seul responsable et je suis assuré tous risques, quel préjudice aurait subi L'Olivier ?
Ne voulant pas perdre mon temps, de l'argent, et me prendre la tête dans des procédures d'expertises et juridiques, j'ai effectué les réparations à mes frais et changé d'assurance.
J'espère que mon expérience évitera à de futurs assurés de faire un mauvais choix et qu'en perdant des clients potentiels les économies réalisées par l'Olivier sur  les réparations fondront comme neige au soleil. 
</t>
  </si>
  <si>
    <t>eli-112213</t>
  </si>
  <si>
    <t xml:space="preserve">Interlocutrice très aimable à l écoute et très professionnelle 
Toujours à l écoute et a bien compris ma demande
Bravo mademoiselle
Merci encore 
Et bonne continuation. </t>
  </si>
  <si>
    <t>30/04/2021</t>
  </si>
  <si>
    <t>sebastien-m-129369</t>
  </si>
  <si>
    <t xml:space="preserve">Simple et rapide,  pratique,  à voir par la suite pour la satisfaction, 
Le seul petit bémol serait le manque d'une personne physique,  c'est plus facile pour demander des renseignements </t>
  </si>
  <si>
    <t>goumidi-i-129530</t>
  </si>
  <si>
    <t>très bien et rapide efficace je vous recommanderai a des proches service clients parfait un grand merci a ANAIS pour sa relativité Cdt bien a vous....</t>
  </si>
  <si>
    <t>hector-86854</t>
  </si>
  <si>
    <t xml:space="preserve">mutuelle qui radie ses clients de 90 ans sans préavis, sans explication et qui met plus d'un mois à envoyer le certificat de radiation malgré des demandes répétées. </t>
  </si>
  <si>
    <t>07/02/2020</t>
  </si>
  <si>
    <t>marion9359-75512</t>
  </si>
  <si>
    <t xml:space="preserve">Leur ayant demandé des informations concernant ma carte mutuelle, Erika m'a gentiment et tout de suite renvoyé une carte de remplacement en attendant d'avoir la définitive. Bonne écoute et bon service. </t>
  </si>
  <si>
    <t>30/04/2019</t>
  </si>
  <si>
    <t>anne-113833</t>
  </si>
  <si>
    <t>Ma maman est à la GMF tandis que moi je suis chez un autre assureur. En comparant, je trouve que la GMF accompagne très mal maMaman en tant qu’assurée victime de dommage. En revanche, elle est très active pour la
solliciter quand il s’agit de lui faire déposer de l’argent pour alimenter les assurances vie vendues par la GMF.</t>
  </si>
  <si>
    <t>15/05/2021</t>
  </si>
  <si>
    <t>cabilat65-60871</t>
  </si>
  <si>
    <t>Bonjour,aprés un coup de fil a l'agence de pau, pour renseignement (arret de travail )il y a bien un contrat prevoyance au nom de mon employeur (2004) mais voila,mon nom n'est pas affilié a celle çi ( surtout que je cotise depuis mon entrée en 2003 ) .Pourrais-je avoir par votre biais, une confirmation de cette situation et comment la débloquer pour poursuivre ma demande ( j'avais déja envoyer une demande de mon contrat a mon employeur, sans réponse ) Merçi d'avance de votre réponse</t>
  </si>
  <si>
    <t>26/01/2018</t>
  </si>
  <si>
    <t>roselyne--b-137369</t>
  </si>
  <si>
    <t xml:space="preserve">Très satisfaite de vôtre offre au niveaux prix proposé et rapidité de réponse et de remboursement et la rapidité de souscription de dossiers et le rappel téléphonique  </t>
  </si>
  <si>
    <t>djo84-94447</t>
  </si>
  <si>
    <t>Impossible de contacter mon agence depuis plus de 3mois, même pas un message sur le site pour s'excuser de votre incapacité à répondre à vos sociétaires. Je suis systématiquement orienté sur mon compte, puis lorsque je suis sur mon compte, on m'oriente vers l'appel en agence, puis lorsque j'appelle, on me reoriente vers mon compte. 
C'est du grand n'importe quoi...
En revanche, pour prélever les cotisations a 100% alors que mon véhicule n'a pas roulé depuis 4mois, il y a 0 problème.
Tout est prélevé en temps et en heure (0 gêne occasionnée...) comme quoi, il a bon dos ce COVID !!!
Un Sociétaire déçu!</t>
  </si>
  <si>
    <t>17/07/2020</t>
  </si>
  <si>
    <t>bernard-a-136568</t>
  </si>
  <si>
    <t>assurance donnée pour la moins chère par les comparateurs ......voir a l usage
seul regret devoir payer en plus pour l assistance 0 kms et la limitation du poids tractable</t>
  </si>
  <si>
    <t>08/10/2021</t>
  </si>
  <si>
    <t>mona29-70355</t>
  </si>
  <si>
    <t>Suite à l 'apparition de la loi sur les mutuelles d'entreprises, j'ai résilié mon contrat de mutuelle individuelle à Harmonie. Depuis, Harmonie me prélève 2 euros par mois pour une prestation dont je n'ai pas l'utilité. La résiliation s'effectue une fois par an seulement par lettre recommandée !! pas d'autres recours possible. Mutuelle : téléphonie !!</t>
  </si>
  <si>
    <t>18/01/2019</t>
  </si>
  <si>
    <t>mary-104680</t>
  </si>
  <si>
    <t xml:space="preserve">A fuir!! plus de 3 semaines pour traiter un dossier, il faut toujours leur réclamer un  remboursement. Vivement la fin de mon contrat. Je déconseille . </t>
  </si>
  <si>
    <t>paliott-80474</t>
  </si>
  <si>
    <t>Les tarifs augmentent sans qu'on en soit avisé et pour n'importe quoi... On renvoie systématiquement les feuilles de remboursement car ils leur manquent toujours quelque chose. Aiment vraiment pas rembourser mais pour nous taxer pas de soucis ! JE NE RECOMMANDE PAS DU TOUT CETTE ASSURANCE</t>
  </si>
  <si>
    <t>28/10/2019</t>
  </si>
  <si>
    <t>front-m-118008</t>
  </si>
  <si>
    <t>Très satisfaite, mon conseillé c'est montré très clair sur le produits. Cependant merci de proposer un rachat de franchise 0€ et SURTOUT un taux d'incapacité corporel dès 0%</t>
  </si>
  <si>
    <t>elodie-l-132003</t>
  </si>
  <si>
    <t xml:space="preserve">Je suis satisfaite de l'inscription en ligne simple, pratique et rapide
Les prix me conviennent et la promotion avec showroomprivé m'a convaincue de changer d'assurance 
</t>
  </si>
  <si>
    <t>09/09/2021</t>
  </si>
  <si>
    <t>mokhlesadil-85803</t>
  </si>
  <si>
    <t>Cela fait 3 ans que je suis client chez Direct Assurance pour une assurance Auto. Ils font tous pour activer un client avec un prix d'appel intéressant. Mais ensuite, ils augmentent leurs prix lors du renouvellement sans se rendre compte. Par exemple, pour mon Chevrolet Captiva, voilà les prix sur les 3 dernières années : 2018 : 579 euros,2019 : 671 euros 2020 : 711euros.   Quand j'essaye d'appeler le service client, ce dernier ne répond pas aux appels. J'ai appelé plusieurs fois plusieurs jours en utilisant plusieurs plages horaires. Je suis resté jusqu'à 18 min en écoutant la messagerie et attendre qu'un conseiller décroche pour qu'à la fin on s'excuse de ne pas pouvoir me répondre et me demandent de rappeler ultérieurement. C'est une assurance qu'il faut éviter. Je pense que l'état doit intervenir par ce qu'ils abusent.</t>
  </si>
  <si>
    <t>12/01/2020</t>
  </si>
  <si>
    <t>fran21-55280</t>
  </si>
  <si>
    <t>nouvellement assurée auprès de cette mutuelle (depuis le 1er février 2021) je n'ai pour le moment eu aucune réponse suite à mes appels et mes demandes d'appels !!!
cela promet pour la suite !
je regrette beaucoup d'avoir changé de mutuelle !</t>
  </si>
  <si>
    <t>22/02/2021</t>
  </si>
  <si>
    <t>cram-56609</t>
  </si>
  <si>
    <t>Pur rétention de capitaux , la croix et la bannière pour les récupérer. Les pompes funèbre refuse d'envoyer leur facture chez CNP. Tout est fait pour retarder la libération des fonds. Les document sont distillés. Le contrat prévoyait une assistance administrative c'est une aventure kafkaïenne que nous avons connue. L'agence de la caisse d'épargne est tout à l'avenant .</t>
  </si>
  <si>
    <t>10/08/2017</t>
  </si>
  <si>
    <t>01/08/2017</t>
  </si>
  <si>
    <t>dehmani-e-133096</t>
  </si>
  <si>
    <t xml:space="preserve">Parfait merci beaucoup je suis très content d’avoir souscrit le conseiller téléphonique à été parfait merci encore à l’olivir assurance vous êtes une très bonne équipe </t>
  </si>
  <si>
    <t>16/09/2021</t>
  </si>
  <si>
    <t>de-cesare-a-121253</t>
  </si>
  <si>
    <t>Les prix moyens mais service satisfait, j'aimerais avoir un prix attractif qui ne soit pas si élevé, en tout cas merci pour vôtre disponibilité et j'espère que je serai pas déçu. Cordialement.</t>
  </si>
  <si>
    <t>25/06/2021</t>
  </si>
  <si>
    <t>xavier-56301</t>
  </si>
  <si>
    <t>J'ai souscrit à cette assurance grâce à un comparateur d'assurance. Ça m'a fait économiser plusieurs centaines d'euros. Tout s'est bien passé pour la souscription en ligne. En moins d'une semaine j'ai obtenue ma carte verte ils sont très réactif et à l'écoute</t>
  </si>
  <si>
    <t>26/07/2017</t>
  </si>
  <si>
    <t>01/07/2017</t>
  </si>
  <si>
    <t>aminetabka-52187</t>
  </si>
  <si>
    <t xml:space="preserve">FUYEZ!!! 
Alors au debut tout se passe bien, ils repondent assez rapidement (5/10min au téléphone pour ce qui est des devis, des informations...)
Mais si vous avez le malheur d'attendre un remboursement suite à une réparation , il faut s'armer de patience. En effet, lorsque vous composer le numero de gestion des sinistres le 0970808001,  vous attendez au moins 45 min !!! Oui oui 45 minutes!! Et pour au final vous redemandez des questions auxquelles vous avez deja repondu plusieurs fois dans les appels précédents, et vous dire que le remboursement va être effectué d'ici peu. Aujourdh'ui ca fait 1 mois et demi et toujours pas de remboursement... je clos ce dossier avec eux et je les quitte. C'est ecoeurant la manière avec laquelle il essaient de gagner du temps avant de rembourser les fonds.
</t>
  </si>
  <si>
    <t>agathe--102626</t>
  </si>
  <si>
    <t xml:space="preserve">Infiltration dans notre maison due à une intempérie. Le plexiglasse de notre véranda a fissurée. 
Nous avons attendus  4 mois sous l’eau qu’il nous valide le devis. Aucuns bâchage temporaire de proposé. Une prise en charge au rabais !  Une catastrophe ! Fuyez, d’autres assurance propose mieux au même tarif ! </t>
  </si>
  <si>
    <t>14/01/2021</t>
  </si>
  <si>
    <t>gigi-68849</t>
  </si>
  <si>
    <t>Remboursement pare -brise en moins d'une semaine 
Très rapide .</t>
  </si>
  <si>
    <t>23/11/2018</t>
  </si>
  <si>
    <t>jack85-114475</t>
  </si>
  <si>
    <t xml:space="preserve">Assureur très sérieux qui s'occupe bien de ses clients et qui au fil du temps c'est adapté au marché en essayant d'être compétitif. Ce qui n'était pas le cas il y a une vingtaine d'années. </t>
  </si>
  <si>
    <t>21/05/2021</t>
  </si>
  <si>
    <t>solomiya-k-109782</t>
  </si>
  <si>
    <t>Je ne suis pas satisfait du tout. Pas correct du tout. Un conseiller accept. prendre l'argent pour l'assurance, le  lendemain son college commence à faire des virages et resilie le contrat en prenant chaque fois frais de resiliations. Deux fois pendant trois mois. Je vous deconseil de prendre les contacts avec eux</t>
  </si>
  <si>
    <t>lilimc-91267</t>
  </si>
  <si>
    <t>J'ai essayé de résilier mon contrat et celui de mon fils  chez ViaSanté en respectant les délais d'usages mais la mutuelle refuse ma résiliation au motif que les numéros d'adhérents n'étaient pas assez clairement identifiés. Depuis ils font la sourde oreille et ne répondent plus a mes démarches.</t>
  </si>
  <si>
    <t>17/06/2020</t>
  </si>
  <si>
    <t>ged-122531</t>
  </si>
  <si>
    <t>Très bons tarifs, très bonne gestion des sinistres et interlocuteurs efficaces
Bonne réactivité et options proposées aux contrats intéressants.
Je recommande vivement</t>
  </si>
  <si>
    <t>gregory-c-126631</t>
  </si>
  <si>
    <t>Très peu attente au téléphone. Et la personne que j'ai eu au téléphone est très à l'écoute à la demande du client et explique très bien.
Je recommande AMV assurance.</t>
  </si>
  <si>
    <t>gauvin-s-128775</t>
  </si>
  <si>
    <t>Pour l'instant tout me paraît correct. A voir ensuite sur mon année d'engagement à venir.
Je ne peux pas en dire davantage. On a répondu à mes appels et on m'a informée.</t>
  </si>
  <si>
    <t>20/08/2021</t>
  </si>
  <si>
    <t>merouane-r-134677</t>
  </si>
  <si>
    <t xml:space="preserve">JE SUIS SATISFAIT DE SERVICE ET SUPER RAPIDE PARTICULIERMENT HEUREUX QUE VOUS AVES DERIGER VERS LA BONNE CONCLUSIONS DE MON CONTRAT MERCI INFIVIMENT POUR CE TRAVAILLE DE PROFESSIONEL DE FOI. </t>
  </si>
  <si>
    <t>panico-g-133396</t>
  </si>
  <si>
    <t>Je suis satisfaite du service, les conseillers sont disponibles et efficaces. Les prix sont correctes. La construction du dossier est simple et rapide.</t>
  </si>
  <si>
    <t>martial-b-123225</t>
  </si>
  <si>
    <t xml:space="preserve">Les prix ne devaient pas augmenter en 2021, hors j'ai constaté une augmentation, par rapport au devis reçu                                                          </t>
  </si>
  <si>
    <t>bonny5-79515</t>
  </si>
  <si>
    <t xml:space="preserve">Assurance qui met un terme à votre assurance lorsqu'elle remarque qu'elle est bloquée et qu'elle doit vous rembourser votre maison lorsqu'elle n'est plus habitable. Existe t il de bonnes assurances, nous devons payer, ils encaissent </t>
  </si>
  <si>
    <t>27/09/2019</t>
  </si>
  <si>
    <t>dom-64767</t>
  </si>
  <si>
    <t>CNP assurance, Caisse d'épargne, même combat, même galère!!!
Ce sont les plus pénibles en terme de procédure;impossible d'envoyer des mails, tout se fait par courrier, à l’ère du numérique, pas terrible.
Durée de remboursement extrêmement longue, bref
aucun avantage de venir chez eux!!  Ca me rappelle le DOUBLO MONDE à la caisse d'épargne, de belles paroles pour attirer les gens et au bout du compte zéro. A FUIR..........</t>
  </si>
  <si>
    <t>13/06/2018</t>
  </si>
  <si>
    <t>nazzaro-p-139624</t>
  </si>
  <si>
    <t xml:space="preserve">Très bon accueil  et conseils donnés adaptés pour les éléments du contrat 
Assurance A recommander à mon entourage
Site Internet bien réalisé et semble facile d'utilisation </t>
  </si>
  <si>
    <t>15/11/2021</t>
  </si>
  <si>
    <t>ilona-b-122320</t>
  </si>
  <si>
    <t>Satisfaite super , bon rapport qualité prix, dommage que cela soit un dimanche pour ne pas avoir quelqu'un au bout du fil. On va tester you drive pour en savoir plus sur ce boitier</t>
  </si>
  <si>
    <t>04/07/2021</t>
  </si>
  <si>
    <t>aureluen77-137373</t>
  </si>
  <si>
    <t>Ce sont des incompétents. 
J ai appelé une dizaine de fois et un coup c est oui , un coup c est non .
C est une honte pour la bnp d avoir une assurance comme celle ci</t>
  </si>
  <si>
    <t>alicia--l-131685</t>
  </si>
  <si>
    <t>Les prix me conviennent bon moyen et bonne assurance, on verra bien par la suite mercii direct assurance. 
Prix intéressant  et attractif je recommande.</t>
  </si>
  <si>
    <t>ulysse-85710</t>
  </si>
  <si>
    <t>Mis une étoile pour pouvoir poster l'avis.
ASSURANCES A FUIRE !!
PLACEMENT A FUIRE !!
Nous sommes un couple de quinquagénaire qui, depuis presque 30 ans, avons placé de l'argent tous les ans.
Nous avons constitué une somme non négligeable. 
Nous avons voulu faire un rachat partiel de nos économies de presque une vie, comme le contrat l'autorisait, mais là les problèmes on commencés !!!
Dossier très long à traiter pour décourager les gens. L'assurance demande des papiers différents à chaque appel de notre part !!
Le règlement n'est toujours pas fait au bout d'un mois !!
Il ne faut vraiment pas être dans le besoin !!
Nous voulions nous faire un beau cadeau pour notre future retraite, et bien voilà !!!
Peut-être un jour...?????</t>
  </si>
  <si>
    <t>09/01/2020</t>
  </si>
  <si>
    <t>laurent-132481</t>
  </si>
  <si>
    <t>La portabilité entre 2 contrats de travail n'est pas possible puisque je suis radié avant de pouvoir transmettre mon justificatif d'inscription de pole emploi. Vous bloquez la possibilité de vous fournir les doc nécessaires.</t>
  </si>
  <si>
    <t>12/09/2021</t>
  </si>
  <si>
    <t>ali-104617</t>
  </si>
  <si>
    <t>sont pas sérieux, ne s'inquiétent pas sur l'assuré, ils metent trop trop temps à te solutionner des erreurs commis par eux même, ils mentent à chaque fois pour te calmer.. sache'lz que à l'heure de payez sont toujours dérriere nous mais quand c'est à eux de payer ils prenent sont temps fortement... la pire assurance que j'ai eu dans ma vie. DÉCONSEILLÉ FORTEMENT !!! J'ai une sinistre depuis le 30 décembre jusque aujourd'hui je n'ai jamais reçu de nouvelles un monsieur qui assure est dans la même assurance que moi qui m'a rentrer dedans on a été faire le constat dans l'agence de l'assurance Macif et bizarrement ça ça traîne depuis on dirait qu'ils ne veulent pas me réparer la voiture à chaque fois j'appelle ils me disent des trucs qui n'ont même pas de sens</t>
  </si>
  <si>
    <t>23/02/2021</t>
  </si>
  <si>
    <t>mline-71099</t>
  </si>
  <si>
    <t>Soyez tres vigilant sur votre contrat par rapport à l'inondation. nous avons été inondé avec des grosses remontées d'égouts et Groupama n'a absolument rien pris en charge car étant du à des conditions méteo( gros orage), ils ne prennent en charge que s'il existe un arrêté catastrophe naturelle. Suite au sinistre, tous mes voisins ont été remboursés de leurs dégâts par leur assurance sauf nous qui sommes chez Groupama</t>
  </si>
  <si>
    <t>Groupama</t>
  </si>
  <si>
    <t>08/02/2019</t>
  </si>
  <si>
    <t>ludovic-m-130534</t>
  </si>
  <si>
    <t>Très bon prix et facile d’utilisation je recommande fortement direct assurance . Après j’espère ne jamais m’en servir. J’ai une amie qui est chez direct assurance, elle a eu un sinistre et vous avez été très bon donc je test</t>
  </si>
  <si>
    <t>pas-99391</t>
  </si>
  <si>
    <t>Juste harcelés pour obtenir la signature d'une souscription.
Après signature, vous ne disposez même pas d'un livret avec les spécificités des remboursements.
J'ai appelé pour obtenir des précisions et il y avait un très mauvais réseau.
On m'a raccroché au nez.
Vous envoyez un mail et après plusieurs semaines, vous n'obtenez aucune réponse !
Je déconseille vivement cette mutuelle.</t>
  </si>
  <si>
    <t>30/10/2020</t>
  </si>
  <si>
    <t>anna-c-109189</t>
  </si>
  <si>
    <t>Pas de soucis pour l'instant, bon acceuil téléphonique, prix moins cher que mon contrat précédent, on verra sur le long terme si il se passe quelque chose</t>
  </si>
  <si>
    <t>05/04/2021</t>
  </si>
  <si>
    <t>elmouden-i-130110</t>
  </si>
  <si>
    <t xml:space="preserve">Je suis satisfait par le rapport qualité prix. Vu que c'est ma première assurance voiture, je suis également satisfait par la facilité de la procédure de la souscription de l'offre. </t>
  </si>
  <si>
    <t>iguane-77094</t>
  </si>
  <si>
    <t xml:space="preserve">Très en colère,  j'ai changé de banque et depuis février le prélèvement ce fait bien sur la bonne banque mais ils me font les remboursements sur l'ancien compte, je l'ai signalé mi mai, 10 j après encore la même erreur, je le re-signale et bien voilà que 1 mois plus tard toujours la même erreur donc perte d'argent pour moi et quand je le signal, la secrétaire m'envoie pêtre et pas possible de les joindre au téléphone. Mutuelle de misère avec une bande d'incompétents.
</t>
  </si>
  <si>
    <t>25/06/2019</t>
  </si>
  <si>
    <t>timmo-85733</t>
  </si>
  <si>
    <t xml:space="preserve">Bonjour ça fait 3 mois que je suis sans véhicule suite à un sinistre accidentelle depuis 3 mois l'expert a confirmé depuis 2 mois il ma dit que j'allais être indemnisé dans les 3 jours de la vente du véhicule je vous l'ai vendu le 17 novembre ont est le 10 janvier et toujours sans réponse de leur part. Je ne sais pas quoi faire pour être indemnisé. </t>
  </si>
  <si>
    <t>10/01/2020</t>
  </si>
  <si>
    <t>beack-70190</t>
  </si>
  <si>
    <t>Je tiens à faire entendre mon mécontentement j'ai envoyé au moins 5 mails et aucune réponse et forcément il faut appeler un service à 0,80 la minute alors que je veux simplement recevoir mon attestation d'assurance ainsi que ma vignette d'assurance....quand je vois le bordel que c'est pour quelque chose d'aussi simple j'osé même pas imaginer le bordel si j'ai accident...alors mon numéro client est le 347649 donc envoyé mon ATTESTATION ET MA VIGNETTE D'ASSURANCE.</t>
  </si>
  <si>
    <t>13/01/2019</t>
  </si>
  <si>
    <t>roche-o-137463</t>
  </si>
  <si>
    <t>Je suis satisfait du produit, le site est très bien conçu et tout à été parfaitement clair
les prix sont intéressant et la rapidité de souscription est rapide et directe</t>
  </si>
  <si>
    <t>14/10/2021</t>
  </si>
  <si>
    <t>flora-98325</t>
  </si>
  <si>
    <t>je suis trés deçue par cette assurance qui ne tient pas ses engagements apres avoir eu un sinistre dans notre maison suite a une fuite d'eau ils ont decidé que nous devions fermé le robinet d'eau extérieur aprés plus de 4 jours d'absence</t>
  </si>
  <si>
    <t>04/10/2020</t>
  </si>
  <si>
    <t>tarik-b-105059</t>
  </si>
  <si>
    <t>Satisfait du service client en revanche un peu moins des prix. Aucun effort ou geste commercial depuis le premier confinement contrairement à la concurrence.</t>
  </si>
  <si>
    <t>beverly-l-124629</t>
  </si>
  <si>
    <t xml:space="preserve">Très rapidement’ j’ai fait mon assurance merci encore !. Je le conseille a tous les mondes j’espère juste faire une bonne année d’assurance avec vous </t>
  </si>
  <si>
    <t>25/07/2021</t>
  </si>
  <si>
    <t>pauloplombas-53255</t>
  </si>
  <si>
    <t>La MAIF, un bon prix d'appel pour vos assurances mais ne compter pas sur eux en cas de sinistre, particulièrement si la personne qui vous cause un tord est également sociétaire chez eux. Tout sera fait pour minorer les dommages et permettre à l'assurance de faire des économies.</t>
  </si>
  <si>
    <t>14/03/2017</t>
  </si>
  <si>
    <t>liz-110103</t>
  </si>
  <si>
    <t>A FUIR!!!!!!!! vraiment 
C'est une honte ! Seulement 3 remboursement demandés en 5 ans de cotisation et AUCUN n'a abouti!!! !J'ai changé exprès de contrat optique pour être remboursée mais ca n'a pas été pris en compte  ET  j'ai été radiée sans AUCUN avertissement, pour une erreur DE LEUR PART suite à un changement de banque . c'est à vomir!</t>
  </si>
  <si>
    <t>nico-101671</t>
  </si>
  <si>
    <t>Cet année malgré la COVID une augmentation de 4% sur ma cotisation est répercutée. Par ailleurs cet année pas d'accidents répertoriés, ni responsable , ni non responsable.</t>
  </si>
  <si>
    <t>19/12/2020</t>
  </si>
  <si>
    <t>vini-91103</t>
  </si>
  <si>
    <t xml:space="preserve">Satisfait du site de devis en ligne
Prix semble correct
Facilité d’établissement des devis
Je conseille DA pour facilité de prise en mains
                   </t>
  </si>
  <si>
    <t>olive-105996</t>
  </si>
  <si>
    <t xml:space="preserve">Très bon contact et le temps de réponse est très rapide. Que ce soit par mail ou par téléphone. Le récapitulatif est clair et nous ne sommes assommés par des mail et courriers. </t>
  </si>
  <si>
    <t>09/03/2021</t>
  </si>
  <si>
    <t>illimited59-10314</t>
  </si>
  <si>
    <t>Les prix ont considérablement augmenté, le service est devenu très restrictif, trop de contraintes pour souscrire un contrat .
Bref , Direct Assurance se met au niveau des autres compagnies !!!
Dommage</t>
  </si>
  <si>
    <t>14/07/2021</t>
  </si>
  <si>
    <t>mathieu-m-132416</t>
  </si>
  <si>
    <t xml:space="preserve">Rapide et efficace a voir quand il y aura des soucis car c'est là qu'on se rend compte si on a pris les bonnes garanties. Mon ancienne était bien jusqu'à mon vol de véhicule ou la côte a baissé de manière importante. </t>
  </si>
  <si>
    <t>eric-c-123625</t>
  </si>
  <si>
    <t>Serait-il possible de me faire parvenir mon attestation d'assurance ainsi que sa vignette soit par mail ci dessous ; soit par courrier à
LOS ALMENDROS 5
Carretera de ARENAS KM 4
29753   ARENAS  /  ESPAGNE
Bien cordialement</t>
  </si>
  <si>
    <t>anasthasis-68150</t>
  </si>
  <si>
    <t>lorsque j'ai changer d'adresse, ils m'ont intimer de leur fournir un justificatif de domicile dans les 10 jours sous peine de résiliation !
Je leur ai transmis et ils m'ont confirmer réception.
Ils ont retiré 29.90 E sur mon compte le 04/10 et ont résilié mon contrat le 14/10 sans m'avertir et sans explication !!
Si j'avais pas regardé sur mon compte par hasard, je saurais même pas que je ne suis plus assuré !!!</t>
  </si>
  <si>
    <t>28/10/2018</t>
  </si>
  <si>
    <t>coustillas-j-113769</t>
  </si>
  <si>
    <t xml:space="preserve">je suis satisfaite des prix  du service de la rapidité et de mon contrat c’est clair et très simple                                                   </t>
  </si>
  <si>
    <t>dede07-88795</t>
  </si>
  <si>
    <t>Dommage que l'on ne puisse pas mettre 0 sur tout sur cette bande de minables
Contrat sur support € qui rapporte 0.745% en 2019 et nous devons déduire la CSG et CRDS.
J'ai tout ramassé pour le mettre sur un contrat de la concurrence et lorsque je leur demande de justifier ce qu'ils me ramasse pour la part fiscale je ne peux pas avoir de réponse.
Nous n'avons pas d'autre solution de les joindre que le tchat, qui chez eux est débile.
Votre compte doit être soldé en 8 jours, perso ça à demandé plus d'un mois et X rappels
Société à fuir</t>
  </si>
  <si>
    <t>09/04/2020</t>
  </si>
  <si>
    <t>01/04/2020</t>
  </si>
  <si>
    <t>easyrider13-89066</t>
  </si>
  <si>
    <t>Mon problème est le suivant . Policier en arrêt pendant huit mois j'ai repris en mi-temps thérapeutique , non sans avoir au préalable , contacté 3 conseillés différents ( 2 par téléphone, 1 à l'agence même) qui m'ont certifié que j'étais couvert pour la perte de salaire . Une fois en MTT Interiale refuse de m'indemniser car j'étais en CMO et non pas en longue maladie ( que j'ai moi-même refusé pour reprendre au plus tôt)....les appels sont enregistrés et la personne qui m'a reçu à reconnu m'avoir donné une mauvaise information car elle même n'était pas au courant.....malgré tout Interiale refuse de revenir sur sa décision. Je vais donc saisir le tribunal car de l'avis même de leur délégué, Interiale est en faute car ses employés ont un rôle de conseil . Je recherche donc des assurés dans le même cas que moi afin d'appuyer mon action en justice pour que le tribunal soit au fait que ces pratiques de désinformation ,afin que l'assuré ne bénéficie pas de ses droits , est monnaie courante chez cette mutuelle.</t>
  </si>
  <si>
    <t>Intériale</t>
  </si>
  <si>
    <t>22/04/2020</t>
  </si>
  <si>
    <t>heot-d-135897</t>
  </si>
  <si>
    <t>personne au téléphone très agréable
le prix qui correspond à mes attentes
la redirection par le furet.com a très bien fonctionné
les modalités pour envoyer les documents et les signer sont claires et rapide</t>
  </si>
  <si>
    <t>sorel-stephanie20-99887</t>
  </si>
  <si>
    <t>C'est une honte ...Je vous déconseille fortement cette organisme si vous voulez y souscrire une mutuelle. Ça fait maintenant 2 mois que j'ai demandé la résiliation de mon contrat car je suis passé sur la mutuelle de mon entreprise et on me refuse strictement la résiliation malgré l'envoie des documents nécessaires. Le moditif du refus étant a chaque fois différent. Tout ça pour faire trainer un maximum la procédure et continuer de me facturer tous les mois. De plus le service client en ligne me fait tourner en bourrique en me faisant passer d'un conseillé a l'autre sans jamais me donner de réponse viable sur comment résilier. On me fait comprendre indirectement que la résiliation est "interdite" . Pour finir j'attends encore le remboursement de mon opération chirurgicale de début septembre, la aussi on me demande un document sorti de nulle part comme excuse de l'impossibilité de mon remboursement. Conclusion une belle entourloupe pour vous soustraire un maximum d'argent sans fournir les services attendus</t>
  </si>
  <si>
    <t>09/11/2020</t>
  </si>
  <si>
    <t>cricri-38471</t>
  </si>
  <si>
    <t>quand je vais recevoir le versement  de la donation de mon oncle décédé le 23 03 2018 plutôt long et vous ne répondez pas a mon appel pourquoi je vais mettre cela dans les d'un avocat</t>
  </si>
  <si>
    <t>26/05/2020</t>
  </si>
  <si>
    <t>01/05/2020</t>
  </si>
  <si>
    <t>yv-110108</t>
  </si>
  <si>
    <t>A partir  du moment où on a besoin d'eux ils ne sont plus là impossible d avoir une réponse depuis deux mois mutuelle à fuir de toute urgence malgré courriers et messages sur leur site me disent qu'une personne plus compétente va me rappeler j'attends  toujours....</t>
  </si>
  <si>
    <t>rinnco69-122215</t>
  </si>
  <si>
    <t xml:space="preserve">Assuré a la MAAF nous avons suite a un sinistre du faire appel a eux et la c'est la déconvenue !!!
je pensait être bien assuré quand on vois leur PUB qui peut concurrencé la MAAF et bien j'ai la réponse mon ancienne assurance SOGESSUR!!!
Je suis partie car suite a l'achat d'une voiture j'avais une offre de prix intéressante si je mettait tout mes contrats chez eux!!!
SIC!!!!
Nous avons une fille en situation de handicap et un intervenant médical a domicile a endommagé mon portail 'il ne ferme plus , la cellule est endommagé et des qu'il pleut tout disjoncte , le pilier est fissuré et 2 mois après nous attendant encore que la maaf s’intéresse a notre dossier malgré nos nombreux appel , il m'envoie vers l'expert qui ne répond pas a nos appel d’ailleurs on attends encore qu'il nous rappelle depuis 1 mois!!!!!
suite a 1 mail j'ai reçu un devis de remboursement ou il exclu le pilier parce qu'il est soit disant fonctionnelle pourtant il est fissuré et je ne peux pas installer un nouveau portail dessus
pourtant sur mon contrat il est spécifié INDEMNISATION EN VALEUR DE CONSTRUCTION A NEUF
Pourtant notre fille est en situation de handicap et peut se mettre en danger si ce n'est pas fermé , les vacances arrivent nous sommes en face d'un ciy parc et les gens viennent régulièrement voir si leur ballon n'est pas chez nous donc on peut rentrer et nous v0ler et la maaf ne remboursera pas.
je suis partie quelque jours et j'ai eut peur en garant ma voiture la nuit sur un parking qu'on m'abime ma voiture et vu comment il dédommage pour un sinistre que je n'ai même pas eut j'imagine pour MES 2 véhicules!
LA MAAF une assurance a éviter a tout prix une belle tromperie financière elle s’entend avec les autres assurances pour ne pas avoir a dédommager
</t>
  </si>
  <si>
    <t>03/07/2021</t>
  </si>
  <si>
    <t>farah-54437</t>
  </si>
  <si>
    <t>Des documents perdus par Harmonie Mutuelle concernant mon changement de CPAM, aucune prise en charge de mes soins depuis janvier 2017... J'ai renvoyé tous les documents et on me dit qu'il y a encore un délai d'attente d'un mois, alors que l'erreur vient d'eux et que j'attend depuis déjà 4 mois, inadmissible!!!! Je ne recommande pas du tout mais alors pas du tout cette complémentaire.</t>
  </si>
  <si>
    <t>03/05/2017</t>
  </si>
  <si>
    <t>william-c-113422</t>
  </si>
  <si>
    <t>tarif bien placé par rapport à la concurrence même si c'est prohibitif ;)
Site web très agréable
J'espère que les garanties seront à la hauteur du tarif</t>
  </si>
  <si>
    <t>09-63958</t>
  </si>
  <si>
    <t>Nul
Nous sommes le 13 mai 2018 
Et j attend toujours ma rente d invalidité du premier trimestre  
Malgré plusieurs appels téléphoniques  et mails 
Aucuns résultats  
C est déplorable</t>
  </si>
  <si>
    <t>13/05/2018</t>
  </si>
  <si>
    <t>rbaia-79596</t>
  </si>
  <si>
    <t xml:space="preserve">Bonjour !! tres satisfait de l'accueil et de la patience de Gwendal . merci a lui </t>
  </si>
  <si>
    <t>30/09/2019</t>
  </si>
  <si>
    <t>alain07-61470</t>
  </si>
  <si>
    <t xml:space="preserve">impossible d'avoir une personne compétente au tél (on vous ballade d'un service a un autre )
le courtier est au abonné absent....au 19 janvier j'ai eu une personne trés aimable de groupe france assistance afin d'augmenter mes garanties il a fait le nécessaire auprés de néoliane mais a ce jour ils n'ont toujour régulariser mon dossier ....
j'ai laisser des message sur mon espace adhérent le 1er en date du 9 janvier et ils ne sont toujour pas traités ..... de plus mensonge sur l'optique mon courtier m'a dit que j'aurai une prise en charge 100 pour 100 si j'allais a optic 2000 chose que j'ai fait mais ils m'ont proposé une seule monture et les verres progressifs ne s'y adapte pas ce qui fait que j'ai our 420 euros de ma poche....
trés déçu par cette mutuelle et je regrette vraiment ma précédente...
</t>
  </si>
  <si>
    <t>nathberm-101194</t>
  </si>
  <si>
    <t>A l écoute de mon problème actuel et interlocutrice bienveillante. Espérant le même service si je rencontre un problème un jour. Tarifs qui restent raisonnables</t>
  </si>
  <si>
    <t>boubahri-l-128494</t>
  </si>
  <si>
    <t xml:space="preserve">C une bon assurance côté qualité prix en plus rapide et efficace le central téléphonique est assez rapide et la dame très charmante merci et bonne continuation </t>
  </si>
  <si>
    <t>18/08/2021</t>
  </si>
  <si>
    <t>trouillet-c-111751</t>
  </si>
  <si>
    <t xml:space="preserve">Pour le moment rien à dire procedure simple montant correct, on verra ce que ça donne par la suite, mais pour le moment je suis satisfaite du service 
</t>
  </si>
  <si>
    <t>26/04/2021</t>
  </si>
  <si>
    <t>br-101360</t>
  </si>
  <si>
    <t xml:space="preserve">Pas joignable au téléphone, les 5 lignes transférée sur une ligne payante 3€ plus la comunication personne joignable,  que le répondeur. Ne   paye plus ma petite rente l'assurance vie. La lettre de justificatife de vie pas reçue en octobre  La lettre recommandé,  l' avis de réception reçu 1 semaine après  l'envoye, avec les documents demandé, comme l'extrait de naissance, Toujours pas de  réponse, ni le versement sûr mon compte.   C'est lamentable, pas acceptable comment les clients âgé sont traité. Je vais porter plainte. Méfiez vous avant vous engager  une assurance pas sérieuse !!!!! Je devais être payé 
par trimestre vers le 15. Novembre 2020, depuis  2014 sur a lettre du virement du montant  de la rente, la date de l'échéance n'est plus mentionné par le bureau de Lyon, qui ne réponds non plus par telephone,, quelle service??,  seulement intéressée vendre  un contrat et toucher leur commission,  pas de service après-vente.  Heureusement j'ai encore ma tête.  Comment vont  les autres clients âgé, le temps a comprendre, c'est que nous arrivent,en pensant avoir souscrit une assurance de vie au pres d'une assurance de vie sérieuse et ne  pas de se  soucier d'être payer à temps. Ma banque n'attends pas et j'ai des échéance à respecter </t>
  </si>
  <si>
    <t>emmanuelle-m-116225</t>
  </si>
  <si>
    <t>Très Satisfait du service téléphonique lors de ma souscription assurance auto et du rapport prix/prestation. J’attends de voir en cas de sinistre car je suis nouveau client.</t>
  </si>
  <si>
    <t>battesti-l-128432</t>
  </si>
  <si>
    <t>Les prix me conviennent moins chère que d'autres assurances pour les mêmes garanties.
J'attends pour donner mon avis si un jour j'ai un problème pour voir le service.</t>
  </si>
  <si>
    <t>frederic-m-131047</t>
  </si>
  <si>
    <t xml:space="preserve">rassuré pour prendre la route 
simple et facile pour rajouter une option
juste une question ou trouver le numéro de tel de l'assistance ? 
cordialement </t>
  </si>
  <si>
    <t>03/09/2021</t>
  </si>
  <si>
    <t>emmanuel-m-132090</t>
  </si>
  <si>
    <t xml:space="preserve">tout est rapide a mettre en place mais je trouve les tarifs un peu élevés 
je vais comparer pour l année prochaine car pour un loisir ca commence a piquer </t>
  </si>
  <si>
    <t>gregory--93677</t>
  </si>
  <si>
    <t xml:space="preserve">En ajoutant un contrat je pensait avoir le droit à avoir une réduction .
Le prix d’origine me convient mais pour avoir une assurance convenable il faut ajouter dés pack ensuite </t>
  </si>
  <si>
    <t>10/07/2020</t>
  </si>
  <si>
    <t>zamalia-attitude-50670</t>
  </si>
  <si>
    <t xml:space="preserve">FUYEZ !!!! Un mois pour avoir un relevé d'information,  mon banquier a du intervenir tant l'incompétence est grande... Ils ont réussi à me mettre un malus sur la réparation d'un bris de glace, résultat? 15€ de cotisation par mois en plus que j'essaie de me faire rembourser. Priez pour moi le chemin est long... Une vingtaine de coup de fil rien que pour avoir un relevé d'information... </t>
  </si>
  <si>
    <t>26/12/2016</t>
  </si>
  <si>
    <t>anthony-k-105530</t>
  </si>
  <si>
    <t>Très satisfait.
L'application et le site facilité la gestion des véhicules et du logement. Je recommande donc direct assurance. L'accueil téléphonique est très bien.</t>
  </si>
  <si>
    <t>laudo-57149</t>
  </si>
  <si>
    <t>Ne comptez pas sur la macif pour s'occuper de vous serieusement si vous avez un accident, même si vous n'êtes pas responsables. Tout est fait pour vous décourager afin que vous acceptiez leurs conclusions.</t>
  </si>
  <si>
    <t>06/09/2017</t>
  </si>
  <si>
    <t>01/09/2017</t>
  </si>
  <si>
    <t>barbara-64320</t>
  </si>
  <si>
    <t xml:space="preserve">Une catastrophe.
On met des heures pour avoir un conseiller qui n'est jamais le même .
On nous demande des pièces médicales qui ont déjà été fournies.
On nous dit que les délais seront très rapides .
Ils répondent pour leur Défense qu'ils sont en sous effectif </t>
  </si>
  <si>
    <t>30/05/2018</t>
  </si>
  <si>
    <t>natacha-s-116819</t>
  </si>
  <si>
    <t>J'ai transmis deux lettres de résiliation en Novembre 2020 suite à un départ à l'étranger, faites de la même façon :
- une pour mon assurance habitation
- une pour mon assurance auto
L'assurance habitation a été résiliée de suite,
L'assurance voiture n'est toujours par résiliée correctement pour une prétendue histoire de signature du courrier initialement, et ensuite quand j'envoie le courrier signé on me demande de sortir de nouveaux documents pour justifier de la vente.... inadmissible !!!!!</t>
  </si>
  <si>
    <t>12/06/2021</t>
  </si>
  <si>
    <t>patrick-b-111115</t>
  </si>
  <si>
    <t>Trop cher à mon avis pour faire de la moto de temps en temps !
Je paie plus cher que pour mon AUDI Q5 en tout risque !
Tant qu'il n'y a pas eu d'accident cela devrait être moins cher..</t>
  </si>
  <si>
    <t>21/04/2021</t>
  </si>
  <si>
    <t>jerome-t-109634</t>
  </si>
  <si>
    <t>Souscription rapide et facile, tarifs très intéressants
Interlocutrice attentive et aimable
J'ai été guidé jusqu'à la validation de mon contrat qui m'a été envoyé immédiatement
Le tout a pris moins de 30 minutes</t>
  </si>
  <si>
    <t>elise-b-129796</t>
  </si>
  <si>
    <t>Process très fluide, excellent échange avec un interlocuteur très pro.
La garantie prêt de véhicule par rapport au pack sérénité auquel j’ai souscris pourrait être mieux expliqué</t>
  </si>
  <si>
    <t>joker-54490</t>
  </si>
  <si>
    <t>Vous font payer deux mois "d'avance" pour au final vous prélever deux mois avant l'échéance pour l'année d'après sans proposer de changer de mode de paiement. Service client payant et de qualité moyenne</t>
  </si>
  <si>
    <t>05/05/2017</t>
  </si>
  <si>
    <t>alima-m-116761</t>
  </si>
  <si>
    <t xml:space="preserve">J'aime la rapidité avec laquelle on traite mes situations. Ayant un véhicule neuf, c'est exactement ce que je recherchais. 
Je recommande fortement l'olivier Assurance </t>
  </si>
  <si>
    <t>11/06/2021</t>
  </si>
  <si>
    <t>jodie-86324</t>
  </si>
  <si>
    <t xml:space="preserve">Au vu des très mauvaise note attribuées, je tenais à dire que j'ai fait stériliser mes 3 chats le 16 janvier et que j'ai été remboursée le 24, seulement 8 jours après. J'ai souscrit leur assurance. J'ai souscrit à leur assurance le 7 janvier, rares sont les assurances qui rembourse la stérilisation alors que la souscription vient de se faire. </t>
  </si>
  <si>
    <t>Eca Assurances</t>
  </si>
  <si>
    <t>24/01/2020</t>
  </si>
  <si>
    <t>antoine-a-126607</t>
  </si>
  <si>
    <t>Présentation du site très simple avec enregistrement de la demande très rapide.
Les tarifs sont très concurrentiels (2 fois moins chers que chez d'autres assureurs). Je recommande.</t>
  </si>
  <si>
    <t>torkwalls-31961</t>
  </si>
  <si>
    <t>J'ai été agréablement surpirs de la rapide prise en charge de mon assurance auto, avec des démarche rapide et simple. Plus besoin d'agence le contacte et site internet suffit largement. En plus je peux accéder a mon espace client et retrouver tous les documents que j'ai fourni et à ce prix il y a de quoi être super satisfait.</t>
  </si>
  <si>
    <t>20/07/2017</t>
  </si>
  <si>
    <t>loue-m-105857</t>
  </si>
  <si>
    <t>je suis très satisfait de votre service et la qualité de votre écoute .votre contrat est performant et compétitif par rapport a tous les autres contrats que j'ai connu je suis agé de 56 ans donc j'ai connu beaucoup d'assureur</t>
  </si>
  <si>
    <t>mariecastel-82212</t>
  </si>
  <si>
    <t>Assurée depuis 1 an à la Matmut pour 2 véhicules et une assurance habitation, j'ai eu le plaisir de découvrir la résiliation de MES contratS suite à une accrochage sans dommages corporels dans une parking après un an d'assurance.
La résiliation est une clause légale inscrite au contrat, donc pas de problèmes.
Mon conjoint, qui habite dans le même logement que moi a eu le plaisir de découvrir qu'il était aussi résilié sous le motif "que je risque de prendre son véhicule" UNE HONTE
Sachez, qu'une fois résilier 75 % des assurances ne veulent plus vous assurer
Je n'ai jamais réceptionné le courrier de résiliation envoyé par LRAR d'après leurs dirent ! Ce document m'a été demandé par mon nouvelle assureur afin de pouvoir compléter le dossier et de pouvoir me réassurer.
Après 1 mois d'attente et de réclamation pour m'envoyer une copie de ce document toujours rien... Actuellement je ne peux donc m'assurer nul part tant que je n'aurai pas réceptionne ce document (demande réaliser par mon espace personnel, par LRAR et par une dizaine d'appel dans les agences...)
ASSURANCE A FUIR</t>
  </si>
  <si>
    <t>bobby94-90085</t>
  </si>
  <si>
    <t>J'ai eu un accident il y a plus d'un an et malgré les relances rien ne se passe.</t>
  </si>
  <si>
    <t>31/05/2020</t>
  </si>
  <si>
    <t>velaz-ramos-f-128573</t>
  </si>
  <si>
    <t>Simple et pratique. Service excellent. L'employé qui s'est occupé de moi était très gentil. Je n'ai pas encore eu recours à une assurance, mais pour l'instant je suis satisfait.</t>
  </si>
  <si>
    <t>chaila4-66937</t>
  </si>
  <si>
    <t>En cas de dommage, les agents de la MACIF mettent tout en oeuvre pour ne pas vous indemniser ; mettent egalement tous en oeuvre pour vous empecher d'engager une procedure à l'eur encontre pour pouvoir beneficier de la prescription.  Les manoeuvre de la MACIF sont diabolique et sans vergogne.</t>
  </si>
  <si>
    <t>18/09/2018</t>
  </si>
  <si>
    <t>djou-76090</t>
  </si>
  <si>
    <t>suite à des dégradations faites sur mon véhicule et étant assurée qu'au tiers ,on me demande de faire un constat alors que les individus sont mineurs, la police m'a dit que même au tiers c'est à mon assurance de faire les démarches mais elle refuse alors que ce ne sont pas  eux qui vont payés les dégâts!!!! Je ne compte pas en rester là et je vais changer d'assurance!!!!! service déplorable!!!!!!!!</t>
  </si>
  <si>
    <t>20/05/2019</t>
  </si>
  <si>
    <t>sclo73-80906</t>
  </si>
  <si>
    <t>je me suis fait renverser par une voiture qui a pris la fuite, l'auteur a été identifié, j'ai deux témoins dont un agent de la société des surveillance AREA et pourtant je  dois faire l'avance des frais car malgré tout ça la mutuelle ne sais pas qui est responsable alors que c'est écrit noir sur blanc.....de la mauvaise foi et une chargée du dossier qui ne fait rien depuis trois mois, aucune avancée du dossier, non professionnel, honteux</t>
  </si>
  <si>
    <t>12/11/2019</t>
  </si>
  <si>
    <t>01/11/2019</t>
  </si>
  <si>
    <t>laety-63832</t>
  </si>
  <si>
    <t xml:space="preserve">Ca fait maintenant 2 ans et demi que mon conjoint a eu un accident de moto et le dossier dort toujours .. quand on appelle pour qu'ils relancent l'autre assurance on les embêtes et la conseillère serait toujours en vacances .... </t>
  </si>
  <si>
    <t>07/05/2018</t>
  </si>
  <si>
    <t>manu-117247</t>
  </si>
  <si>
    <t>GESTION A DISTANCE PAR LE NET MAIS EQUIPE REACTIVE ET QUI N'HESITE PAS A APPELER SI NECESSAIRE POUR AIRE LE POINT SUR MON CONTRAT.
C'EST PRO.
AMV A RE-EVALUE PLUSIEURS FOIS MON TAUX DE REMISE SUITE AUX DIFFERENTS ENVOIS DE MES RELEVES D'INFORMATIONS.</t>
  </si>
  <si>
    <t>16/06/2021</t>
  </si>
  <si>
    <t>jean-lucien-f-m-106976</t>
  </si>
  <si>
    <t>Je suis satisfait du service, l'un des meilleurs du marché. J'attends maintenant de voir l'exécution de ses service proposés, et l'application de toutes les interventions citées.</t>
  </si>
  <si>
    <t>nutsy-78485</t>
  </si>
  <si>
    <t xml:space="preserve">1ere fois ou j ai du faire marcher mon assurance: Remboursement des equipements non effectuées. Depanneuse non prise en charge. 
Deuxieme fois ou j ai du faire marcher cette assurance: 
Assurance panne 0km non effectuée. J ai fini par faire venir le mecanicien chez moi a mes frais. </t>
  </si>
  <si>
    <t>16/08/2019</t>
  </si>
  <si>
    <t>martinez-y-124884</t>
  </si>
  <si>
    <t>Pas cher et plateforme très simple d'utilisation, à voir si c'est fiable lors d'un sinistre, l'avenir nous le dira ! Mais pour l'instant, rien à dire.</t>
  </si>
  <si>
    <t>delaunay-l-129105</t>
  </si>
  <si>
    <t xml:space="preserve">des prix très abordables
très simple de souscription
des produits très comprehensifs
un site internet de qualité
continuez comme ceci c'est parfait   </t>
  </si>
  <si>
    <t>23/08/2021</t>
  </si>
  <si>
    <t>cristal-102421</t>
  </si>
  <si>
    <t>Protection juridique inexistante, pas de réponse, ne s'occupe pas des dossiers. Extrêmement difficile à joindre par téléphone, accès seulement par l'espace personnel, nombre de caractères très limités, difficile d'expliquer une situation dans ces conditions. Laisse traîner le dossier plus de 2 ans pour me dire après de multiples relances que je dois m'adresser à un avocat!!!!</t>
  </si>
  <si>
    <t>10/01/2021</t>
  </si>
  <si>
    <t>ericoco-106158</t>
  </si>
  <si>
    <t>cette assurance etait bienjuqu au mois de fevrier 2021 ou la les defauts de reglements oi les retards se sont accumulesj ai dailleur resilierpour le 31 mars cette mutuelle vue que cela fait plus dun que j y suis, leur site internet est a fuir au nivau appel telephonique pas mieux les non remboursements dans des delai correct saccumilent en bref mutuelle a fuir</t>
  </si>
  <si>
    <t>10/03/2021</t>
  </si>
  <si>
    <t>jacques-h-105482</t>
  </si>
  <si>
    <t>Je ne suis pas étonné que la GMF soit très compétitive; cependant je suis très désagréablement surpris d'avoir une proposition aux environs de 90€ moins chère que ma cotisation actuelle à garanties équivalentes.
Ce sera l'occasion de tout remettre à plat le moment venu ou... d'aller voir ailleurs!</t>
  </si>
  <si>
    <t>mc-117245</t>
  </si>
  <si>
    <t>Une catastrophe!!!! Jamais je n'ai vu ça 
J'ai mis des semaine a avoir un simple relève d informations après des heures à attendre au tel pour toujours répéter la même chose jusqu'à énervement ce qui me semble normal au bout d'un moment !!! 
Jamais nous e pouvons accéder au documents sur le site ou appli sans parler de la relation ,mail sans réponse..  
J'ai eu un accrochage aujourd'hui je n arrive même pas à voir l état de mon sinistre existe il ?? A t'il été enregistré ? 
Et ce n'est pas fini du coup ????????</t>
  </si>
  <si>
    <t>morales-m-110938</t>
  </si>
  <si>
    <t>Je suis content de la prestation proposée les prix sont très intéressants de bon rapport qualité prix reste a voir dans la durée mais pour le moment je suis très content</t>
  </si>
  <si>
    <t>19/04/2021</t>
  </si>
  <si>
    <t>le-gourou-122610</t>
  </si>
  <si>
    <t>Assureur compétant, tarifs compétitifs, rapide dans les problèmes a résoudre, site web clair et facile, conseils téléphoniques à la hauteur du site web, je conseille vraiment AMV pour les deux ou trois roues</t>
  </si>
  <si>
    <t>anaelle-116190</t>
  </si>
  <si>
    <t>Décalent mon véhicule de prêt (ainsi que le taxi qui devait m'y conduire) sans motif et en m'envoyant un texto 5 minutes avant. Je me retrouve sans véhicule pour aller au travail 
Adieu Pacifica, dès que je récupère mon véhicule oubliez moi !</t>
  </si>
  <si>
    <t>laurent-e-110831</t>
  </si>
  <si>
    <t>Tarifs très intéressant
Je gagne presque 200€ par an. 
Cela fait plusieurs jours que je regardais pour changer d'assurance. Une personne de ma famille est assuré à direct assurance et est très satisfait.</t>
  </si>
  <si>
    <t>antoine25-89340</t>
  </si>
  <si>
    <t xml:space="preserve">Je suis rentré à la mgen quand j'ai Commence à enseigné . Jamais eu de besoin de santé ( pas de lunettes , pas de suivi médical.....)
Je me suis malheureusement cassé la jambe et j'ai été arrêté 5 mois.j'ai essayé de faire jouer la garanties perte de salaire dans le contrat MGEN mais malgré de nombreux appels et courrier j'ai jamais reçu les documents. Après un appel à l'aide sur internet J'ai trouvé le formulaire sur le net . J'ai Tout complète et renvoyé à la mgen. Mais il m'indique Qu'ils ont pas de dossier et que j'ai du oublié de l'envoyer ......
Cette mutuelle est juste lamentable en terme de valeurs humaines. Quand au garanties je peux pas les Juger car j'en ai jamais bénéficié. Une honte .
Je pensais à tord que la mgen pouvait m'aider mais en fait à part prélevé la cotisation sur mon salaire il ne font rien .
Un conseil : ne vous engagez pas avec eux . </t>
  </si>
  <si>
    <t>03/05/2020</t>
  </si>
  <si>
    <t>isabelle-m-124102</t>
  </si>
  <si>
    <t>Lors de mon accident de voiture non responsable, le personnel a été très réactif, ce qui fut appréciable lors de ces circonstances.
Les tarifs sont intéressants mais peuvent toujours être améliorés...</t>
  </si>
  <si>
    <t>21/07/2021</t>
  </si>
  <si>
    <t>daniel-r-128857</t>
  </si>
  <si>
    <t xml:space="preserve">Je suis satisfaite du rapport qualité prix mais après avoir fait ma demande sur internet d'un devis, deux appels dans le 1/4h m'ont été transmis et avec insistance le call center a absolument voulu me donner des information (inutiles car stipulées dans le devis) en voulant me faire signer... Trop de pression. </t>
  </si>
  <si>
    <t>france-b-124368</t>
  </si>
  <si>
    <t>Conseiller très à l'écoute, disponible. Prix intéressants comparé à mes anciens contrats. Bonne réactivité et accueil sympathique. Démarches en ligne accessibles à tous.</t>
  </si>
  <si>
    <t>Zen'Up</t>
  </si>
  <si>
    <t>23/07/2021</t>
  </si>
  <si>
    <t>clad56-77062</t>
  </si>
  <si>
    <t>Client chez Axa, depuis près de 10 ans et ayant mon assurance maison, les mutuelles de la famille, responsabilité civile, protection juridique. 
J ai décidé de prendre mes assurances auto chez eux via click and go .
Et la quel malheur !!
Ils ne reçoivent jamais les mails et les courriers, si on insiste au tel pour qu il vérifie leurs boîtes mail et boîtes aux lettres, miracle ils trouvent. 
Tout les sons de cloches sont différents d un interlocuteur à l autre. Depuis janvier dernier , je suis chez Axa pour mes assurances auto et le nécessaire pour transférer le dossier de mon ancienne assurance a chez eux n est toujours pas effectué. 
Aujourd'hui fin juin, je continue a payer deux assurances dans deux boîtes différentes.
Honnêtement, je n ai jamais manifesté mon avis sur Internet mais l agence click and go et une pure catastrophe. Je ne suis pas serain car aucune confiance en eux. En plus de perdre de l argent, la qualité de leur travail est déplorable.
Un conseil. Privilégiez vos petites agences d axa du coin ou vos conseillers car click and go portent une mauvaise image a cette très bonne compagnie d assurance qu est Axa.</t>
  </si>
  <si>
    <t>24/06/2019</t>
  </si>
  <si>
    <t>berlaine-107965</t>
  </si>
  <si>
    <t xml:space="preserve">Je voudrais avoir de meilleurs remboursements pour tout ce qui est dentaire, pour les lunettes et appareils d audition. J ai perdu beaucoup d argent, en début 2020 pour des problèmes dentaires. J ai encore des problèmes dentaires, mais je n ose pas me faire soigner, pas assez remboursée. Trop petite retraite et je suis seule. Oui je suis dégoûtée et bien triste.. Merci de m entendre. </t>
  </si>
  <si>
    <t>25/03/2021</t>
  </si>
  <si>
    <t>jaouad-b-124910</t>
  </si>
  <si>
    <t>je suis satisfais du services bon rapport qualité prix accessibles a toutes les bourse je recommence fortement direct assurances rapide éfficace sans prendre de rdv</t>
  </si>
  <si>
    <t>bennib-109615</t>
  </si>
  <si>
    <t>Je remercie Angélique pour son écoute et son professionnalisme, elle m’a parfaitement renseigné et fait preuve d’une grande sympathie. 
Une augmentation pour la jeune de l’assurance !</t>
  </si>
  <si>
    <t>isab77-109752</t>
  </si>
  <si>
    <t>Globalement satisfaite depuis 2 ans sauf que mes cotisations commencent à augmenter VGV.J ai déjà retiré deux contrats un véhicule et une GAV. Résiliations en cours....</t>
  </si>
  <si>
    <t>christian-n-121915</t>
  </si>
  <si>
    <t xml:space="preserve">Je suis satisfait de votre offre et de votre tarif très intéressant et très compétitifs, je vous remercie par avance de votre compréhension bonne soirée à vous </t>
  </si>
  <si>
    <t>30/06/2021</t>
  </si>
  <si>
    <t>serge-50263</t>
  </si>
  <si>
    <t>j'ai envoyer les documents pour un capital décès le 08/08/2016 ,par lettre recommandé avec ar, depuis aucune nouvelle, que faire?</t>
  </si>
  <si>
    <t>15/12/2016</t>
  </si>
  <si>
    <t>neda-v-113696</t>
  </si>
  <si>
    <t>Simple et pratique car on evite toutes les déplacements et éventuellement les personnes desagreables plus les accueils et le temps perdue. en outre sur l'internet c'est très rapide</t>
  </si>
  <si>
    <t>14/05/2021</t>
  </si>
  <si>
    <t>eliot-s-126066</t>
  </si>
  <si>
    <t>Très bon encadrement , suivi et réactivité de la part de Zen up et particulièrement de la collaboratrice en charge du dossier et de son supérieur qui a suppléer pendant les congés de celle-ci.</t>
  </si>
  <si>
    <t>02/08/2021</t>
  </si>
  <si>
    <t>flintanf-62718</t>
  </si>
  <si>
    <t>Bonjour,
Appel à cotisation ni ma carte de tiers payant pour 2019, du coup je n'ai pas été prévenue de l'augmentation des tarifs (de 198 euros en 2018 les cotisations passent à 224 en 2019).En février prélèvement 439 euros (janvier a été payé 2 fois (régul par carte le 28 janvier)).J'ai fait opposition à tout leur prélèvement et j'ai décidé de leur envoyer une demande de résiliation en recommandé avec AR.Ils n'ont pas tenu compte du changement d'adresse mais par contre le changement de RIB a été fait. Comme c'est bizarre.</t>
  </si>
  <si>
    <t>25/03/2019</t>
  </si>
  <si>
    <t>dianeaura-116496</t>
  </si>
  <si>
    <t>Je ne regrette pas d'avoir souscrit un contrat d'assurance "Santé des Animaux" chez ECA
Les sinistres sont traités rapidement.Et les prix de la prime sont relativement compétitifs.</t>
  </si>
  <si>
    <t>joce-105317</t>
  </si>
  <si>
    <t>Grand merci pour l'accueil, la gentillesse et l'efficacité de Louise qui a géré mon sinistre du 24 janvier 2021 concernant un dommage électrique sur ma chaudière à pellets. Le règlement a été effectué très rapidement après l'envoi des factures.</t>
  </si>
  <si>
    <t>03/03/2021</t>
  </si>
  <si>
    <t>martel-y-131739</t>
  </si>
  <si>
    <t xml:space="preserve">Au top comme d'habitude . Personnes agréable et rapide 
3eme voitures assurer chez vous . Je vous recommandé a 100%.
Dommage que vous n'assurer pas les voitures sportives </t>
  </si>
  <si>
    <t>sarah-50211</t>
  </si>
  <si>
    <t xml:space="preserve">plus Insatisfaite que moi je pense que cela n'existe pas. </t>
  </si>
  <si>
    <t>13/12/2016</t>
  </si>
  <si>
    <t>kersale-p-127894</t>
  </si>
  <si>
    <t>J'ai apprécié la gentillesse des interlocuteurs au téléphone, la réactivité dans les échanges, les tarifs appropriés à ma demande et la possibilité d'avoir une proposition adaptée à ma situation.</t>
  </si>
  <si>
    <t>gouzeaucourt-76012</t>
  </si>
  <si>
    <t>pas de problemes  tres bon  contact et renseignements clair avec nelly</t>
  </si>
  <si>
    <t>17/05/2019</t>
  </si>
  <si>
    <t>marie-francoise-g-122249</t>
  </si>
  <si>
    <t xml:space="preserve">Je suis satisfaite des services, et ne souhaite aucun changement dans l'avenir !! Etant âgée, je ne désire rien de plus ! Je vous souhaite donc une bonne journée !
</t>
  </si>
  <si>
    <t>marie-christine-c-111796</t>
  </si>
  <si>
    <t>je ne comprends pas que ma cotisation augmente autant chaque année; De plus sur votre site on ne voit pas le détails. Je n'ai pourtant pas de sinistre déclarés.</t>
  </si>
  <si>
    <t>27/04/2021</t>
  </si>
  <si>
    <t>cedric9362-104450</t>
  </si>
  <si>
    <t xml:space="preserve">Très bon accueil téléphonique, réponse immédiat personne à l écoute. Je recommande la mgp, dommage que la cotisation reste élevé. Un effort serait intéressant. </t>
  </si>
  <si>
    <t>18/02/2021</t>
  </si>
  <si>
    <t>lyne-53675</t>
  </si>
  <si>
    <t xml:space="preserve">Après 10 ans d'assurance chez eux sans AUCUN accident, ils ont refusé d'assurer mon conjoint qui venait d'obtenir son permis sachant que j'utilise 80% la voiture du temps. Mais ils n'ont rien voulu savoir en comparant mon conjoint à un jeune de 18ans LOL (il avait 30 ans a l'époque et j'étais enceinte)  </t>
  </si>
  <si>
    <t>28/03/2017</t>
  </si>
  <si>
    <t>vicvance-75334</t>
  </si>
  <si>
    <t>Accidenté il y a deux semaines, ma voiture a été amené par l'assurance dans un garage où leur expert n'est apparemment pas agrémenté pour passer, rien ne se passe ils sont censé amener ma voiture dans un autre garage pour que leur expert puisse venir mais je n'ai aucune nouvelle, sachant que je bosse 50h par semaine dans le médical avec ma voiture donc en attendant je ne peux pas soigner les anciens de ma région et quand je les appelle on m'a changé 4 fois de services pour me dire que je dois attendre ils ne sont au courant de rien j'ai l'impression que tout le monde chez Direct Assurance s'en fout et la je n'ai plus aucune nouvelle c'est vraiment une honte cette assurance !!!</t>
  </si>
  <si>
    <t>nj17290-57151</t>
  </si>
  <si>
    <t>Assurée chez eux depuis plus de 10 ans, j'ai eu des accident non responsable et la prise en charge et très rapide. 2 véhicule déclaré en épaves et en 15 jours nous avions les remboursement sur nos comptes. Les prix sont correct , je fait toujours les comparateur d'assurance et certes , il y en a des moin cher mais Pacifica est la seule à avoir de bonne garanti à prix correct et des franchises abordable.  
Un peu déçu tout de même de voir que de la Charente maritime à la vendre les prix sont différents pour toutes les assurance. Attention également à la souscription d'un nouveau contrat à bien reprendre la date d'échéance sinon vous serez décaler en bonus. Assuré depuis 2009 je suis à 0.68 au lieu de 0.64 à cause des décalage de contrat</t>
  </si>
  <si>
    <t>martin-g-104393</t>
  </si>
  <si>
    <t>Contact simple, professionel et sympa avec la consilière de Zen Up.  Souscription facile et rapide.  Assurance accepte des sports soi disant "a risque" qui sont refusés par beaucoup d'assureurs.  EXCELLENT!</t>
  </si>
  <si>
    <t>17/02/2021</t>
  </si>
  <si>
    <t>marieb40300-67251</t>
  </si>
  <si>
    <t>Très à l'écoute, et les conseillers sont en France plus facile pour communiqué.J'ai pour le coup signé 2 contrats Auto chez eux.Continuer comme cela...</t>
  </si>
  <si>
    <t>dapouek--99284</t>
  </si>
  <si>
    <t xml:space="preserve">Rapport qualité prix service très satisfaisant. La gestion de mon dernier sinistre (vol de moto) s’est très bien déroulé du début jusqu’à la fin. L’expertise a été correcte. </t>
  </si>
  <si>
    <t>27/10/2020</t>
  </si>
  <si>
    <t>slupski-t-113264</t>
  </si>
  <si>
    <t>Satisfait, attente correct au téléphone, réponse rapide aux questions posés. Prix très correct, interlocuteur correct et professionnel. Prise en charge rapide.</t>
  </si>
  <si>
    <t>10/05/2021</t>
  </si>
  <si>
    <t>nicolas-b-112646</t>
  </si>
  <si>
    <t>Comment se fait-il que lorsqu'on veut se faire assurer un scooter sur directassurance, et en demandant un devis sur votre site, on se retrouve avec un contrat Run assurance de chez AXA ?</t>
  </si>
  <si>
    <t>jos-107121</t>
  </si>
  <si>
    <t>le problème avec eux est l'augmentation des tarifs chaque année. Chaque fois à l'approche de l'échéance je me demandais comment faire face, d'autant que le mois suivant c'était Noël.
Pourtant au début je les avais choisis car par rapport à d'autres assureurs, leur prix était plus attractif, enfin me semblait la moins pire, j'en avais déjà résilié d'autres (Axa Matmut)  et finalement d'année en année l'augmentation me surprenait à chaque fois et je restais me disant que je l'avais choisie car ailleurs c'était pire et puis au dernier avis (2020) j'ai craqué, ras le bol de l'angoisse du paiement (à payer sans délai) j'ai cherché sur le net et pris une assurance en ligne, ils se sont occupés de tout, même de la résiliation, j'ai divisé la facture presque en 2 et je paie une somme mensuelle minime chaque mois, le bonheur total et plus d'angoisse ! Je me demande pourquoi je l'ai pas fait plus tôt ? j'avais confiance et ça ne paie pas ! Je ne les recommande pas du tout, la seule chose qui les intéresse c'est notre argent, pour le reste, ils restent sourds à vos demandes et d'ailleurs je me suis empressée avec joie de répondre à leur questionnaire pour le leur dire suite à leur "tristesse" de me voir partir lol</t>
  </si>
  <si>
    <t>19/03/2021</t>
  </si>
  <si>
    <t>jeremy-j-114204</t>
  </si>
  <si>
    <t>je suis satisfait de certains contrats mais d'autres restent encore élevés et vous n'assurez pas toutes les motos j'ai donc d'autres contrats chez un autre assureur</t>
  </si>
  <si>
    <t>pat33-39996</t>
  </si>
  <si>
    <t>Reconnu en invalidité professionnelle à 80% et en invalidité fonctionnelle à 40% par l'assureur lui même, cette assureur refuse de prendre en charge mon prêt immobilier sous couvert d'un mode de calcul très ambiguë de leur notice d'information. A quoi sert donc l'assurance d'un prêt immobilier si votre situation médicale vous prive à 80% d'une activité professionnelle et donc de ressources vous permettant de rembourser un prêt immobilier. DONC ATTENTION PRUDENCE, A FUIR ABSOLUMENT au profit d'une compagnie qui est vraiment là pour remplir le rôle attendu d'une assurance en cas de sinistre et pas simplement pour encaisser des primes d'assurance pendant 20 ans !</t>
  </si>
  <si>
    <t>23/08/2017</t>
  </si>
  <si>
    <t>alba56-62114</t>
  </si>
  <si>
    <t>Des pratiques non conformes au Code des Assurances, des questions sans réponses, des délais hors normes, un manque évident de respect envers leur clientèle. Et en plus des partenaires de la Caisse d'Epargne !</t>
  </si>
  <si>
    <t>maharbal-98738</t>
  </si>
  <si>
    <t>Cotisations élevées pour des remboursements dérisoires. Les dépassements d'honoraires restent pratiquement à la charge de l'assuré à 80%/90% en moyenne.</t>
  </si>
  <si>
    <t>14/10/2020</t>
  </si>
  <si>
    <t>ines-h-122613</t>
  </si>
  <si>
    <t>Super rapport qualité prix, conseillé au téléphone clair, validation du contrat rapide. Je n'ai pas eu de sinistre donc ne peux donner d'avis sur ce sujet.</t>
  </si>
  <si>
    <t>44444-22700</t>
  </si>
  <si>
    <t>Modification de tarif inadmissible ...suite a une vente qui n'a pu avoir lieu j'ai du reassure un vehicule deja assure a la macif...meme garanties sauf une franchise qui passe de 340 a 250 euros ...en contrepartie le tarif passe de 137 à 197 euros  c'est a dire une augmentation de pres de 50%...</t>
  </si>
  <si>
    <t>laetitia-81602</t>
  </si>
  <si>
    <t xml:space="preserve">Gwendal a était super très bonne prise en charge,  politisés amabilité et patience sont ses qualités je suis très satisfaite </t>
  </si>
  <si>
    <t>04/12/2019</t>
  </si>
  <si>
    <t>blabla-92027</t>
  </si>
  <si>
    <t>Vous venez d'augmenter ma cotisation sans motif, alors non pas satisfait. Vous économisé des sommes  folles et votre seule réponse et d'augmenter les cotisations</t>
  </si>
  <si>
    <t>24/06/2020</t>
  </si>
  <si>
    <t>ladeveze-f-135430</t>
  </si>
  <si>
    <t xml:space="preserve">Bien ! Les correspondants de l'Olivier Assurances sont compétents et sympathiques... Le prix est moyen, mais acceptable en rapport aux garanties proposées.  Merci. </t>
  </si>
  <si>
    <t>cuong-p-108701</t>
  </si>
  <si>
    <t xml:space="preserve">le prix est cher je trouve c'est trop chef 
c'est trop cher 
car en France, les français sont de plus en plus pauvre.
Ils pensent que le prix est cher </t>
  </si>
  <si>
    <t>31/03/2021</t>
  </si>
  <si>
    <t>hanid-s-125666</t>
  </si>
  <si>
    <t xml:space="preserve">Excellent  très bien prix raisonnable accueil chaleureux très disponible à l écoute prix pas cher bien expliqué très bien accompagné et accompagné accompagné super </t>
  </si>
  <si>
    <t>30/07/2021</t>
  </si>
  <si>
    <t>bob-63374</t>
  </si>
  <si>
    <t>Client depuis 1988, soit 30 ans et AUCUN sinistre. Bonus 50 %. Il y a un mois je suis contrôlé positif en alcoolémie à 0,62 j'ai 4 mois de suspension de permis. C'est la première fois, je ne dis pas que c'est bien, je ne suis pas fier... Et bien la GMF m'a viré comme un malpropre !!!! je n'ai jamais eu d'accident !</t>
  </si>
  <si>
    <t>18/04/2018</t>
  </si>
  <si>
    <t>clama-69408</t>
  </si>
  <si>
    <t xml:space="preserve">la maaf vient de résilier le contrat d'assurance d'un dame de 84 ans malade pour 2 sinistres en 36 mois après 17 ans sans déclaration en toute inhumanité assumée. Ils ont fait preuve d'une totale indifférence face aux difficultés pour elle de se réassurer et l'angoisse dans laquelle cette situation l'a mise </t>
  </si>
  <si>
    <t>14/12/2018</t>
  </si>
  <si>
    <t>fred54-108230</t>
  </si>
  <si>
    <t xml:space="preserve">Nous avons été contraints de prendre cette mutuelle avec le travail de mon mari en janvier 2021.
Voici plus d’un mois que j’attends la prise en charge de lunettes de vue. L’attente est trop longue et je ne trouve pas ça normal. Mon opticienne (depuis 10 ans) a essayer de les joindre à de nombreuses reprises mais ils ont fini par lui raccrocher au nez.
J’ai eu deux conseillères au téléphone, une première à qui on a vraisemblablement donné des réponses types, une seconde quinze jours après qui a pu faire bouger les choses.
Je n’ai pas pour habitude de me faire dans le consumérisme mais je trouve que lorsqu’on paie une mutuelle, une réponse dans les jours qui viennent est un dû. Mon cas n’est absolument pas grave mais si malheureusement une personne se trouve dans une situation telle qu’une hospitalisation d’urgence, une paire de lunettes cassées sans avoir de lunettes de rechange... etc... leur manque de réactivité ne laisse présager rien de bon.
</t>
  </si>
  <si>
    <t>27/03/2021</t>
  </si>
  <si>
    <t>andrieux-122475</t>
  </si>
  <si>
    <t>absolument déplorable. démarcheur super sympa ensuite le néant.
aucun dossier envoyé, malgré plusieurs relances.0.06 ct de REMBT pour une paire de lunettes, verres progressifs j'ai crü a une mauvaise blague
traitement parodontie 140€ aucun rembt.cette mutuelle qui se prétend intéressante, pour EUX n'a aucun intérêt, pour,l'adhérent j'ai oublié.presque 70E jetés chaque mois. merci santiane</t>
  </si>
  <si>
    <t>gree-c-115133</t>
  </si>
  <si>
    <t>Très satisfait. Conseillers très professionnels, ils sont facile à joindre et répondent parfaitement  aux questions. Les tarifs sont très corrects par rapport à la concurrence</t>
  </si>
  <si>
    <t>28/05/2021</t>
  </si>
  <si>
    <t>grr-93324</t>
  </si>
  <si>
    <t>Inadmissible!bénéficiaire de l'assurance vie de mon père décédé en 09/2018, toujours aucun versement ne m'est parvenu malgré les nombreux mails et échanges téléphoniques avec l'indemnisateur décès du service prestation sinistres décès d'Allianzvie</t>
  </si>
  <si>
    <t>07/07/2020</t>
  </si>
  <si>
    <t>roger--107691</t>
  </si>
  <si>
    <t>Suite à notre entretien téléphonique de ce jour avec l'hôtesse qui m'a accueilli "Angélique " je souhaite lui mettre la note de satisfaction maximum pour son professionnalisme et ses réponses très explicites .
Mr Cappo Roger</t>
  </si>
  <si>
    <t>23/03/2021</t>
  </si>
  <si>
    <t>bourel-139049</t>
  </si>
  <si>
    <t>Victime d'un accrochage à la sortie d'un giratoire,mon assurance a déclaré que j'était totalement responsable et de ce fait , je n'avais droit à aucune indemnité ???????
La sortie de ce giratoire est à deux voies,j'étais dans celle de gauche et le véhicule à ma droite m'a percuté,pour MAAF je suis fautif.
Question : sur quels critères se base l'assurance pour ne pas me rembourser un cent alors qu'il y a un tiers identifié ?
Y a rien à faire,c'est plus la MAAF qu'il préfère!</t>
  </si>
  <si>
    <t>05/11/2021</t>
  </si>
  <si>
    <t>yann-56244</t>
  </si>
  <si>
    <t>Simplement des menteurs,avant contrat on me dit 20 euros de remboursement sur une castration de lapin et une fois signé et l'operation faite ,aucun remboursement, juste des menteurs !!!!!!!!!!!!!</t>
  </si>
  <si>
    <t>25/07/2017</t>
  </si>
  <si>
    <t>jean-francois-b-131628</t>
  </si>
  <si>
    <t>Je suis satisfait du service.
Les prix restent dans la moyenne.
Les agences complètent très bien les services en ligne.
A recommander dans mon entourage.</t>
  </si>
  <si>
    <t>delio-d-113787</t>
  </si>
  <si>
    <t xml:space="preserve">Rapide et efficace, très satisfait 
Devis délivré rapidement. Faciliter de valider le devis par mail 
 Facilité de joindre un conseillé par téléphone 
Je recommande </t>
  </si>
  <si>
    <t>maxime-111458</t>
  </si>
  <si>
    <t xml:space="preserve">Je suis extrêmement déçu de cette mutuelle, j'y suis resté pendant plus de 2 ans avec la plus grosse formule ! Environ 120-130/ Mois, j'ai dû résilié suite à une mutuelle obligatoire du à mon travail en date du 1er novembre 2020, je m'y suis pris quelques mois après pour résilier ma mutuelle chez Génération et aussi du à la situation de pandémie qui ne m'a pas permis d'envoyer le courrier avant et résultat il non seulement, il refuse de me rembourser au prorata de la mutuelle de mon employeur, mais en plus, ils vont encore me prélever pendant 2 mois une honte à fuir ne souscrivez surtout pas ! Aujourd'hui même quand on est un bon payeur on vous encu... Environ 120-130/ Mois, j'ai dû résilier suite à une mutuelle obligatoire due à mon travail en date du 1er novembre 2020, je m'y suis pris quelques mois après pour résilier ma mutuelle chez Génération et aussi dû à la situation de pandémie qui ne m'a pas permis d'envoyer le courrier avant et résultat il non seulement, il refuse de me rembourser au prorata de la mutuelle de mon employeur, mais en plus, ils vont encore me prélever pendant 2 mois une honte à fuir ne souscrivez surtout pas ! Je ne sais pas qui gère la fiche Google de votre côté, mais croyez bien que je laisserais mon avis sur toutes les plateformes d'avis qu'il existe afin que tout le monde sache ce que vous faite ! HONTEUX !  </t>
  </si>
  <si>
    <t>23/04/2021</t>
  </si>
  <si>
    <t>valerie-r-131799</t>
  </si>
  <si>
    <t xml:space="preserve">je suis satisfaite du service. les prix sont corrects et j'obtiens rapidement mon attestation ou des informations demandés aussi bien sur l'assurance habitation que sur l'assurance voiture </t>
  </si>
  <si>
    <t>08/09/2021</t>
  </si>
  <si>
    <t>mag-135424</t>
  </si>
  <si>
    <t>Assurance pas cher mais au moment de résilier on apprend que cela se fait à j+30. Soit cette assurance fait payer un mois de plus que nécessaire !!! Précision non faite bien-sûr au moment de la souscription vu qu'on est censé lire toutes les petites lignes !!!</t>
  </si>
  <si>
    <t>gilles2408-134561</t>
  </si>
  <si>
    <t>votre assurance est trop chère et consulte actuellement pour en changer  
il m'on compté un sinistre alors que je n'étais pas en tort
mais l'autre conducteur étais également assuré chez allianz  ils ont jugés faire un 50/50
cette société étant un gros client chez eux</t>
  </si>
  <si>
    <t>26/09/2021</t>
  </si>
  <si>
    <t>ju31150-80507</t>
  </si>
  <si>
    <t xml:space="preserve">Attention aux prestations en option notamment assistance rapatriement avec voiture de prêt 
Asssuré tout risque et prise avec option panne et accident 0km  pas de véhicule de prêt inclu dans l'assistance de base option payante d'assistance à rajouter en supplément  bonus 50 a 311e annuel tout risque et 200e de frais de location pour retour à mon domicile a mes frais une honte avec 2 enfants le soir en week end demande de résiliation </t>
  </si>
  <si>
    <t>29/10/2019</t>
  </si>
  <si>
    <t>guillaume-m-113084</t>
  </si>
  <si>
    <t>prix hyper attractif, personnel au bout du fil gentil et compétent.Maintenant reste plus qu'à voir le jour où j'ai un soucis la réactivité de l'assurance</t>
  </si>
  <si>
    <t>08/05/2021</t>
  </si>
  <si>
    <t>vivien18-86037</t>
  </si>
  <si>
    <t>En 4 mois, 4 personnes différentes au téléphone et toujours des bla bla. Au final aucune résiliation n'a été réalisé pour mon assurance auto, donc 4 fois plus de sous m'ont été débité, honteux.</t>
  </si>
  <si>
    <t>17/01/2020</t>
  </si>
  <si>
    <t>philippe-g-109462</t>
  </si>
  <si>
    <t>Satisfait du tout simple et rapide a recommander
ergonomie correcte et intuitive qui permets de gerer rapiedement les données necessaires a la constitution du dossier</t>
  </si>
  <si>
    <t>sofiane-z-116667</t>
  </si>
  <si>
    <t xml:space="preserve">Je suis satisfait du service peut mieux faire encore pour que les prix sois a la porter de tout le monde car ce n'est pas encore le cas pour l'instant </t>
  </si>
  <si>
    <t>bredendiek-c-130788</t>
  </si>
  <si>
    <t>Bonjour,
Hélas il y a une erreur au niveau du nom sur l'attestation d'assurance scoalire et extra scolairede mon fils. Je ne peux pas l'imprimer et la remettre à son école à temps</t>
  </si>
  <si>
    <t>laura11-88958</t>
  </si>
  <si>
    <t>Mutuelle Viasanté très chère et remboursements faibles, très mauvaise gestion des remboursements</t>
  </si>
  <si>
    <t>17/04/2020</t>
  </si>
  <si>
    <t>luc-a-133700</t>
  </si>
  <si>
    <t>Sataisfait du service. Navigation sur le site et remplissage des questionnaire très bien pensé. Pas encore parfait mais beaucoup mieux que la concurrence</t>
  </si>
  <si>
    <t>20/09/2021</t>
  </si>
  <si>
    <t>jajosami-100551</t>
  </si>
  <si>
    <t>Double prélèvement ce mois de novembre 2020. Excuse invoquée par le contact (au bout de 6 appels comptabilisant 10h43 d'attente en tout) c'est la raison du COVID???? Connaissant les modes opératoires concernant les prélèvements, nous savons que ce n'est ni le COVID ni un dysfonctionnement informatique( invoqué dans un mail) qui est la raison de ce double prélèvement. Il faut arrêter de nous prendre pour des c.....
Une partie du remboursement de mes analyses sanguines (habituellement pris en charge) cette fois-ci pas pris en charge. 
Dossier optique en attente depuis 15 jours et ce matin on m'informe que Mercer est entrain de traiter les dossiers du 21/10/2020 et on est le 24 novembre 2020. Raison invoquée pour le retard "le covid". Et on n'a pas pu me donner de réponse cohérente quant à la date où je pourrais récupérer mes lunettes. C'est une honte.</t>
  </si>
  <si>
    <t>24/11/2020</t>
  </si>
  <si>
    <t>adherent56-111749</t>
  </si>
  <si>
    <t>A fuir absolument 
Cotisant depuis deux ans, je n’ai pas eu besoin d’eux. La première fois que j’ai eu recours à eux, impossible de les joindre, quelque soit le support. La clinique qui m’a opéré n’a pas pu avoir de prise en charge, et j’ai donc du avancer les frais. Depuis, aucun remboursement ne m’a été adressé.
J’ai donc résilié cette complémentaire totalement à déconseiller, ce qui correspond d’ailleurs à la majorité écrasante des avis. Depuis la résiliation, miracle, j’ai reçu des e-mails, mais toujours pas de remboursement.
Comment sont-ils encore autorisés à intervenir sur le marché des mutuelles complémentaires?</t>
  </si>
  <si>
    <t>3kai-56107</t>
  </si>
  <si>
    <t>36 ans de fidélité récompensée...
Mes parents, puis l’indivision, et moi-même pour mes biens personnels, sommes clients chez AXA depuis plus de 36 ans, à Alès, dans une même agence ayant eu à sa tête plusieurs courtiers successifs.
Bien qu’AXA n’a pas eu tout ce temps (36 ans) à souffrir de retard de paiement, dernièrement, l’indivision et moi-même avons à constater que quelques un de nos biens n’ont pas été assurés en continuité :
? l’un, consécutivement à une mise en copropriété, au passage d’un syndic bénévole à un syndic professionnel (à qui nous avons imposé le choix de l’assurance) ;
? l’autre , faisant suite à la résiliation d’un contrat pour un appartement vendu dans ce même immeuble. 
Un enchevêtrement d’actions et d’éléments négatifs, de manque de communication, dus à la légèreté de la façon de traiter les dossiers et sa clientèle par AXA nous pénalise (adresses tronqués, aucun appel de cotisation envoyé donc reçu avant janvier 2017, contenus de courriers erronés, 672 € devant être remboursés à l’indivision qui ne l’ont pas été, 672 € virés sur le compte d’un autre client, appel et rappel de cotisation réclamés aux montants qui varient... , erreur sur l’affectation d’appartement lors d’une résiliation de contrat, etc. : la liste est longue...)
Malgré des décennies de fidélité à AXA, malgré mon accessibilité dont le courtier à d’autres fins usait, aucune alerte ne m’a été signalée, ET un sinistre se voit refuser d’être étudié pour, au final, un “partiel” retard de paiement qui justifie, selon AXA, une suspension de contrat.
Dans une LRAR du 8 juin 2017, je réclamai à l’agence AXA des explications et une solution à l’amiable, il ne me sera volontairement pas répondu.
Faisant suite à mon appel téléphonique du 12 juillet, le courtier et moi-même sommes convenus d’un RDV le 17 juillet 2017. Cet entretien aura duré au plus 15 minutes et, même si ce n’a pas été dit avec des mots, j’ai été amené à comprendre que si je ne suis pas content, je suis invité à changer d’assurance, d’agence et de courtier.
Au bout de 36 ans, la pilule est amère.</t>
  </si>
  <si>
    <t>19/07/2017</t>
  </si>
  <si>
    <t>claude-g-115083</t>
  </si>
  <si>
    <t xml:space="preserve">Je suis satisfait du service, les prix me conviennent, la souscription en ligne est un plus,   qui laisse le temps de trouer les documents. Je recommande </t>
  </si>
  <si>
    <t>mickael-s-137404</t>
  </si>
  <si>
    <t>Je suis satisfait par la rapidité de l’adhésion. J’espère ne pas avoir à utiliser souvent la couverture de cette assurance. Et je vais étudier la proposition automobile.</t>
  </si>
  <si>
    <t>bubu-104550</t>
  </si>
  <si>
    <t>2048 € par an, renouvellement de lunettes Reste À Charge 0 ?????
AG2R prend en charge verre et monture à hauteur de 16,40€ Soit près de 95€ de Ma poche (Afflelou)
Merci AG2R !!!!!!</t>
  </si>
  <si>
    <t>21/02/2021</t>
  </si>
  <si>
    <t>frank-78007</t>
  </si>
  <si>
    <t xml:space="preserve">Bonjour.  Suite à une panne électronique immobilisant notre voiture en Grèce,  REFUS de Matmut assistance de mettre en place le rappatriement aux personnes (4) vers la France.... au prétexte que j ai fait appel à l'assistance remorquage de la marque pour être remorqué dans un concessionnaire de la marque (diagnostic et réparation plus rapide ). Client depuis 25 ans avec 4 contrats chez eux (que je vais bientôt resilier), je trouve cette attitude SCANDALEUSE </t>
  </si>
  <si>
    <t>29/07/2019</t>
  </si>
  <si>
    <t>paul-p-115213</t>
  </si>
  <si>
    <t>Je suis satisfait du service. Pas beaucoup d'assurance accepte le permis international, mais celle là si. 
Lors de ma panne ils ont été efficace. très bien</t>
  </si>
  <si>
    <t>gael-a-134845</t>
  </si>
  <si>
    <t>J'attends de voir en cas d'accident si les services vont être à la hauteur 
Si les opérateurs sont facile à joindre même pour de simple imformation de mon contrat ou autre</t>
  </si>
  <si>
    <t>28/09/2021</t>
  </si>
  <si>
    <t>richard-69000</t>
  </si>
  <si>
    <t>Neuf mois le 10 décembre que j'ai subi un dommage des eaux,et je suis toujours en attente de règlement pour commencer les travaux.</t>
  </si>
  <si>
    <t>29/11/2018</t>
  </si>
  <si>
    <t>abigail-87793</t>
  </si>
  <si>
    <t>Depuis le 2/01/2020 j'attends la transformation de mon assurance vie de monosupport en multisupport. Alors que chez d'autres assureurs j'ai effectué la même opération et en 3 semaines c'est traité 
De plus AFER m'oblige à souscrire 10% de mon Capital en Eurocroissance et chez les autres Assurances-vie cette obligation n'existe même pas</t>
  </si>
  <si>
    <t>29/02/2020</t>
  </si>
  <si>
    <t>gilbert-x-107326</t>
  </si>
  <si>
    <t>Une augmentation en 2019 au vu du prix des pièces auto qui avaient augmenté
augmentation en 2020 malgré le confinement pendant lequel les voitures ne sortaient pas du garage ( 3000 kms au lieu des 15000 habituels)... j'attends 2021</t>
  </si>
  <si>
    <t>djamel-a-129510</t>
  </si>
  <si>
    <t xml:space="preserve">Parfait facile et rapide très bonne expérience avec mon ancien véhicule  qui était assuré chez direct assurance aucun souci et dès que j ai une question c direct avec l appli </t>
  </si>
  <si>
    <t>clientdecu94-88435</t>
  </si>
  <si>
    <t>Je suis complètement désabusée, en arrêt de travail, depuis le 30/12/19 jusqu'au 6 avril 2020, aucune indemnité perçue à ce jour, des mensonges au téléphone, des délais de traitement abusif, aucune conscience professionnelle pour une cotisation pour la mutuelle de plus de 150 € pour une adulte et deux enfants, et de 20 € pour la prévoyance. Les cotisations sont prélevées sur mon salaire sans délais pourtant. Je déconseille fortement, ma collectivité le CD94 à d'ailleurs rompu son partenariat avec Intériale via Gras Savoye.</t>
  </si>
  <si>
    <t>20/03/2020</t>
  </si>
  <si>
    <t>gemaurice-96087</t>
  </si>
  <si>
    <t>A défaut d'arriver à pouvoir contacter directement la MGEN, je me suis rabattu sur son site internet. 
Je ne suis pas naïf en informatique et je dois affirmer que c'est un outil  inadapté aux besoins et donc complétement inefficace. On ne peut soumettre une question que si votre demande rentre dans celles qui sont proposées et prévues par le concepteur du site. Il ne suffit pas de proposer un outil satisfaisant pour les structures mentales d'informaticiens ou répondant au souci de ne pas trop déranger la MGEN! Ce site n'a, sans aucun doute et de toute évidence et malheureusement, pas été testé par un nombre suffisant d'utilisateurs. ! Tout se passe comme si on ne pouvait pas déranger le personnel par des questions auxquelles il ne serait pas habitué.
Si par bonheur une question rentre dans le cadre de celles qui sont prévues, aucun accusé de réception n'est envoyé au demandeur, de sorte qu'on ne peut pas savoir si l'envoi du message abouti et il est impossible d'avoir un historique de ces demandes.
Enfin je me suis rabattu vers une communication téléphonique durant le creneau horaire annoncé: impossible d'obtenir un contact !!!!
Mais ce n'est pas le seul déboire avec la MGEN: plusieurs fois mes dossiers de remboursement de déplacement pour le suivi d'un cancer ont été perdus !!
Mais de qui se moque t'on.
La MGEN est une mutuelle chère dont les prestations de contact vers les affiliés est tout à fait insuffisante et pose le problème de la compétence et vraisemblablement celui de la conscience professionnelle de certains personnel !!!!
J'ai aussi rencontré à la MGEN des personnes compétentes et dévouées, mais vous l'avez compris, je suis excédé par la désinvolture de certaines autres. D'une manière générale la gestion de la MGEN est déplorable. Quand les responsables administratifs vont se bouger pour faire cesser ces dysfonctionnements que, à en croire les nombreux avis internet négatifs, je ne suis pas le seul à partager ?
Gérard MAURICE</t>
  </si>
  <si>
    <t>08/08/2020</t>
  </si>
  <si>
    <t>guenaelle-g-112537</t>
  </si>
  <si>
    <t>Le site est bien fait, clair quand aux conditions auxquelles on peut souscrire.
L'inscription est simple et rapide, les prix corrects.
Je n'ai pas encore débuté mon contrat donc aucun avis en cas de sinistre</t>
  </si>
  <si>
    <t>18/06/2021</t>
  </si>
  <si>
    <t>jean-marie-o-116820</t>
  </si>
  <si>
    <t>efficacité et rapidité afin de pouvoir assurer un véhicule le week-end ! accès au site sans encombre  merci pour vos services en lignes§ cordialement.</t>
  </si>
  <si>
    <t>jip-79534</t>
  </si>
  <si>
    <t>avec Caroline j'ai pu avoir enfin un contact humain courtois et efficace</t>
  </si>
  <si>
    <t>kamila-t-124780</t>
  </si>
  <si>
    <t xml:space="preserve">Je suis très satisfaite du service a pris raisonnable .
Très bonne conseillère par téléphone je conseille vivement direct assurance .
Excellente assurance </t>
  </si>
  <si>
    <t>jols-101533</t>
  </si>
  <si>
    <t>Très bonne assurance en terme de communication et de règlement des sinistres, cependant les tarifs restent élevés. Il est tant pour moi, après un longue fidélité, de renégocier mes contrats et de voir d'autres propositions.</t>
  </si>
  <si>
    <t>lionnel-v-116075</t>
  </si>
  <si>
    <t xml:space="preserve">très déçu que les frais de résiliation me coute plus chère que le contrat lui même   merci d arreter de faire vos loi comme bon vous semble cela s apparente a du vole pour assuree un vehicule 1 mois je trouve cela exagérer je suis très très déçu ce n est pas la première fois mais la dernière </t>
  </si>
  <si>
    <t>05/06/2021</t>
  </si>
  <si>
    <t>aly-sy-105781</t>
  </si>
  <si>
    <t>La souscription est très simple, les conseillers compétants et disponibles. La transmission des documents assez facile : pas possible pour moi de les transmettre via l'application ou le site mais l'essentiel que ce fut possible par mail. Bon prix.</t>
  </si>
  <si>
    <t>thirion-s-111491</t>
  </si>
  <si>
    <t xml:space="preserve">Très satisfaite de mon assurance chez l'Olivier Assurance. Simple et très pratique de souscrire en ligne pour une novice comme moi. La démarche administrative était plutôt simple. </t>
  </si>
  <si>
    <t>camille-v-125938</t>
  </si>
  <si>
    <t xml:space="preserve">je suis vraiment satisfaite des prix et du site internet et des explications que fournissent direct assurances en plus leur formule sont vraiment accessible à tout les prix </t>
  </si>
  <si>
    <t>gaspard-m-130261</t>
  </si>
  <si>
    <t>Super. Recommandation de la part de mon vendeur, et après utilisation d’un comparateur, cela s’avère être la meilleure offre. Donc merci pipou tralala</t>
  </si>
  <si>
    <t>jean-h-110146</t>
  </si>
  <si>
    <t xml:space="preserve">Je suis satisfait de la simplicité et de la rapidité du site, le prix est défiant toute concurrence.  Il y aune grosse difference avec mon assureur habituel </t>
  </si>
  <si>
    <t>nobat-61079</t>
  </si>
  <si>
    <t>avec cette assurance je vous souhaite de ne jamais avoir d'accrochage votre véhicule ne sera jamais réparé ;sur un choc notre véhicule ne sera jamais réparé</t>
  </si>
  <si>
    <t>malik-c-132001</t>
  </si>
  <si>
    <t>Je suis très satisfait du service, le site est rapide, efficace et fluide,  les prix proposés sont bien moins cher et meilleur que chez les concurrents.</t>
  </si>
  <si>
    <t>nisanoh-55223</t>
  </si>
  <si>
    <t>A eviter ! Service clientau bled, on comprend a moitié ce qu'ils nous disent... Prix élevé pour des garanties plus que basiques... C'est mon premier assureur, j'aurais dû aller ailleurs... J'ai demandé a résilier en suivant la procédure (loi hamon, c'est mon bien assueur qui s'est chargé de résilier, en envoyant un recommandé, au 28 avril, pour que ma nouvelle assurance prenne effet au 31 mai soit le délai légal de minimum 30 jours ... A ce jour pas de réponse malgré un accusé de réception au 5 mai du recommandé. Et toujours prélevée. Je vais me retourner contre cette assurance.</t>
  </si>
  <si>
    <t>09/06/2017</t>
  </si>
  <si>
    <t>pierre-107959</t>
  </si>
  <si>
    <t xml:space="preserve">Je suis  tres satisfait de la Mutuelle Génerale de la Police et je suis pret a la recommander a toutes personnes notammengt en ce qui concerne les remboursements </t>
  </si>
  <si>
    <t>natoo-77840</t>
  </si>
  <si>
    <t xml:space="preserve">Merci à Ikram pour ses explications très claires lors de notre conversation téléphonique de jeudi dernier (18 Juillet). J'avais plusieurs questions et j'ai eu ttes les réponses souhaitées grâce à elle. </t>
  </si>
  <si>
    <t>22/07/2019</t>
  </si>
  <si>
    <t>caparros-b-133582</t>
  </si>
  <si>
    <t>Je suis satisfait de mon entretien avec le conseiller pour la conclusion de ce contrat. Simple et pratique. Prix intéressants, choix intéressants. Rapidité appréciée.</t>
  </si>
  <si>
    <t>roselyne-l-114022</t>
  </si>
  <si>
    <t>Bonjour,
Comme tout s'est bien passé tant pour la Honda Transalp que pour mes deux premières 125,  je vous renouvelle ma confiance, à suivre
Bien cordialement
Roselyne LAURENT</t>
  </si>
  <si>
    <t>17/05/2021</t>
  </si>
  <si>
    <t>annie-50026</t>
  </si>
  <si>
    <t xml:space="preserve"> J'ai décidé de résilier mon contrat , car augmentation , je suis  veuve et passage à la retraite depuis Octobre! Je téléphone, la personne reconnait que cela fait cher, pour moi seule et en plus je suis sur un ancien contrat, elle me dit de faire allusion à la loi Hammon, pour résilier . refus de résiliation , la loi Hammon, n'entre pas dans leurs codes d'assurance. 2 ème coup de téléphone, renvoyez la meme lettre sans faire allusion à la loi Hammon, ce que j'ai fait! à ce jour pas de retour, je n'ai meme pas reçu, le retour de l'accusé de réception, meme si la poste confirme la distribution  de ma lettre!  J'en suis donc à 11 euros de frais d'accusé de réception, et toujours au meme point! Je ne m'attendais  à ce  genre de pratiquede la part de La Macif! Je ne sais pas comment procéder!</t>
  </si>
  <si>
    <t>07/03/2019</t>
  </si>
  <si>
    <t>marie-helene-d-126479</t>
  </si>
  <si>
    <t>Je suis satisfaite des prix et des services proposés par la GMF.
Les conseillers sont toujours disponibles.
Les réponses aux demandes sont rapides. 
Une équipe efficace.</t>
  </si>
  <si>
    <t>lioubovnik-67776</t>
  </si>
  <si>
    <t>Si vous avez du temps à perdre de l argent à mettre dans examens médicaux n hésitez plus April est la compagnie qu il vous faut Entre  les gestionnaires qui s égarent de périphrase en périphrase pour vous dire que le médecin conseil ne peut se prononcer et qu il veut encore et toujours plus d examens il se sera écoulé 3 semaines et il faudra de nouveaux examens bien sur Chers lecteurs et mon cas est celui de quelqu'un en bonne santé de 66 ans. Pour les autres je vous laisse imaginer</t>
  </si>
  <si>
    <t>26/10/2018</t>
  </si>
  <si>
    <t>valta-g-133622</t>
  </si>
  <si>
    <t>le prix mon convient par apport à la concurrence et je suis satisfait du service de la rapidité de l'exécution des documents pas toujours faciles à ouvrir</t>
  </si>
  <si>
    <t>nsr691-49377</t>
  </si>
  <si>
    <t>Les prestations sont impeccables 
Toutefois il va une tendance forte à augmenter les tarifs d une année sur l autre malgré une absence de sinistre
Plus de 10%
Je négocie chaque année mes tarifs auto moto habitation 
Et suis las de ces tentatives maladroites de me faire payer les publicités maaf.</t>
  </si>
  <si>
    <t>11/11/2020</t>
  </si>
  <si>
    <t>pascal-q-105808</t>
  </si>
  <si>
    <t>je ne suis satisfait ,on m' a déja prélever ma cotisation alors que mon dossier n'est pas valider, parce que la carte grise est au nom de mon amis pacs,et manque la période du 15-02-2019 au 27-03-2019 sur mon relevé information ,période de tranfére qui a pas été repris par l'ancien assureur</t>
  </si>
  <si>
    <t>lilian-52655</t>
  </si>
  <si>
    <t>Voila, j'ai eu un accident non reponsable avec un automobiliste qui a pris la fuite après avoir eu connaissance des dégats causés à ma voiture (d'après mon assureur GMF, il n'y a pas délit de fuite vu que la personne c'est arrêté...!!). J'ai eu le temps de récupérer la plaque d'immatriculation ainsi que la marque du véhicule. Malheureusement je n'ai pas pensé à marquer de témoins sur le constat (dans la précipitation et la colère). Au final je vais me retrouver à payer la franchise parce que la GMF ne veut rien faire de plus qu'attendre que la personne avec qui j'ai eu l'accident ce dénonce...!! Il est vrai qu'une personne malhonnête à souvent des remords... Donc voila je me retrouve avec une voiture accidenté, qui va être certe réparer, mais je devrais payer la franchise évidemment... Pour le coup, ce n'est pas tant la somme à payer qui me dérange, mais plutôt la façon dont la GMF à traiter ce dossier. Je trouve assez normal qu'en payant une assurance, on bénéficie d'un soutient, ce qui n'a pas été le cas ici. Grossomodo, on m'a expliqué que même en étant blessé je n'aurais pas pu faire grand chose si je n'avais pas eu de témoins. Donc voilà, si un jour vous avez ce genre de problème, vous saurez comment la GMF traitera votre cas: Compliqué, on fait pas!</t>
  </si>
  <si>
    <t>22/02/2017</t>
  </si>
  <si>
    <t>justine-s-114133</t>
  </si>
  <si>
    <t>assurance ayant un niveau satisfaisant pour le prix.
Cependant, direct assurance est reactive mais pas tres conciliante et commerciale lors d'un accident ou dommage</t>
  </si>
  <si>
    <t>18/05/2021</t>
  </si>
  <si>
    <t>marianne-105040</t>
  </si>
  <si>
    <t xml:space="preserve">Mutuelle très décevante,,nous sommes en mars et consultations de faites depuis , une début janvier et l'autre début février...je me suis plainte auprès de leur service pour avoir les remboursements , mais â ce jour tjrs rien . En fin d'année je chercherais une nouvelle mutuelle  plus sérieuse... </t>
  </si>
  <si>
    <t>laura-26-85366</t>
  </si>
  <si>
    <t>Une catastrophe cette assurance. A fuir de toute urgence !</t>
  </si>
  <si>
    <t>31/12/2019</t>
  </si>
  <si>
    <t>andj-87376</t>
  </si>
  <si>
    <t>Gwendal a eter très aimable et a réussi à résoudre mon problème. Ses réponse était clair .tres bonne assureur .satisfaite de ces service malgres une longue attente .</t>
  </si>
  <si>
    <t>19/02/2020</t>
  </si>
  <si>
    <t>caro4269-97314</t>
  </si>
  <si>
    <t xml:space="preserve">Inadmissible! Tres cher, un prélèvement qui augmente! Et en plus impossible de résilier malgres même une mutuelle d'entreprise!  6 mois que j'essaye, et ils refusent! Complètement inadmissible ! </t>
  </si>
  <si>
    <t>12/09/2020</t>
  </si>
  <si>
    <t>sinto-101076</t>
  </si>
  <si>
    <t>Je donne un avis très favorable pour l'olivier assurances pour leur disponibilité et un accueil au top et surtout pour leur tarifs défiant toute concurrence et je la recomendrais à tous mes proches</t>
  </si>
  <si>
    <t>07/12/2020</t>
  </si>
  <si>
    <t>alain-r-109614</t>
  </si>
  <si>
    <t>Bonne réactivité quant aux demandes de modifications (ajout de conducteurs) 
Les conseillers sont aimables et efficaces.
Les prix restent élevés et la modularité reste limitée !</t>
  </si>
  <si>
    <t>cauchie-a-125671</t>
  </si>
  <si>
    <t xml:space="preserve">Je suis satisfaite,
Les prix sont correct et raisonnable.
Simple et facile, très pratique à faire.
Un devis envoyé rapidement.
Merci à vous
Cordialement </t>
  </si>
  <si>
    <t>marty-49791</t>
  </si>
  <si>
    <t>Suite à une résiliation je constate que l'assurance a indiqué sur mon avis de situation un dommage sans prise en charge; je contacte le service sinistre qui m'informe que le 9 avril 2017 j'ai fait une déclaration de sinistre ; ce qui est vrai n'arrivant pas à les joindre j'ai effectué une déclaration en ligne; mais le 10 comme elle l'atteste j'ai annulé cette déclaration pour prendre à ma charge la réparation puisque cela concernait un rétroviseur et que la franchise était supérieure à la réparation. devant mon étonnement que ce dommage apparaisse alors que rien n'a été fait par l'assurance; je demande une rectification de mon avis de situation, ce qui est normal,  elle me répète inlassablement oui mais vous avez fait une déclaration oui mais elle a été annulée , ce qu'elle reconnait oui mais on a mandaté un expert; aucun expert ne m'a contacté et aucun courrier ou mail m' a été envoyé; devant son coté optus je lui demande agacé quand l'expert aurait été mandaté?  elle me répond le 11 avril je lui fait remarqué que si le 10 elle valide bien le fait que j'ai annulé la prise en charge , pourquoi le 11 on mandate un expert... et là on me raccroche au nez!
 je suis responsable d'un service client et jamais j’accepterai de tels comportement de mes collaborateurs! 
de plus je découvre après la résiliation de mon contrat que seule l'assurance auto est résiliée mais par contre je continue à payer une garantie accident , qui pour moi est liée au contrat auto, car il n'y a pas d'échéancier séparé  et rien ne précise que ce sont deux contrats différents</t>
  </si>
  <si>
    <t>27/07/2018</t>
  </si>
  <si>
    <t>pelagie--y-102978</t>
  </si>
  <si>
    <t>Je trouve un peu cher, car pour l'instant je suis au chômage. 
aussi je n'ai pas vu l'option parrainage car j'ai été parrainé par une amie
sinon le service et facile à utiliser.</t>
  </si>
  <si>
    <t>20/01/2021</t>
  </si>
  <si>
    <t>eymeric-c-114354</t>
  </si>
  <si>
    <t>Pour un jeune permis, en tout risque + garanties supplémentaires, d'un point de vue tarifaire c'est assez élevé. Cependant, les garanties proposées valent le coup d'œil, simplement car difficile de les trouver ailleurs et/ou aussi complètes. C'est bien simple je n'ai vu chez aucun assureur autant de choix et de modulation des options de garanties, pour des solutions pourtant indispensables à mes yeux (assistance 0km avec remorquage, véhicule de prêt en cas d'accident, remboursement accessoires + équipements, etc).</t>
  </si>
  <si>
    <t>20/05/2021</t>
  </si>
  <si>
    <t>tibo87-50163</t>
  </si>
  <si>
    <t>Une vrai comédie. Cela fait 5 semaines que j'ai envoyé mes décomptes et je n'ai toujours rien de rembourser. Lorsque j'appelle je tombe sur des téléconseillers qui me baladent. La première me dit qu'il faut 16 jours ouvrés, le 2nd 22 jours ouvrés, le 3eme me dit que j'ai été remboursé..... Y 'en a marre. Je ne paie pas pour rien. Ma questions est simple quand vais-je être remboursé?</t>
  </si>
  <si>
    <t>12/12/2016</t>
  </si>
  <si>
    <t>alfred-63000</t>
  </si>
  <si>
    <t>Est-ce qu'un responsable d'AXA peut contacter un de ses partenaires pour lui demander de m'envoyer rapidement mon relevé d'information? Pour l'instant j'ai reçu de la pub et une espèce de demande de RDV pour discuter, mais j'ai pas envie de discuter, j'ai envie de prendre le large. (Résiliation loi Hamon)</t>
  </si>
  <si>
    <t>06/04/2018</t>
  </si>
  <si>
    <t>richard-v-109604</t>
  </si>
  <si>
    <t>très bon accueil, rapide et simple
meilleurs prix que j'ai trouvé après moulte devis
prix et formules très bien
à voir sur du long terme
rien d'autres à ajouter</t>
  </si>
  <si>
    <t>coxi-71626</t>
  </si>
  <si>
    <t>Bonjour,
J'ai eu accident non responsable et cela fait quasiment 5 mois que les ennuis ont commencé.
Le véhicule accidenté, était rapatrié dans un garage de mon choix. AXA m'a obligé à le faire déplacer dans un garage agréé pour l'expertise.
L'expert à du se déplacer 3 fois parce qu'ils n'ont pas réussi à se mettre d'accord dès le départ.
Le nouveau garagiste à refusé de me prêter un véhicule tant que les réparations n'étaient pas officiellement lancées alors qu'AXA m'avait certifié que c'était possible.
Ensuite, le garagiste a fait trainer les choses, j'ai du appeler pour savoir ou ça en était et là surprise il n'arrive pas à trouver les pièces... Bref j'essaie de me débrouiller par moi-même cela prend un peu de temps et quand enfin de trouve tout au bout d'un mois... On me dit que c'est pas possible car ce n'est pas des pièces certifiées VHU. Tout ce temps perdu. Donc je cale l'affaire, je demande la cession du véhicule car ça fait quand même 4 mois que je me bats pour sauver ma voiture ! Et là on me refuse la cession. Je suis dans tous mes états car j'ai appris que les frais de gardiennage couraient toujours et qu'AXA est censé y prendre en charge mais avec leur décision, je ne sais plus quoi penser... On arrive sur le 5e mois de soucis. Je suis sous décontractant depuis quelques jours car la situation devient invivable. J'attends l'argent de la cession pour m'acheter un véhicule, mais après ce refus : quoi penser ? Je suis à pied depuis tout ce temps alors je me fais véhiculer par la famille et les collègues. Imaginez ma vie et celle de mon entourage car personne n'a été capable d'être réactif. Je suis dépitée. Je pleure à chaque coup de téléphone. Je ne sais plus quoi faire.</t>
  </si>
  <si>
    <t>25/02/2019</t>
  </si>
  <si>
    <t>vincentkos-89658</t>
  </si>
  <si>
    <t xml:space="preserve">Pour une filiale d'Axa France nul nul service client horrible il faut relancer plusieurs fois et cela pendant plus d'un mois pour avoir retour de leur part et pour se faire rembourser une cotisation c'est pire pour les garanties des contrats il faut bien lire  </t>
  </si>
  <si>
    <t>14/05/2020</t>
  </si>
  <si>
    <t>jean-paolo-c-111322</t>
  </si>
  <si>
    <t>Prix attractif et renseignements clair. 
Contrat réceptionné et signé en moins de 24 heures.
Petite difficulté pour souscrire l'assurance avec un N° de plaque minéralogique étrangère.</t>
  </si>
  <si>
    <t>22/04/2021</t>
  </si>
  <si>
    <t>ellen-j-105002</t>
  </si>
  <si>
    <t>Prix trop cher
Service compliqué
Il faut des options en plus pour être bien couvert en Assurance tout Risque, je ne trouve pas cela normal, de plus les plus sont finalement plus élevés que d'autres assurances, au final revient plus cher</t>
  </si>
  <si>
    <t>jpboueilh-87657</t>
  </si>
  <si>
    <t>Direct Assurance? Direct Poubelle plutôt! Impossible de les joindre, leur service clientèle est sec dans ses réponses, personne n'étant à même de pouvoir entendre une explication. Donc A FUIR ABSOLUMENT</t>
  </si>
  <si>
    <t>26/02/2020</t>
  </si>
  <si>
    <t>lamy-58150</t>
  </si>
  <si>
    <t>assurance a fuir ci vous les contacté pour un sinistre on vous dirige vers une plateforme et a partir de la ces la galère</t>
  </si>
  <si>
    <t>18/10/2017</t>
  </si>
  <si>
    <t>gerard-l-105337</t>
  </si>
  <si>
    <t>Suite devis récent, certains prix me paraissent prohibitifs. j'espère une évolution plus en rapport avec l'utilisation des dits véhicules. Je ne suis pas sûr  ce jour de renouveler. Réponse en mai prochain sur un changement de véhicule.</t>
  </si>
  <si>
    <t>imed-r-131991</t>
  </si>
  <si>
    <t>Good mais j’espère avoir ue baisse la prochaine fois car je suis assurée en habitation aussi merci. Les deux personnes que j’ai eu etait top er clair merxi sarah et simon</t>
  </si>
  <si>
    <t>renai-b-115539</t>
  </si>
  <si>
    <t>Le rapport qualité prix est excellent ! J'attends de voir la gestion mais je suis très satisfait par mes premières impressions chez l'olivier assurance.</t>
  </si>
  <si>
    <t>cece-63293</t>
  </si>
  <si>
    <t xml:space="preserve">Les prix augmentent assez vite .  
Manque de réactivité pour négociation des différentes mutuelles sur internet. Malgré cela ; le service commercial est satisfaisant.
</t>
  </si>
  <si>
    <t>16/04/2018</t>
  </si>
  <si>
    <t>jeanmichel-deluxim-49698</t>
  </si>
  <si>
    <t xml:space="preserve">A ce jour , je suis satisfait , prise en compte rapide de demandes , du choix de mes options ! Une petite négociation à la souscription du contrat .. Tout se négocie !! </t>
  </si>
  <si>
    <t>29/11/2016</t>
  </si>
  <si>
    <t>01/11/2016</t>
  </si>
  <si>
    <t>jeve-55674</t>
  </si>
  <si>
    <t>Voila plus de deux mois que j'ai pu souscrire à un contrat et malgré l'envoi de toutes les pièces justificatives, je reste toujours dans l'attente de la carte verte</t>
  </si>
  <si>
    <t>27/06/2017</t>
  </si>
  <si>
    <t>olivier-d-134369</t>
  </si>
  <si>
    <t>Je suis très satisfait des services et de la facilité d utilisation du site ..mon seul bémol vient du numéro de tél payant et de la litanie du message …ça gâche le plaisir ..</t>
  </si>
  <si>
    <t>24/09/2021</t>
  </si>
  <si>
    <t>winyth-58486</t>
  </si>
  <si>
    <t>Suite à un dégât des eaux, l'assurance fait preuve d'une mauvaise foi affligeante afin de ne pas rembourser. Leur expert est venu tester l'humidité des murs avec un appareil ne permettant pas de mesure l'humidité derrière le carrelage, il n'en connaissait même pas l'existence</t>
  </si>
  <si>
    <t>30/10/2017</t>
  </si>
  <si>
    <t>moussa-b-110110</t>
  </si>
  <si>
    <t>Etant donné que je sollicite pas souvent mon assurance, pour ne pas dire jamais, j'aurais bien souhaité bénéficer des réductions pour "bonne conduite"</t>
  </si>
  <si>
    <t>celine-o-115504</t>
  </si>
  <si>
    <t>Le prix est correct et la couverture aussi. Je recommanderais votre assurance à mes amies et proche
J espère recevoir mes documents aussi rapidement
Mercj</t>
  </si>
  <si>
    <t>dalla-muta-a-114685</t>
  </si>
  <si>
    <t xml:space="preserve">J ai rien à rajouter d autre que cette assurance est très bien niveau qualité prix et au niveau de l écoute également que je la recommande vraiment avec plaisir.
</t>
  </si>
  <si>
    <t>24/05/2021</t>
  </si>
  <si>
    <t>paul56-43605</t>
  </si>
  <si>
    <t>Priez de n'avoir jamais un sinistre. Ils sont trés fort à exiger votre argent mais quand il faut rembourser ou payer...... ils commencent par vous coller un detective privé.... puis c'est le chemin de croix qui commence.... A la fin ne soyez pas surpris, meme si vous avez 100% raison (!!!) d'etre jeté comme un malpropre.... ils veulent seulement le client qui n'ont jamais le malheur d'avoir un problème..... Horrible</t>
  </si>
  <si>
    <t>18/12/2020</t>
  </si>
  <si>
    <t>pauline-100677</t>
  </si>
  <si>
    <t>Toujours une personne bienveillante et sympathique au bout du fil. Continuez ainsi car ça devient rare de nos jours ! 
Malheureusement c’est tout de même compliqué de modifier son contrat...</t>
  </si>
  <si>
    <t>27/11/2020</t>
  </si>
  <si>
    <t>amienoise-67082</t>
  </si>
  <si>
    <t>On me  promet le remboursement de mon bon de capitalisation depuis plus de 5 semaines, j'appelle et je ne vois toujours rien arriver !! Jamais, je ne prendrai une assurance chez eux !!</t>
  </si>
  <si>
    <t>25/09/2018</t>
  </si>
  <si>
    <t>zette--133566</t>
  </si>
  <si>
    <t>Appel ce matin dans vos services très bon accueil de mon interlocuteur prénommé Georges entièrement satisfaite de ses réponses nette et precises
Mme nolberg</t>
  </si>
  <si>
    <t>jeep679441-108704</t>
  </si>
  <si>
    <t xml:space="preserve">Prix attractif la première année pour "appâter" le client , mais des la fin de la première année 11.4% d'augmentation SANS AUCUN sinistre , et quand j'appelle on m'explique qu'en 2020 en pleine crise du COVID , la sinistralité de ma commune du Loir et Cher ( 
                            </t>
  </si>
  <si>
    <t>nath-51147</t>
  </si>
  <si>
    <t xml:space="preserve">Mon mari décédé depuis peu avait contracté un prêt (achat auto) avec une garantie décès CARDIF. Aujourd'hui CARDIF refuse la prise en charge du prêt au motif que mon mari n'a pas signalé au moment de la souscription du prêt qu'il prenait un traitement médical. Hors aucun questionnaire de santé n'a été rempli au moment de la souscription du prêt car le montant inférieur à 60.000 euros. Dans quelles limites ont-ils le droit d'agir de la sorte? </t>
  </si>
  <si>
    <t>10/01/2017</t>
  </si>
  <si>
    <t>trompe-131828</t>
  </si>
  <si>
    <t xml:space="preserve">Victime d'un chauffard avec 2,6 g qui a renversé mon fils sur son cyclo, cette assurance nous a dit de ne pas nous rendre au TGI au jugement du chauffard, je me suis retrouvé seul face aux 2 avocats du prévenu, l'assurance ne nous a pas donné d'avocat. L'expert d'assurances a minimisé au maximum pour cet accident où mon fils a été projeté dans le pare brise et est retombé lourdement sur le sol. Je pensais que étant assuré, je serais correctement défendu ,mais ce n'est pas le cas. D'ailleurs l'assurance ne s'est pas inquiétée de savoir si le chauffard  a été condamné ou pas à réparer et indemniser , ce qui est pourtant le minimum, de plus c'était à l'assurance du chauffard de rembourser la mienne. </t>
  </si>
  <si>
    <t>perseverante-77516</t>
  </si>
  <si>
    <t>beaucoup de surprises au détour de son utilisation !</t>
  </si>
  <si>
    <t>10/07/2019</t>
  </si>
  <si>
    <t>mc29200-64446</t>
  </si>
  <si>
    <t>Après avoir lu les conditions générales du contrat  " 11.4 Le règlement des prestations
Le remboursement des dépenses est toujours établi dans les 30 jours qui suivent la réception des documents nécessaires. Le règlement est toujours effectué en France à l’ordre de l’adhérent dans la monnaie légale de l’Etat Français."  J'ai demandé un remboursement depuis le 21 Avril et aucune réponse de personne. Au téléphone ce n'est pas la peine d'essayer, sur le Chat on nous dit que cela va être pris en compte. Alors si le règlement est TOUJOURS établi dans les 30 jours ils ne respectent pas leurs obligations. J'ai essayé d'envoyé un mail pour savoir s'il manquait des documents au cas ou et là pareil aucune réponse. Je pense vite résilier à la fin de cette année de contrat.</t>
  </si>
  <si>
    <t>04/06/2018</t>
  </si>
  <si>
    <t>caroline-87991</t>
  </si>
  <si>
    <t>une demande de remboursement inférieure à 60 euros  en 3 ans et refusée car non adressée dans le mois qui a suivi 
il parait que cela est noté dans les conditions générales
Peut être serait il bon de le repréciser sur les feuilles de soins 
conclusion je préfère résilier car même si ils sont dans leur droit ce ne me semble pas tout à fait normal comme règle</t>
  </si>
  <si>
    <t>05/03/2020</t>
  </si>
  <si>
    <t>valdo-58272</t>
  </si>
  <si>
    <t>Depuis le début je ne rencontre que des problèmes avec eux. Il a fallu que j'attende un mois avant d'avoir ma carte tiers payant. Quand ma fille est tombée malade je n'ai pas reçu le remboursement complémentaire puisqu'ils n'avaient pas fait le nécessaire. Depuis le 1er septembre j'attends un remboursement de séance de kiné. 2 mails envoyés, 3 appels effectués et l'on me promet un remboursement sous 48h. A aujourd'hui, le 22 octobre, aucun remboursement. Ils me prennent vraiment pour ce que je ne suis pas; je vais bloquer les prélèvements et faire au plus vite pour partir. NE FAITES PAS DE CONTRAT CHEZ EUX......ILS SONT PLUS QUE NULS!!!!</t>
  </si>
  <si>
    <t>22/10/2017</t>
  </si>
  <si>
    <t>lapincretin80-67292</t>
  </si>
  <si>
    <t xml:space="preserve">Bonjour, après plusieurs recherche dans les cabinets d'assurance de ma ville j'ai contacté AMV pour un devis. Finalement je me suis assuré chez eux sans regret car ils ont su être a l'écoute de mes attentes, le tarif y est très intéressant par rapport aux assureur contacter dans ma ville qui propose des tarifs hors de prix car ils veulent pas de deux roues chez eux c'est trop de souci et vous propose d'autre chose plus intéressante pour eux dont ont n'a pas besoin. </t>
  </si>
  <si>
    <t>03/10/2018</t>
  </si>
  <si>
    <t>vstef-is-87427</t>
  </si>
  <si>
    <t>Service client vraiment disponible, et a l'écoute</t>
  </si>
  <si>
    <t>20/02/2020</t>
  </si>
  <si>
    <t>rv-55548</t>
  </si>
  <si>
    <t>Assuré pour ma moto au tiers ,j'ai eu un accrochage avec une voiture.Tous les tords sont pour celle ci.Cela s'est passé le 1/01/017.
Depuis cette date j'attends pour être indemnisé.Mes relances n'aboutissent pas , on me dit AMV n'a pas signé la convention IRSA donc il faut d'abord attendre que l'assurance adverse rembourse.
Conclusion j'attends depuis six mois le réglement des dommages et je dois faire l'avance des frais de réparation.
Choisissez un autre assureur !!!!</t>
  </si>
  <si>
    <t>21/06/2017</t>
  </si>
  <si>
    <t>murray-m-128183</t>
  </si>
  <si>
    <t>Prestation rapide et conforme aux attentes.  Prix nettement inférieur à d'autres assureurs. Interface web claire et facile à utiliser.  Je recommande.</t>
  </si>
  <si>
    <t>16/08/2021</t>
  </si>
  <si>
    <t>jego-a-134460</t>
  </si>
  <si>
    <t xml:space="preserve">Rapide et efficace . Prix très attractifs avec de bonnes garanties. Je suis très satisfaites de cette nouvelle souscription. Plus qu’à attendre la carte verte </t>
  </si>
  <si>
    <t>25/09/2021</t>
  </si>
  <si>
    <t>jackredon-50449</t>
  </si>
  <si>
    <t>Garanties nulles vous êtes assurés pour rien que pour la vaccination à 25 e
On vous endors avec la souscription d'un contrat pas cher mais ou les remboursements sont nuls car vous êtes assurés pour rien, des conseillers qui sont la pour vous vendre du contrat mais qui omettent de vous signaler que toutes les interventions ne sont prises en charge de l'emfumage,  à fuir, vaut mieux payer plus cher mais avec un contrat ficelé, et au moins sur lequel vous pourrez compter en cas de tuile</t>
  </si>
  <si>
    <t>19/12/2016</t>
  </si>
  <si>
    <t>kahlaoui-d-137096</t>
  </si>
  <si>
    <t xml:space="preserve">Satisfaite,  pour une jeune conductrice le prix reste raisonnable merci à cette assurance pour la confiance aux jeunes. Je recommande fortement pour l instant 
</t>
  </si>
  <si>
    <t>12/10/2021</t>
  </si>
  <si>
    <t>giroix-g-107509</t>
  </si>
  <si>
    <t xml:space="preserve">J'ai loupé 10% de remise à cause d'une erreur. 
Je suis déçu je vais devoir tout annuler et tout recommencer. 
Les prix sont très attractifs néanmoins. </t>
  </si>
  <si>
    <t>22/03/2021</t>
  </si>
  <si>
    <t>giuseppe-c-134471</t>
  </si>
  <si>
    <t xml:space="preserve">Les prix conviennent
Je suis content
Merci directe assurance 
J'en parlerai à tout vraiment à tout le monde trop trop bien youpi youpi vive directe ass.
</t>
  </si>
  <si>
    <t>johan-v-122094</t>
  </si>
  <si>
    <t>J'attend toujours ma carte verte, après deux relances par mail je n'ai toujours pas de réponses.
Je travail en journée et 7 jours sur 7 et je n'ai pas le temps de vous contacter par téléphone.</t>
  </si>
  <si>
    <t>02/07/2021</t>
  </si>
  <si>
    <t>pascal-l-126435</t>
  </si>
  <si>
    <t>Prix satisfaisant mais pourquoi les conseillers ne comprennent pas pourquoi on peut avoir deux voitures en MM temps.... Mystère il n est pourtant pas difficile de comprendre cela</t>
  </si>
  <si>
    <t>julien-l-132271</t>
  </si>
  <si>
    <t>JE SUIS SATISFAIT DU SERVICE LES PRIX ME CONVIENNET C EST GENIAL JE SUIS SATISFAIT CEST GENIAL MERCI LES PRIX JE SUIS SATISFAIT C EST GENIAL MERCI LES PRIX</t>
  </si>
  <si>
    <t>xanadoo-64548</t>
  </si>
  <si>
    <t>27 janvier : cambriolage. Une fenêtre et une porte en chêne massif (maison fin XIXème siècle) attaquées au pied de biche. 
27 février : Devis transmis à la MAIF pour remplacement partiel de la porte (sans l'imposte qui reste) à l'identique en chêne et remplacement de la fenêtre à l'identique à "mouton et gueule de loup" en chêne. Montant 5417 euros.
26 mars : L' expert décrète qu'au lieu d'être partiellement remplacée, ma vénérable porte en chêne massif peut être bricolée à la pâte à bois. Elle décrète que les travaux peuvent être faits pour 3472 euros et me propose cette somme comme indemnisation. Il faut que je signe l'acceptation tout de suite sinon "ça va bloquer mon dossier" ...  je refuse de signer l'acceptation et je confirme qu'il ne se passe plus rien. Au 6 juin, 130 jours après le cambriolage, la gestion de ce sinistre est au point mort.</t>
  </si>
  <si>
    <t>06/06/2018</t>
  </si>
  <si>
    <t>lignereux-m-131851</t>
  </si>
  <si>
    <t xml:space="preserve">Je viens de souscrire aujourd’hui très satisfaite des services et des prix et très bien reçu par téléphone la conseillère Romane est très efficace et professionnelle </t>
  </si>
  <si>
    <t>michel-r-125842</t>
  </si>
  <si>
    <t xml:space="preserve">Je sastifait mais j ai une offre pour un nouveau contrat et je souhaiterais que ça sois applicable pour ce contrat. J ai perdu le code que vous m avez envoyé. 
Merci d avance </t>
  </si>
  <si>
    <t>mourad-h-129257</t>
  </si>
  <si>
    <t xml:space="preserve">Je suis satisfait du service 
Les prix me semblent toutes à fait correct 
Je trouve le site Simple et pratique 
Merci bien toute l'équipe pour votre travail </t>
  </si>
  <si>
    <t>24/08/2021</t>
  </si>
  <si>
    <t>naim-b-112560</t>
  </si>
  <si>
    <t>le prix est intéressant
l'application facilite la communication
besoin de rajouter la possibilité d'avoir le bonus du conjoint
besoin d'ajouter un bonus de parrainage pour rajout d'autres personnes</t>
  </si>
  <si>
    <t>jul72-91681</t>
  </si>
  <si>
    <t>sinistre habitation suite sécheresse. Délai très long pour une expertise. Refus pour un motif qui n'est ni dans les conditions générales ni particulières et qui met en cause de la qualité de l'ouvrage alors que pendant 18 ans nous n'avions eu aucun problème et n'avions pas eu besoin de faire jouer la décennale du maçon</t>
  </si>
  <si>
    <t>benlaure-57278</t>
  </si>
  <si>
    <t>Ne souscrivez pas d'assurance chez Eurofil car le seul souci de cette assurance est de faire de l'argent sur votre dos et de vous virer au premier petit incident.
Cliente depuis plus de 10 ans sans jamais aucun accident, j'ai eu en 2 ans 2 pare brises cassés et un bas de porte endommagé par un trottoir. Du coup Eurofil m'a tout simplement résilié sans jamais me prévenir. Ils me disent avoir envoyé un recommandé que bien sur je n'ai jamais reçu et quand j'en demande la preuve bien sur ils ne l'ont pas. J'ai juste eu le droit de m'entendre dire que l'assureur aussi a le droit de résilier un contrat sans en donner les explications! Sympa comme récompense fidélité !!</t>
  </si>
  <si>
    <t>12/09/2017</t>
  </si>
  <si>
    <t>ben-62283</t>
  </si>
  <si>
    <t xml:space="preserve">Fuyez !!! Une assurance médiocre !! Service client basé à l'étranger qui nous répète toujours le même discours ils ne sont jamais au courant de quoi que se soit, ne tiennent pas leur promesse de rappel, impolitesse des responsables. Ils font traîner les dossiers de sinistres plus de 1 mois en cherchant tant bien que mal une excuse pour ne pas payer le sinistre et vous résilier le contrat!! </t>
  </si>
  <si>
    <t>13/03/2018</t>
  </si>
  <si>
    <t>del7a3-102834</t>
  </si>
  <si>
    <t xml:space="preserve">Client MGP, je suis satisfait du service et du tarif proposés.
Cependant, mon employeur (une collectivité territoriale) propose une participation mensuelle à hauteur de 15€ pour un contrat souscrit avec une mutuelle labellisée (en vertu d'un décret de 2011), malheureusement la MGP ne l'est plus depuis 2017.
Il serait dommage que la MGP perde de sa compétitivité et se voit perdre une place de leader sur les tarifs proposés pour une labellisation non renouvelée lorsque l'on constate que les employeurs s'engagent dans l'augmentation des participations sociales pour leurs salariés.
Pouvons-nous espérer l'ouverture d'un dialogue dans ce sens? </t>
  </si>
  <si>
    <t>18/01/2021</t>
  </si>
  <si>
    <t>icare-89884</t>
  </si>
  <si>
    <t>Ma voiture a brûlé le 24 avril 2020, certes c'est une mauvaise date due au confinement, mais je ne l'ai pas choisie, depuis il est impossible joindre le ou les gestionnaires de mon sinistre, tout le monde est en télétravail et injoignable du matin au soir, on me laisse sans nouvelles aucune. Tous les 15 jours il faut que je me batte pour avoir une voiture de prêt car Pacifica sous-traite, et personne n'est en phase, dernière nouveauté: Je suis assuré tout risque intégral avec remboursement valeur à neuf de mon véhicule pendant 3 ans, mon véhicule avait 1an et demi, donc on pourrait penser que Pacifica allait me rembourser, mais non ils incriminent le constructeur, et me laisse sans remboursement, cela fait un mois que ça dure. Pacifica est l'assurance à éviter absolument !!!</t>
  </si>
  <si>
    <t>24/05/2020</t>
  </si>
  <si>
    <t>jj-53522</t>
  </si>
  <si>
    <t>après 46 ans chez GMF. très déçu de leur attitude.J'attends leurs propositions pour revenir.(Je vais aussi voir la concurrence).</t>
  </si>
  <si>
    <t>10/06/2017</t>
  </si>
  <si>
    <t>carole-anne-q-130972</t>
  </si>
  <si>
    <t xml:space="preserve">Super prix très convenables très attractif très bonnes garanties 
Inscription rapide et simple
Je recommanderais direct assurance à mon entourage 
Merci </t>
  </si>
  <si>
    <t>ninie-101228</t>
  </si>
  <si>
    <t xml:space="preserve">je ne recommande absolument pas cette assurance!
je souscris a l'assurance par internet qui suite a cela, un conseillé m'appel pour confirmer les informations que j'avais fourni et me dis qu'a la fin de mon contrat j'ai les deux derniers mois offerts.
Arrive la fin de mon contrat ( avec lettre de résiliation faite avant et qu'ils ne veulent pas prendre en compte tant qu'a faire ) ne veulent pas me faire les deux mois offert car la commerciale m'a appelé donc je n'est pas l'offre via la souscription par internet.
Qui plus ai mon chien c'est fait opéré d'une pathologie ( pas prise en charge mais la je le savais ) plus la castration. Mis a part la castration il n'ont même pas pris en charge les frais de médicament plus la journée a la clinique vétérinaire dont j'avais le droit a la prise en charge !!
a fuir absolument !!! pour faire les prélèvements là ils sont fort mais quand au reste il y a plus personne et pas moyen de discuter avec eux !! ils ne veulent rien savoir ni reconnaitre leur erreurs ( suite au 2 mois offert )
</t>
  </si>
  <si>
    <t>10/12/2020</t>
  </si>
  <si>
    <t>marck-80750</t>
  </si>
  <si>
    <t xml:space="preserve"> Assurance sur côté. Sur le conseil d un collègue j appel pour confirmer mon devis et la patatraque. </t>
  </si>
  <si>
    <t>05/05/2020</t>
  </si>
  <si>
    <t>loic-f-107102</t>
  </si>
  <si>
    <t xml:space="preserve">je suis très satisfait du service, il est juste dommage d'augmenter les prix chaque année car ça nous oblige à jongler avec une autre compagnie d'assurance puis revenir ensuite chez vous pour bénéficier à nouveau d'un super tarif mais c'est le jeux des assurance. </t>
  </si>
  <si>
    <t>jess-80227</t>
  </si>
  <si>
    <t xml:space="preserve">Cliente depuis 14 ans contrat auto habitation mutuelle enfant assurance décès avec 0 sinistre responsable en 12 ans je suis résiliée suite à 2 sinistre auto en 2 ans. 
Assurance à fuir !!!!! Tant que vous n avez pas de sinistre aucun problème pour encaisser les cotisations par contre dès que vous avez besoin de faire marcher votre assurance on vous dégage... Les assurances ne devraient elles pas être justement présentes dans le cadre d accident de la vie etc..? 
Prendre en compte le parcours de l assuré sur 15 ans ? Parce que dans une vie ça peut arriver d avoir 2 sinistres rapprochés. 
Merci de ne pas me répondre avec votre message automatique pour donner l illusion que vous votre service commercial en et un !!!!! </t>
  </si>
  <si>
    <t>19/10/2019</t>
  </si>
  <si>
    <t>moussaoui-d-112892</t>
  </si>
  <si>
    <t>Je suis satisfaite des tarifs et le personnel est très sympathique et gentil par téléphone. Mon ancienne assurance me proposer 160€/mois et avec l’olivier assurance je paye 75€ !</t>
  </si>
  <si>
    <t>kevinp-71250</t>
  </si>
  <si>
    <t xml:space="preserve">Les délais de réponses lors de l'envoi de document sont très longs. ils demandent parfois des documents complémentaires et l'ont est obligé d'appeler un numéro payant pour avoir des informations.
de même pour déclarer un sinistre!
A éviter fortement! </t>
  </si>
  <si>
    <t>13/02/2019</t>
  </si>
  <si>
    <t>patounet85-96316</t>
  </si>
  <si>
    <t>Conseiller pas a la hauteur   je suis très déçu sur un placement où on m'a mal conseillé et après avoir perdu pas mal d argent l on m'a juste répondu que ça pourrait être pire</t>
  </si>
  <si>
    <t>14/08/2020</t>
  </si>
  <si>
    <t>tita-116416</t>
  </si>
  <si>
    <t>Assurance Dépendance catastrophique pour la faire déclencher lors d’une dépendance lourde.
Aucune possibilité d’avoir un gestionnaire de dossier , seul une standardiste répond aux demande. 
Après 5 mois de déclenchement du sinistre , aucune information transmise sur le dossier malgré de multiple lettres et appels . 
Aucun versement réalisé par la CNP après 5 mois.
A fuir .</t>
  </si>
  <si>
    <t>socrate-134136</t>
  </si>
  <si>
    <t>aucun remboursements depuis 6 mois que nous sommes chez eux il y a toujours quelque chose qui ne va pas pour ne pas rembourser les soins sur notre chien.</t>
  </si>
  <si>
    <t>Solly Azar</t>
  </si>
  <si>
    <t>phil-25768</t>
  </si>
  <si>
    <t>Je suis (ou ai été) client de diverses compagnies d'assurances en ligne depuis très longtemps (assurance automobile). j'ai souscri un contrat pour la première fois auprès d'Active Assurance en juin 2018</t>
  </si>
  <si>
    <t>fredaeldy3--103611</t>
  </si>
  <si>
    <t>Je suis assuré pour mon chat, je paye 19€/mois et en janvier on me prélève 32€ donc je me renseigne et on me dit que c'est par rapport à la fréquence où vient l'animal donc ça ne sert à rien d'avoir cette assurance, j'ai voulu résilier mais je ne peux pas avant le 31/12/21, je suis très en colère te je trouve cela inadmissible</t>
  </si>
  <si>
    <t>hiphop-52426</t>
  </si>
  <si>
    <t>Depuis 20 ans auprès de cette mutuelle, celle-ci a un mal fou à passer à l'air du numérique avec des remboursements qui n'apparaissent pas quant à l'évolution de la réglementation elle est complètement larguée dès qu'il s'agit de traiter des dossiers CMU C ou ACS. Personnel incompétent à fuir absolument...</t>
  </si>
  <si>
    <t>moufid-g-108946</t>
  </si>
  <si>
    <t xml:space="preserve">l'inscription est Simple et pratique
et surtout rapide, au niveau du prix c'est très raisonnable
site très bien présenter, à la hauteur de mes attentes
</t>
  </si>
  <si>
    <t>cher-77750</t>
  </si>
  <si>
    <t>Salut TrahisonDétresse. Votre cagnotte https://www.leetchi.com/fr/cagnottes/entraide avec saisie de TrahisonDétresse dans, rechercher une cagnotte, selon votre message du dimanche 30 juin 2019 est intéressante. Il faut la faire connaître sur des réseaux sociaux pour obtenir de l'aide et la faire démarrer. Les photos sont intéressantes. Si vous en avez d'autres, n'hésitez pas. Un rendez-vous MAIF avec aucun représentant présent sur les lieux de l'expertise, je connais. On perd tout.</t>
  </si>
  <si>
    <t>ad-74573</t>
  </si>
  <si>
    <t xml:space="preserve">Depuis la fusion de Eurofil avec Aviva, je ne reconnais plus mon assurance avec laquelle je n'avais pas eu de problème en 5 ans. Mais depuis... c'est la catastrophe! Service client déplorable qui diffuse de fausses informations par téléphone (on me fait croire que le vol de mon véhicule va être pris en charge par mon assurance tous risques) et puis on n'hésite pas à être très désagréable avec vous. Je suis assurée tous risques et ils ont pourtant refusé de m'indemniser le vol de mon véhicule au motif qu'il n'avait pas eu d'effraction (vol de mon sac à main avec mes clés de voiture dedans puis vol de mon véhicule avec la clé volée: l'assurance était bien évidemment au courant de tout). Pire, ils se sont servis de ce "sinistre" non pris en charge pour me refuser une indemnisation de plus de 600 euros pour un autre sinistre quelques semaines plus tard, toujours non responsable. Cerise sur le gâteau : ils m'ont résilié mes 2 contrats d'assurance dans la foulée ! Pourtant, sur 3 sinistres pour nos 2 véhicules assurés chez eux, seul 1 était responsable (celui de mon conjoint). Que de petits dégâts matériels je précise ! Aucun dégât physique. Je fais désormais partie des "persona non grata" des assurances alors que je suis loin d'être une mauvaise conductrice, tout comme mon conjoint qui n'a eu qu'un petit accrochage en 5 ans. Bref, ASSURANCE A EVITER !! </t>
  </si>
  <si>
    <t>29/03/2019</t>
  </si>
  <si>
    <t>christophe-tillier-49649</t>
  </si>
  <si>
    <t>Je suis totalement insatisfait des services proposés par cette compagnie. 
Victime d'un sinistre en février 2016, la compagnie a laissé végété le dossier, malgré mes régulières sollicitations. 
Lors des appels j'ai reçu des informations contradictoire de la part des interlocuteur. 
En outre, je tenais à signaler le ton très dédégneu de leur personnel. 
Bref leurs tarifs sont exhorbitants, assurance à éviter
O</t>
  </si>
  <si>
    <t>28/11/2016</t>
  </si>
  <si>
    <t>tlili-102677</t>
  </si>
  <si>
    <t>Vraiment hyper déçu client chez eux depuis quelques années à titre personnel et professionnel avec des multiples assurance a chaque fois qu'on appel pour un sinistré bah malheureusement on rentre pas dans les critères vraiment lamentable ils sont là juste pour nous pompé comme des vampires. Un conseil évite cette assurance</t>
  </si>
  <si>
    <t>geoffrey-d-136626</t>
  </si>
  <si>
    <t>Bonne réception téléphonique et prix très abordable
Rapidité sans faille explication claire et explicite très bonne assurance pour cyclomoteur merci..</t>
  </si>
  <si>
    <t>lionel-v-106566</t>
  </si>
  <si>
    <t>Très bien, rien à rajouter, bonne qualité de prix et de services, je recommande particulièrement la plate forme en lignes, conseillés aimables et disponibles.</t>
  </si>
  <si>
    <t>14/03/2021</t>
  </si>
  <si>
    <t>bea-135010</t>
  </si>
  <si>
    <t xml:space="preserve">TRES SATIFAIT DE CETTE ASSURANCE QUI CONPREND VITE ET REPONS TRES BIEN  A TOUTE LES QUESIONS DE MON DOSSIER PART TELEPHONE OU PAR INTERNET  GRAND PROFFESSIONALISTE MERCI </t>
  </si>
  <si>
    <t>29/09/2021</t>
  </si>
  <si>
    <t>hamza-s-124077</t>
  </si>
  <si>
    <t xml:space="preserve">Parfait le site est vraiment très bien merci je conseille a tout le monde de passé chez vous je suis satisfait sa veut dire tout le monde serait satisfait </t>
  </si>
  <si>
    <t>roland-135808</t>
  </si>
  <si>
    <t>excellent accueil et entière satisfaction proposé par Mariana merci a Santiane des mutuelles proposés,tarfs et services sont a la hauteur de mes espérances</t>
  </si>
  <si>
    <t>wilois-66057</t>
  </si>
  <si>
    <t>Apres un accident sans dommage corporel et sans tiers, j'ai eu mon remboursement après un mois et demi, ce qui est extrêmement raisonnable de plus est en période estival. Les documents arrivent rapidement. je suis client pour plusieurs motos depuis plus de 13 ans sans accident (sauf celui ci) et je n'ai aucun reproche à faire. Et je vais de nouveau me rassurer chez eux pour une autre moto.</t>
  </si>
  <si>
    <t>08/08/2018</t>
  </si>
  <si>
    <t>01/08/2018</t>
  </si>
  <si>
    <t>laveau-q-122668</t>
  </si>
  <si>
    <t>Le devis en ligne n'a pas aboutit au moment du paiement et impossible de recommencer la démarche. 
J'ai donc terminé au téléphone avec un conseiller. A cause du mauvais fonctionnement de vos outils en ligne, je n'ai pas bénéficié du cashback Igraal. Le service commercial a refusé de faire un geste...
En plus, le prix obtenu au téléphone était de 24€/mois alors qu'en ligne avec les mêmes informations j'avais 17€/mois. 
Bref une belle perte de temps.</t>
  </si>
  <si>
    <t>malvyna-21-90802</t>
  </si>
  <si>
    <t xml:space="preserve">Satisfaite de la prise en charge très sacrifiait sur prix merci à vous niveau prix c’est très bien merci à vous je vous recommanderais ça c’est sur bonne journée </t>
  </si>
  <si>
    <t>14/06/2020</t>
  </si>
  <si>
    <t>isab-116422</t>
  </si>
  <si>
    <t>J'ai fais appel à la protection juridique pour m'accompagner à la suite d'un devis de Nissan pour  un dysfonctionnement constaté pendant la garantie. L'accompagnement était correcte les 6 1ers mois puis mon dossier est affecté à une autre conseillère juridique. Délai de traitement, relances pour avoir un suivi. Me conseille de passer par 1 médiation au bout de 18 mois. Mauvaise orientation auprès d'un médiateur qui ne gère pas les litiges avec Nissan. Je lui fournis les coordonnées du bon médiateur, je dois réimprimer les documents pour que ma conseillère envoie la demande de médiation. Et le clou de l'affaire, le médiateur me déboute car la requête est hors délai. Resultat: 2 ans sont passés et je n'ai rien obtenu. Depuis j'ai alerté ma conseillère à 2 reprises et évidemment pas de réponse de sa part. Service juridique à fuire.</t>
  </si>
  <si>
    <t>alem-s-133093</t>
  </si>
  <si>
    <t>Simple rapide et efficace, a un prix en dessous du marché, super bien. Et avantageux pour les jeunes permis. Je recommande vivement cette assurance merci</t>
  </si>
  <si>
    <t>gaylord-g-132258</t>
  </si>
  <si>
    <t>Simple et pratique, dirigé depuis la plateforme Le Lynx.
La présentation des caractéristiques du contrat est clair.
Un effort pour optimiser d'avantage les franchises serait bénéfique.</t>
  </si>
  <si>
    <t>philexium-59293</t>
  </si>
  <si>
    <t>Très mécontent de la qualité de la relation client d'Harmonie Mutuelle. Outre les très longs délais d'attente au téléphone, que penser d'une société dont la conseillère déclare : "de toute façon, je ne peux pas joindre le service gestion, ils ne me répondront pas" !!!
Harmonie Mutuelle est-elle conscient de l'image qu'elle donne de son entreprise ?...</t>
  </si>
  <si>
    <t>alain-r-133455</t>
  </si>
  <si>
    <t xml:space="preserve">Le site est Simple d'accès pratique et rapide. Difficile de donner un avis pour le moment car c'est ma première souscription chez vous. À voir dans le temps. </t>
  </si>
  <si>
    <t>pommecanelle-52564</t>
  </si>
  <si>
    <t>generali ne comprends pas que les pompes funebres ne sont pas à leur disposition pour recevoir le paiement des obseques 
cela fait 6mois que j'ai perdu ma mère et depuis je me bats pour recevoir l'indemnité que ma mère avait choisi afin de nous préserver de tout frais au lieu de ça je dois constamment fournir des documents avec toujours des delais longs entre chaque courrier comme si ce n'était déjà pas assez dur comme situation comment expliquer que vous avez cette somme qui est bloquée au risque que les pompes funèbres vous demandent des pénalités de retard je pense contacter 60 millions de consommateurs</t>
  </si>
  <si>
    <t>18/02/2017</t>
  </si>
  <si>
    <t>snoopy-75-126844</t>
  </si>
  <si>
    <t>Après comparaison avec les offres des autres assureurs, pour moi le contrat PACIFICA est de loin le plus complet en terme de couverture des risques, ce qui est en option chez les concurrents est inclus dans le contrat, plusieurs risques sont sans franchise en cas de sinistre et pour les autres risques la franchise est inférieure de 30% au minimum. La protection individuelle du conducteur est nettement plus élevée chez PACIFICA.
Il ne faut pas oublier que la qualité d'un contrat s'analyse au moment du sinistre et à ce moment il est trop tard pour se dire: " j'aurai dû me souvenir que le moins cher  n'est jamais le meilleur marché au final"
Les économies de plusieurs centaines d'euros annoncés par certains ne sont pas à couverture identique, donc méfiance.</t>
  </si>
  <si>
    <t>06/08/2021</t>
  </si>
  <si>
    <t>loulou1248--104726</t>
  </si>
  <si>
    <t xml:space="preserve">Peut mieux faire .L’option de base est très chère pour un minimum de remboursements.Je suis client depuis plusieurs années mais je pense aller voir ailleurs. </t>
  </si>
  <si>
    <t>sandrine-m-112703</t>
  </si>
  <si>
    <t>Dans la globalité, je suis satisfaite de Direct Assurance. Les prix sont deux fois inférieurs que ceux de mon précédent assureur.
Le SAV, à améliorer.</t>
  </si>
  <si>
    <t>stephane-h-123018</t>
  </si>
  <si>
    <t>toujours satisfait des prestation d'amv , pour moi ces une des meilleur pour moto et quad.
je la recommande pour chaque pote cherchan une bonne assurance pas trop chere .</t>
  </si>
  <si>
    <t>hicham-e-108985</t>
  </si>
  <si>
    <t>Je suis tres satisfait ,souscription facile Tarifs très intéressants,tout est claire pas de problème personnelles a la hauteur et des offres pour maintenir la fidélité du client au top.</t>
  </si>
  <si>
    <t>erwan-l-127032</t>
  </si>
  <si>
    <t xml:space="preserve">Je suis satisfait, l’assurance n’est pas très chère et rapide à faire. C’était la meilleure offre dans le comparateur d’assurance. Content car j’avais besoin d’assurer mon scooter rapidement. </t>
  </si>
  <si>
    <t>07/08/2021</t>
  </si>
  <si>
    <t>galak-97295</t>
  </si>
  <si>
    <t>Prix très compétitifs malgré un malus suite à 2 accidents sans dommages corporels.
La procédure de souscription est 100% en ligne, simplicité et efficacité.
La prise en compte de la désinscription chez l'ancien assureur est également très pratique.</t>
  </si>
  <si>
    <t>11/09/2020</t>
  </si>
  <si>
    <t>plet-a-113268</t>
  </si>
  <si>
    <t xml:space="preserve">souscription rapide, tarif intéressant, contact sympa que ce soit par téléphone ou via messenger...en espérant que lorsque l'on rencontre un problème tout se déroule de la même manière  </t>
  </si>
  <si>
    <t>lolo06200-111339</t>
  </si>
  <si>
    <t>Rapport qualité prix, facilité, rapidité, garanties,professionnalisme. Une assurance réactive sans surprise l’adhésion s’est Très bien passé en tant que nouveau client.
Je recommande.</t>
  </si>
  <si>
    <t>buret-l-112260</t>
  </si>
  <si>
    <t xml:space="preserve">Satisfait d’avoir enfin obtenu le prix du devis que nous avions pu obtenir lors d’une simulation sur devis de votre site. Néanmoins cela après 1h30 de conversation avec 2 télés opératrices, soit très accueillantes, mais beaucoup incompréhensions et d’incohérences entre leur propos mais également avec les infos collectées sur le site par le devis. Grosse surprise également de la modification du mail pour accès à notre compte.
Le gros inconvénient également est de constater que toute modification d’un des contrats doit être demander par le souscripteur uniquement même s il n’est pas le conducteur principale du véhicule et payeur du contrat, pour ma part c’est très surprenant.
Enfin nous espérons être bien couvert par les garanties et être bien accompagné en cas de sinistre.
En espérant que ces remarqués soient prise en considération par votre service qualité
Bien cordialement </t>
  </si>
  <si>
    <t>pasde-pseudos-103260</t>
  </si>
  <si>
    <t>Jamais vu une pareille incompétence à tous niveaux !!!!
Que ce soit pour contacter leurs services -mission impossible malgré une  vingtaine de tentatives sur une semaine -,où pour avoir une réponse au courier,ou bien prendre en charge un dégât des eaux ,alors même qu il y a urgence et inondation....Bref, personne capable de répondre ni d agir .
Le tout pour arriver à ne rien prendre en charge,...
Un agissement plus proche de l incompetence que de l assurance.
Compagnie à fuir !!!!</t>
  </si>
  <si>
    <t>fredu13-102631</t>
  </si>
  <si>
    <t>AMV est certainement le moins cher des assureurs 2 roues mais en cas d'accident ou autres proches je ne sais pas quelle sera la réactivité de cette dernière. On choisit très souvent AMV pour ses petits prix ce qui est paradoxal si nous ne sommes pas sur des garanties appliquées par la suite.</t>
  </si>
  <si>
    <t>pirou-95031</t>
  </si>
  <si>
    <t>toujours très très compliqué pour les avoirs, alors que c'est que de administratif. J'ose même pas imaginé quand on a un sinistre... Réactivité NUL !!
aujourd'hui pour qui pour quoi, fermeture exceptionnel ! merci</t>
  </si>
  <si>
    <t>24/07/2020</t>
  </si>
  <si>
    <t>melka8264-47749</t>
  </si>
  <si>
    <t xml:space="preserve">Nul en cas de problème débrouiller vous  je déconseille à FUIRE 
prendre une vraie assurance éviter pacifica proposé par crédit agricole  c'est simple en cas de cambriolage aucun remboursement de leurs part malgré un bon contrat avec option et bien rien depuis 2020 c'est une honte </t>
  </si>
  <si>
    <t>gerard-c-109973</t>
  </si>
  <si>
    <t>Je suis étonné qu'il me soit demandé de régler ma prime d'assurance auto alors que dès la souscription de mes contrats auprès de Direct assurance j'avais souscrit au prélèvement automatique</t>
  </si>
  <si>
    <t>11/04/2021</t>
  </si>
  <si>
    <t>bazini-m-122930</t>
  </si>
  <si>
    <t>Les prix réduits et des garanties plus étendues fidéliseraient plus vos clients.
Avec des contrat adapter aux spécificités de chaque clients par exemple, aux kilomètres parcourus....</t>
  </si>
  <si>
    <t>eva22-110897</t>
  </si>
  <si>
    <t>La conseillère  qui m a contactée  a ete tres professionnelle  m a permis grace a ses bonnes infos de profiter d une meilleure couverture santé  a moindre coût.  Merci</t>
  </si>
  <si>
    <t>hakkican-a-112385</t>
  </si>
  <si>
    <t>Je trouve c’est convenable, le prix correspond à un rapport qualité prix qui semble être en adéquation avec les attentes de chaque clients. Reste à voir avoir le service.</t>
  </si>
  <si>
    <t>02/05/2021</t>
  </si>
  <si>
    <t>franck-c-106514</t>
  </si>
  <si>
    <t>service client pitoyable , jusqu'à même de me dire d'aller voir ailleurs si je n'était pas content .
je compte sortir tous mes véhicules a la date anniversaire .</t>
  </si>
  <si>
    <t>lionel-t-121413</t>
  </si>
  <si>
    <t>satisfait du prix  et de la relation clientèle. les garanties semblent correspondre aux attentes..la couverture des risques est correcte.bonne assurance</t>
  </si>
  <si>
    <t>28/06/2021</t>
  </si>
  <si>
    <t>loos68-94901</t>
  </si>
  <si>
    <t xml:space="preserve">Rapport qualité prix je suis satisfaite, j'ai pu adapter ma couverture en fonction de mes besoins et j'ai surtout été bien conseiller par mr gomez J'espère que les tarifs ne vont pas augmenter de façon exagérée </t>
  </si>
  <si>
    <t>23/07/2020</t>
  </si>
  <si>
    <t>anne-marie--c-131293</t>
  </si>
  <si>
    <t>Un peut chère très long pour pouvoir validé le paiement il a fallu le faire plusieurs fois j’espère être satisfaite et ne pas regretter mon choix je voudrais savoir comment je vais recevoir ma carte verte</t>
  </si>
  <si>
    <t>04/09/2021</t>
  </si>
  <si>
    <t>oceane-d-125049</t>
  </si>
  <si>
    <t xml:space="preserve">Je suis satisfaite du prix et de l’intervention des conseiller qui est très efficace au téléphone comme sur les réseaux sociaux , jespere ne pas etre decu au cour de cette annee chez vous </t>
  </si>
  <si>
    <t>gwendal-d-109235</t>
  </si>
  <si>
    <t>Je suis satisfait au niveau des prix, il y a un très bon rapport qualité prix. De très bonnes options s'offrent à nous lors du devis. Je l'ai conseillé à plusieurs personne de mon entourage.</t>
  </si>
  <si>
    <t>alexis-b-105467</t>
  </si>
  <si>
    <t>je suis satisfait du service mais je ne comprend pas mon nouvelle échéancier qui ne change presque pas (3€) malgré 0 sinistre en 3ans ,aucun défaut de payement et surtout quand je fait un devis (toujours chez vous)je payerais moins chère donc incompréhension. Mais sinon aucun problèmes .</t>
  </si>
  <si>
    <t>victor-h-105866</t>
  </si>
  <si>
    <t xml:space="preserve">Très satisfait du service par téléphone. La conseillère a très bien gérée ma demande avec une attention et un professionnalisme hors pair. Je suis heureux d'être client chez Direct Assurance.  </t>
  </si>
  <si>
    <t>miloud-h-134535</t>
  </si>
  <si>
    <t>Les prix sont compétitifs ainsi que les garanties . a voir dans le temps pour le service . J'etais tres satisfaits de mon assurance precedente mais on m' a dit le plus grand bien de direct assurance .</t>
  </si>
  <si>
    <t>brigitte-53504</t>
  </si>
  <si>
    <t xml:space="preserve">Assureur à fuir. Injoignable. On ne vous rappelle pas. Pire on vous répond par mail, mais message vide. J’ai pris un renfort hospitalisation et je ne suis même pas remboursée des 15€ journalier.   Impossible de faire valoir ses droits. Les remboursements ne correspondent pas au dossier que je leur ai envoyé. Je n’ai qu’une hâte  Changer de mutuelle. </t>
  </si>
  <si>
    <t>kriss-62852</t>
  </si>
  <si>
    <t>Suite à sinistre non responsable, prise en charge partielle des réparations (pas de déplacement de l'expert / estimation uniquement sur photos prises par le garagiste)
Après de nombreux rappels par mail et par téléphone, obligation de se déplacer chez l'expert pour présenter le véhicule.
Durée des démarches: 3 mois
Qualité de l'intervention en cas de sinistre médiocre</t>
  </si>
  <si>
    <t>31/03/2018</t>
  </si>
  <si>
    <t>yassine-o-127670</t>
  </si>
  <si>
    <t xml:space="preserve">Bonjour 
Pourriez-vous svp me confirmer que mon code promo parrainage a bien été pris en compte ?
Je vous remercie par avance pour votre réponse 
M.OUADRANI </t>
  </si>
  <si>
    <t>corinne-53874</t>
  </si>
  <si>
    <t xml:space="preserve">Bonjour , j etais assurée chez vous , apres acceptation demon dossier ,  parce que la carte  grise est au nom de mon petut fils qui est en train de passer son permis et aurait garder l assurance chez vous !! Je suis déçue et ne comprend pas comment on peut accepter un dossier , pour le recaler par la suite </t>
  </si>
  <si>
    <t>05/04/2017</t>
  </si>
  <si>
    <t>01/04/2017</t>
  </si>
  <si>
    <t>yahya-a-132609</t>
  </si>
  <si>
    <t>JE SUIS SATISFAIT 
LE PRIX  EST NORMAL 
LE SERVICE EST BIEN 
JE SUIS CONTANT 
MOI J4HABIT 0 PARIS 
MERCI BEAUCOUP POUR VOTRE SERVICE DE BIEN VOUKLIRE</t>
  </si>
  <si>
    <t>13/09/2021</t>
  </si>
  <si>
    <t>marc-r-107979</t>
  </si>
  <si>
    <t>IMPECC PRIX ET SERVICE et pour ce qui est de la prise en charge de vehicule c'est rapide 
pour les devis tres bien expliquer 
pour les recherche de vehicule  encore un peu brouillon</t>
  </si>
  <si>
    <t>fabritucc-62458</t>
  </si>
  <si>
    <t xml:space="preserve">J ai demandé le rachat total de mon contrat Retraite depuis le 12 février.
Je n'ai toujours pas mon argent.
Aucune explication du service client, ils ne savent rien....
J attends encore une semaine et je vais voir mon avocat et envoyer un courrier au Figaro, aux Echos </t>
  </si>
  <si>
    <t>26/03/2018</t>
  </si>
  <si>
    <t>tribout-k-124973</t>
  </si>
  <si>
    <t xml:space="preserve">Très satisfaite du prix et des garanties proposées. Service rapide avec d'autres options qu'on peut choisir ou non.
Très bon rapport qualité,prix 
Rapidité des envois des cartes vertes </t>
  </si>
  <si>
    <t>t0f16-78885</t>
  </si>
  <si>
    <t>Sociétaire victime d'un accident de moto (non responsable). Le dossier est en cours car je ne suis pas encore consolidé après 5 mois due à la gravité des blessures mais après une 1ere expertise médicale, la MACIF transfert la gestion de mon dossier sur l'assurance du responsable car mon incapacité s'élèvera au delà des 5%. Jusque là tout semble normal et logique sur le fonctionnement de mon contrat assurance moto.
Puis, intervient le contrat Garantie accident un peu imposé à l'époque pour 72 euros par an qui me propose en le lisant, une indemnisation si j'ai plus de 10% d'incapacité. Mais à titre d'avance sur la réparation attendue de l'assurance adverse responsable.
Donc, si j'ai bien compris, dans le cas ou je me serai planté tout seul (responsable), j'aurai payé cette option forcé pour quelque chose ! Dans le cas ou je suis pas responsable, cette option payante ne me sert strictement à rien si ce n'est de m'avancer une indemnisation que vous m'avez pas encore  proposé après 5 mois puisque je suis pas consolidé. Et lorsque je le serai, la loi Badinter oblige les assurances à nous indemniser dans un délai de 5 mois, donc aux vues de la rapidité de vos services, rien ne sert de me faire l'avance puisque les 5 mois seront déjà passés, donc déjà indemnisé part l'assurance responsable.
La question est, pourquoi je peux bénéficier d'une indemnisation de la part de mon assurance en cas d'accident responsable pour une option que je paie et que je n'en bénéficie plus si je ne suis pas responsable ?
Ok, je vais être indemnisé du coté de l'assurance responsable, mais là on parle de mon contrat moto, pas de l'option "GARANTIE ACCIDENT" que j'ai payé pendant des années pour rien. Donc vendez ce produit en disant , "EN CAS D'ACCIDENT RESPONSABLE SEULEMENT".
Conclusion, si je suis le bon conducteur. Je paie une option dans le gaz, on me vends de la consolation inatteignable!
ps: une seule étoile pour le prix car 72 euros pour rien, je trouve ça cher.</t>
  </si>
  <si>
    <t>03/09/2019</t>
  </si>
  <si>
    <t>jean-m-121826</t>
  </si>
  <si>
    <t xml:space="preserve">service nul le client doit payer quoi on ne sait pas il faut prendre rv pas de tel direct juste un fax tarif élevé a fuir car le service s'est dégradé </t>
  </si>
  <si>
    <t>marie01111978-132156</t>
  </si>
  <si>
    <t>J'ai souscrit une assurance emprunteur auprès des ACM en 2017. En Mars 2021je me suis fait opérer. J'ai développé des symptômes ensuite mais qui n'étaient pas en lien avec l'opération. Je suis toujours en arrêt avec une perte de salaire. Lorsque j'ai saisi l'assurance il m'a été émis un refus car d'un coup une exclusion apparaissait alors que je n'ai pas été informé. Malgré des diagnostics de plusieurs spécialistes mettant en avant le fait que je développait une autre pathologie absolument pas en lien avec l'opération les assurances persistent dans le refus de financement. Inadmissible. Assurances à fuir.</t>
  </si>
  <si>
    <t>soizic-g-127718</t>
  </si>
  <si>
    <t xml:space="preserve">Après avoir fait plusieurs comparaisons, je suis vraiment satisfaite, le prix est intéressant, la démarche est simple et rapide .
Je pense d'ailleurs demander un devis pour assurer un second véhicule.
</t>
  </si>
  <si>
    <t>guillaume-r-108820</t>
  </si>
  <si>
    <t>Super service client Merci a vous pour votre professionnalisme j'espère, Rapide et très efficace je me suis fait assuré en quelque minutes vraiment au top !</t>
  </si>
  <si>
    <t>amaro-j-116349</t>
  </si>
  <si>
    <t>merci pour tout, par contre au devis il n'était pas mentionné de frais de dossier j'espère que le tarif sera vraiment celui du devis. 
Cordialement
Mme AMARO</t>
  </si>
  <si>
    <t>08/06/2021</t>
  </si>
  <si>
    <t>oulala-87706</t>
  </si>
  <si>
    <t>Avec sa plateforme numérique (sans messagerie), Groupama rompt tout contact avec ses clients. Impossible d'avoir une réponse claire à une requête, pas d'accusé de réception, ils font la moitié du boulot et ils ne s'excusent même pas des erreurs qu'ils font ! La débandade totale.</t>
  </si>
  <si>
    <t>27/02/2020</t>
  </si>
  <si>
    <t>muriel-g-111971</t>
  </si>
  <si>
    <t>Il serait judicieux de baisser les coûts d'assurance des véhicules car pour ma part, ma voiture est restée au garage pendant les confinements. Merci de prendre en compte ma remarque.</t>
  </si>
  <si>
    <t>droussel-105524</t>
  </si>
  <si>
    <t>J'ai cotisé pendant plusieurs années pour ma retraite complémentaire
je suis parti en retraite le 30 septembre 2020 - 6 mois plus tard alors que tous les autres organismes m'ont payé, GENERALI ne m'a toujours pas versé ma retraite et ne me donne aucune date - Pire : ils ne répondent plus ni à mes mails ni à mes appels</t>
  </si>
  <si>
    <t>d'almeida-l-115418</t>
  </si>
  <si>
    <t>Je suis plutôt satisfait du service mais il y’a des gros efforts à faire concernant le service client car n à du mal à comprendre tout ce qu’ils nous disent lors de nos échanges téléphoniques.
Cdt,</t>
  </si>
  <si>
    <t>mara5468-117361</t>
  </si>
  <si>
    <t>Merci à Maria pour sa gentillesse, elle a su me guider au téléphone. Très professionnelle et surtout d'une grande patience pour des personnes  novices comme moi.</t>
  </si>
  <si>
    <t>mc-102156</t>
  </si>
  <si>
    <t>Je suis actionnaire à la MACIF depuis 1972. J'ai bien dis "ACTIONNAIRE". En effet lorsqu'arrivait l'échéance au 1er avril la MACIF faisait les plus et les moins de ce qu'avait couté l'ensemble des sinistres à de la Mutuelle, le montant du coût de l'échéance pouvait varier en fonction des résultats. Les nouveaux conseillers ne savent même pas que cela avait existé?
Aujourd'hui La MACIF a oubliée qu'elle est une mutuelle et ne fait plus ce calcul mais applique systématiquement une augmentation chaque année. Alors que le nombre de sinistre  diminues.</t>
  </si>
  <si>
    <t>gourion-e-116333</t>
  </si>
  <si>
    <t xml:space="preserve">TRES SATISFAIT COMPETANT ET TRES COMPETITIF 
Agréable au téléphone, facilite de souscription = confiance acquise. 
le meilleur tarif entre autre merci </t>
  </si>
  <si>
    <t>djeh-87825</t>
  </si>
  <si>
    <t xml:space="preserve">Un sinistre qui a mal été pris en charge. Si tu les relances pas tu peux toujours attendre... D'une incompétence sans nom. Et je pèse mes mots. Plus jamais la Macif ! Ne leur faite pas confiance ! </t>
  </si>
  <si>
    <t>02/03/2020</t>
  </si>
  <si>
    <t>bambin-56863</t>
  </si>
  <si>
    <t>Après un contact téléphonique, un devis est transmis inférieur de moitié au devis en ligne, une fois l'acompte payé, ils doublent la mensualités, prétextant des renseignements erronés, méthodes de voyoux bien huilée</t>
  </si>
  <si>
    <t>24/08/2017</t>
  </si>
  <si>
    <t>greg-138969</t>
  </si>
  <si>
    <t>Incendie causé par les panneaux photovoltaïques en juin 21. Les 4 chambres  de mes enfants sont détruites , ils "campent" dans la véranda depuis le sinistre. Novembre, toujours pas d'autorisation de lancer les travaux malgré le froid qui arrive (plus de chaudière ni poêle à bois).A nous de trouver un logement si nous voulons être relogés. Communication et soutien inexistants de la part de la gmf.
La GMF est loin d'être "assurément humain" comme la pub nous le scande!!!
À déconseiller.........</t>
  </si>
  <si>
    <t>julie78-71620</t>
  </si>
  <si>
    <t>En novembre 2018 nous nous retrouvons mon
compagnon et moi même (enceinte) au chômage.
Je cherche alors une mutuelle à laquelle adhérer
pour notre famille. Suite a des recherches sur internet le courtier Santiane me rappelle à
mainte reprise et je finis par adhérer à Néoliane. Avant de m'engager je me renseigne bien sur les conditions de résiliation. Le conseiller que j'ai me confirme bien que si mon compagnon retrouve un emploi c'est un motif recevable et légal pour la résiliation sans attendre la date anniversaire.
Mon compagnon retrouve un emploi en CDI le 7 janvier 2019. Je me renseigne en les appelant pour faire la résiliation et on me dit de
faire au plus vite pour que tout soit fait rapidement
afin que je n'ai pas la cotisation de février. Je fais
donc les démarches nécessaires pour la résiliation
de mon contrat. Ont me demande d'envoyer des
justificatifs que j'envoie.
Et LÀ magiquement commencent les problèmes.
Malgré mes nombreux appels mes nombreux mails
auxquels personne ne répond je reçois un courrier qui me demande de payer l'échéance du mois de février 2019! Deux semaines après ils me répondent par mail en me disant que l'attestation employeur de mon compagnon mentionne bien le titre obligatoire pour lui même mais pas pour la famille entière. Du jamais vu. Ils me font tourner en bourrique en s'attachant à quelque chose de non obligatoire et son de mauvaise fois. C'est une honte.
Pour souscrire aucun problème. Pour résilier par
contre ont vous mets des bâtons dans les roues et on vous prend pour des imbéciles.
Je suis enceinte et le stress que génère ce problème
est immense pour moi. Sans parler de l'aspect
économique. Je n'ai pas l'intention d'en rester là
et de me faire entuber.
Ne vous faite pas avoir!!!</t>
  </si>
  <si>
    <t>pinheiro-f-115048</t>
  </si>
  <si>
    <t>Très satisfaits devis et contrat fait rapidement. Un conseiller m’a appeler pour finaliser mon devis et procéder au contrat. Les prix sont attractif je recommande</t>
  </si>
  <si>
    <t>vdealmeida-64727</t>
  </si>
  <si>
    <t>Travailleur indépendant, je suis pleinement satisfait d'avoir choisi Santiane il y a maintenant 6 ans.
Une petite évaluation de mes besoins, et en quelques minutes, un devis pour une offre adaptée, quasiment aucune démarche à effectuer.
Santiane se charge de me contacter régulièrement afin de me proposer des offres suivant l'évolution de mes besoins et du marché.</t>
  </si>
  <si>
    <t>12/06/2018</t>
  </si>
  <si>
    <t>mr-richard-111858</t>
  </si>
  <si>
    <t xml:space="preserve">Très déçu, assuré tous risques, on ma volé mon catalyseur et refus de prise en charge  sous prétexte que c un vol isolé  ils m'ont aussi  dit que c'était pareille si on me volait une jante, un rétro , un pare choc etc... je vais changer d'assurance. </t>
  </si>
  <si>
    <t>alain31-57519</t>
  </si>
  <si>
    <t>je suis assuré depuis 3 ans, mes cotisations viennent d'augmenter de 38 % sans raisons,le service client dit que c'est à cause des catastrophes naturelles!!! Sur l'avis d'échéance est marqué "bonne nouvelle" les franchises baissent de 50 % grâce à mes 3 années, mais la cotisation monte de 38% , vous avez compris, le non respect du client est présent en permanance. J'ai un devis comme si j'étais un nouveau client et là surprise ma cotisation n'a pas les + 38% et en plus elle est inférieure à ce que je payais.!!!</t>
  </si>
  <si>
    <t>22/09/2017</t>
  </si>
  <si>
    <t>ves-113097</t>
  </si>
  <si>
    <t xml:space="preserve">
Direct Assurance injoignable au téléphone.
Impossible de se connecter a l'espace perso. 
Après modification de mp toujours message d'erreur.
Bref, aucun contact.
</t>
  </si>
  <si>
    <t>etienne-r-130697</t>
  </si>
  <si>
    <t>Je suis satisfait du service, simple pratique et peu couteux.
Avec des contrats sur mesure et peux onéreux. Je suis client depuis deux ans et je ne suis pas déçu.</t>
  </si>
  <si>
    <t>isa-69709</t>
  </si>
  <si>
    <t>A la maif depuis 1993.  Paiement régulier des cotisations soit disant mon assurance habitation est la meilleure. Plusieurs incident dégâts des eaux envoi d un expert méprisant, incident sur un cumulus pas de prise en charge. Fuite d eau entre le compteur et la maison pas de prise en charge. En conclusion une assurance chère mais aucune prise en charge. Tres tres tres déçue   je prospecte alleirs</t>
  </si>
  <si>
    <t>27/12/2018</t>
  </si>
  <si>
    <t>ensemble-69633</t>
  </si>
  <si>
    <t xml:space="preserve">
Il nest pas bon de tomber malade avec April assurance. Je suis an attente de mes indemnités journalières pour un arrêt maladie du 8/9/18 au 1/10/18.Soit disant un règlement effectué le 1/12 à mon employeur ( qui n a pas reçu de notification de paiement ), on me dit au téléphone quil faut attendre 15 jours a cause des délais bancaires. Personnellement c est la première fois que j entends une réponse aussi aberrante...Aucune ampathie, a fuir. Service client catastrophique. Aucun suivi 
Je ne comprends pas comment les clients qui viennent se plaindre sur ce site leur mettent 2 ou 3 étoiles ... faites en sorte que cela descende à 1.... le minimum</t>
  </si>
  <si>
    <t>22/12/2018</t>
  </si>
  <si>
    <t>da-silva-t-111056</t>
  </si>
  <si>
    <t xml:space="preserve">je suis satisfaite du prix les démarches son simple signature électronique au top je recommande  et espère pouvoirs avoir l'occasion d’avoir un filleul.
cordialement .    </t>
  </si>
  <si>
    <t>sara-m-105276</t>
  </si>
  <si>
    <t>Equipe Gestion des sinistres très réactifs, vraiment rien à dire
Des prix compétitifs.
Par contre, pas de réactivité du service client. J'ai reçu une information que mon contrat d'assurance allait être résilié car trop de sinistre (5) alors que c'était une erreur de direct assurance (j'en avais que 2). Très long parcours du combattant pour annuler la résiliation alors que c'est une erreur de direct assurance (3mois et ce n'est toujours pas annuler) et à chaque fois il faut réexpliquer à différents conseillés du service client... Hônnetement je pensais que direct assurance allait être très réactif vu que l'erreur venait de leur système et bein pas du tout c'est à moi de me justifier et répéter à chaque fois</t>
  </si>
  <si>
    <t>derouin-90121</t>
  </si>
  <si>
    <t>le temps d'attente téléphonique pour obtenir un interlocuteur est trop long.</t>
  </si>
  <si>
    <t>02/06/2020</t>
  </si>
  <si>
    <t>marchienne-r-123643</t>
  </si>
  <si>
    <t xml:space="preserve">Satisfaite de la personne que j'ai eu au téléphone. Elle était très compétente. A voir par la suite mais pour le moment je suis satisfaite de la rapidité d'adhésion. </t>
  </si>
  <si>
    <t>michette-137232</t>
  </si>
  <si>
    <t>j ai demandé un renseignement à Mariama - tout a été parfait - réponse précise , bon accueil , satisfaction obtenue je recommande  cet assureur avec un bon rapport qualité prix</t>
  </si>
  <si>
    <t>jean-54734</t>
  </si>
  <si>
    <t>Au tiers si vous tombez seul même avec dommage collision vous avez aucun remboursement même corporel et le dépannage vous payé comme moi 470 euros pour un petit trajet , jai tout perdu avec cet assurance ??</t>
  </si>
  <si>
    <t>17/05/2017</t>
  </si>
  <si>
    <t>sans-139648</t>
  </si>
  <si>
    <t xml:space="preserve">Client MAIF pour plusieurs véhicules et habitations je n'arrive pas à me faire rembourser une facture de dépannage sur autoroute. Je suis trimbalé par différents "conseillers" qui me renvoient sur l'assistance ces derniers se retournant sur la maif. Ce petit jeu dure depuis maintenant 1 mois alors que le montant s'élève à 132€. Je tiens à signaler que mes véhicules sont assurés tous risques,dépannage 0 km etc.
J'ai le sentiment que cette assurance n'aime pas les "râleurs" bien que se prétendant assureur militant.
A les lecture des différents avis postés je constate ne pas être le seul dans ce cas là.  </t>
  </si>
  <si>
    <t>gousandier-renard-101642</t>
  </si>
  <si>
    <t>Mon Marie après une chute d'un escabeau ses fait une hernie discale de nombreux jour d arait de travail equipe tre a Lecoute de Nos pesoin treé vite aidemiser a la fin des dattes d'arrêt de travail je recommande</t>
  </si>
  <si>
    <t>Sogessur</t>
  </si>
  <si>
    <t>lora2720-50888</t>
  </si>
  <si>
    <t>Premier sinistre en 8 ans de permis (non responsable). Prise en charge très rapide. Bon accueil et explications claires à l'agence de Thionville. Aucune pression pour choisir un garage plutôt qu'un autre, au contraire on m'a dit que je pouvais aller dans mon garage habituel même si non agrée.
Les prix sont correct et des efforts sont fait pour éviter les augmentations annuels. En 2017, première augmentation de la cotisation, après 2 ans de stabilité.</t>
  </si>
  <si>
    <t>03/01/2017</t>
  </si>
  <si>
    <t>gribe-112702</t>
  </si>
  <si>
    <t xml:space="preserve">Janvier. Devis de mon chirurgien dentiste adressé à Suravenir. 2 mois plus tard pas de réponse. Relance téléphonique en début mars. La personne chargée de mon dossier me promet une réponse le lendemain par mail. Aujourd'hui, début mai je n'ai toujours rien reçu. C'est affligeant... Pitoyable. </t>
  </si>
  <si>
    <t>Suravenir</t>
  </si>
  <si>
    <t>azertyblum-77607</t>
  </si>
  <si>
    <t xml:space="preserve">Bonjour voilà mon problème cest que j attend un remboursement de rente depuis plusieurs semaines  problème de réception logiciel mais si c'était nous qui devions de l  argent  ce serait pas pareil ça ne traînerai pas </t>
  </si>
  <si>
    <t>14/07/2019</t>
  </si>
  <si>
    <t>remy-g-105305</t>
  </si>
  <si>
    <t>Direct assurance est dépassé et très cher. Sur le marché on trouve des offres au km à des prix bien meilleurs avec les mêmes modalités de contrat. Il ne font aucun effort pendant le confinement alors que les véhicules sont restés au garage</t>
  </si>
  <si>
    <t>florian-b-124720</t>
  </si>
  <si>
    <t xml:space="preserve">On est obliger de régler l'intégralité d'une année?
Je souhaitais faire un paiement mensuel mais le site ne propose que de régler la totalité d'une année.
Un paiement par mensualité m'aurait arrangé </t>
  </si>
  <si>
    <t>castelain-p-124004</t>
  </si>
  <si>
    <t>Le prix reste dans le plus compétitif, mais le service téléphonique tres mauvais, on ne répond pas à mes questions et je ne sais toujours pas comment je vais avoir une remise de 50€ avec le code promo ???</t>
  </si>
  <si>
    <t>katarzyna-66964</t>
  </si>
  <si>
    <t>Nul !!! On ne peut pas mieux dire. Nul nul nul nul nul nul nul nul nul nul  nul
C'est une catastrophe.  N'y mettez surtout pas votre argent.</t>
  </si>
  <si>
    <t>19/09/2018</t>
  </si>
  <si>
    <t>naoual-80894</t>
  </si>
  <si>
    <t>Très bon service client bravo. Je suis cliente depuis des années, et je trouve la qualité de service est excellente. Sourire accueil et produits qui répondent aux attentes.</t>
  </si>
  <si>
    <t>11/11/2019</t>
  </si>
  <si>
    <t>hubert-c-112040</t>
  </si>
  <si>
    <t>je suis satisfais des services et du prix,pour le moment j'ai jamais besoin de faire marcher mon assurance donc j'aimerais avoir une réduction sur mes contrat</t>
  </si>
  <si>
    <t>29/04/2021</t>
  </si>
  <si>
    <t>mgp-60440</t>
  </si>
  <si>
    <t>très déçu car ma femme est allée dans un garage pour faire une réparation et le garage lui a prêté un véhicule mais ça se complique lorsque il a fallut changer l assurance pour éviter la franchise sur la voiture de prêt. Ma femme n étant pas le souscripteur mais uniquement le conducteur principal elle n a donc pas été autorisé par pacifica de faire le changement . Donc si elle avait un accident avec cette voiture on avait une grosse franchise. Pour eux uniquement le souscripteur peu faire des changements !!!!   d autres assurances le font sans rechigner .</t>
  </si>
  <si>
    <t>12/01/2018</t>
  </si>
  <si>
    <t>branchu-s-137670</t>
  </si>
  <si>
    <t>je suis satisfait du service client très à l'écoute, répondent à tous nos problèmes, les prix sont correctes, à voir par la suite au niveau des garanties</t>
  </si>
  <si>
    <t>18/10/2021</t>
  </si>
  <si>
    <t>calocer-j-138735</t>
  </si>
  <si>
    <t xml:space="preserve">Je suis satisfait du service et très bien renseigné sur le contrat d'assurance et question du prix c'est raisonnable je vous remerci beaucoup à bientôt </t>
  </si>
  <si>
    <t>jg42-69074</t>
  </si>
  <si>
    <t>depuis debut juin date de déclaration de sinistre le dossier traîne, un expert mandaté nul et menteur qui met plus d'un mois à rendre un rapport (toujours pas tranmis à l'assurance )repasse car n'a pas bien vu se trompe dans les calculs me met des exclusions pourtant dans mon contrat et veut absolument me faire signer une lettre d'acceptation en me renvoyant un torchon du fait de ses annotations sur les devis!!!   bref après mon recommandé jattends une semaine et je vais devant le TGI .assurance à fuir et aussi des conseillers téléphoniques nullisime et tt ça pour un sacré prix!</t>
  </si>
  <si>
    <t>03/12/2018</t>
  </si>
  <si>
    <t>benjamin-m-110242</t>
  </si>
  <si>
    <t xml:space="preserve">Bonne assurance, mais maintenant, ayant plus de 3 ans de permis, je la trouve un peu chère, pour un tiers minimum.
Mon véhicule est de petite cylindrée et mon bonus a augmenté.
</t>
  </si>
  <si>
    <t>anny16-87271</t>
  </si>
  <si>
    <t>A l'heure ou l'on nous dit de faire attention pour la planète ce n'est par pour vous. Le 17 février 2020 trois courriers identiques comprenant  pour 9 feuilles A4.  Toujours pas de réponses.</t>
  </si>
  <si>
    <t>18/02/2020</t>
  </si>
  <si>
    <t>philippe-q-131238</t>
  </si>
  <si>
    <t>Un peu cher compte-tenu de mon ancienneté en tant que client et compte-tenu de mes multiples contrats. Un échéancier de départ non respecté car augmentations continuelles, de mois en mois, sans communication ni raison exposée. Même si parfois il ne s'agit que de quelques centimes, au bout de plusieurs années, cela commence à être beaucoup... Et aucun "vrai" bonus en tant que bon conducteur sur de nombreuses années...</t>
  </si>
  <si>
    <t>jo14233-87530</t>
  </si>
  <si>
    <t xml:space="preserve">Service client lamentable et ultra désagréable au téléphone
Cotisations qui augmentent de manière exponentielle tous les ans
Impossible de créer un compte sur leur site internet sans que l'on puisse me donner une raison valable </t>
  </si>
  <si>
    <t>24/02/2020</t>
  </si>
  <si>
    <t>joy62-56642</t>
  </si>
  <si>
    <t xml:space="preserve">Je tiens à dire que je suis déçu du manque de professionalisme et surtout pourquoi souscrire si derrière on obtient pas entière 
 satisfaction concernant nos prestations même en étant dans nos droit.  Je trouve que les vendeur nous vendent du rêve </t>
  </si>
  <si>
    <t>12/08/2017</t>
  </si>
  <si>
    <t>raymond-p-115145</t>
  </si>
  <si>
    <t>Globalement satisfait par le rapport qualité/prix des prestations. délais de prise en charge et remboursement des sinistres satisfaisant. Gestion par internet très facile, la situation du bureau le plus proche de mon domicile ne permettant pas un stationnement gratuit à proximité.</t>
  </si>
  <si>
    <t>taieb-c-137535</t>
  </si>
  <si>
    <t>prix abordable, service en ligne reactif, offre adaptée au besoin et informations précises et claires mises à disposition. Nouvellement inscrit, nous avons acces à notre compte facilement</t>
  </si>
  <si>
    <t>15/10/2021</t>
  </si>
  <si>
    <t>gege59300-82121</t>
  </si>
  <si>
    <t>Intervention supprimée à la demande de l'internaute.</t>
  </si>
  <si>
    <t>20/12/2019</t>
  </si>
  <si>
    <t>seb-50618</t>
  </si>
  <si>
    <t>Sans aucun doute le plus mauvais assureur de tous les temps</t>
  </si>
  <si>
    <t>23/12/2016</t>
  </si>
  <si>
    <t>meredefamille-98831</t>
  </si>
  <si>
    <t xml:space="preserve">On me dit que l'inscription est immédiate. Plus d'un mois ! 
3 mois pour recevoir ma carte. 
Par contre les prélèvements sont rétroactifs. 
A l'agence, on me conseille de passer par l'appli.
Je télécharge l'appli. Ca mouline. Ca mouline toujours. J'ai pourtant désinstallée et réinstallée l'appli. 
Je passe par le site. Je clique sur « joindre un document ». Message : « MhmEditAccount n'est pas disponible pour le moment ». 
Je vous laisser juger... 
Les mensualités sont élevées et si c'est pour avoir un service aussi lamentable. Je me pose des questions !?
</t>
  </si>
  <si>
    <t>16/10/2020</t>
  </si>
  <si>
    <t>luc-106499</t>
  </si>
  <si>
    <t xml:space="preserve">Les conseillers sont très patients et professionnels cela me change des précédentes compagnies d’assurances . Mon sinistres réglé rapidement et travaux fait avec soin . Un peu d’attente pour joindre les sinistres mais bon comparé à ailleur cela reste raisonnable . Du coup un grand merci la gmf    </t>
  </si>
  <si>
    <t>13/03/2021</t>
  </si>
  <si>
    <t>mibleuet-137543</t>
  </si>
  <si>
    <t>J'ai résilié mes contrats d'assurances pour des raisons de santé.  Je n'ai jamais eu de raison de me plaindre depuis que j'ai souscrit mes contrats chez AMV. 
Le site est bien construit et permet de trouver réponse à mes interrogations.</t>
  </si>
  <si>
    <t>yannis-v-129953</t>
  </si>
  <si>
    <t xml:space="preserve">Premier rdv telephonique très bien avec un jeune homme qui devait me rappeler pour la finalisation, pas de rappel, j'ai donc moi même rappelé et je suis tombé sur une femme assez désagréable qui m'a clairement prise pour un lapin de six semaines en me disant qu'elle savait mieux que moi quel numero de contrat il fallait hors en appelant mon assurance actuelle il s'avère que j'avais raison </t>
  </si>
  <si>
    <t>28/08/2021</t>
  </si>
  <si>
    <t>dominique-p-125069</t>
  </si>
  <si>
    <t>je suis satisfait du service, le prix et l'offre est intérressante. J'ai déja deux autres véhicules assurés (motos) et je suis satisfait. je recommande.</t>
  </si>
  <si>
    <t>collavet-d-111407</t>
  </si>
  <si>
    <t>je suis satisfait de l'accueil téléphonique, de l'interface du site, des prix proposés par rapport aux garanties proposés, de la rapidité d'exécution  du contrat.</t>
  </si>
  <si>
    <t>bill-64536</t>
  </si>
  <si>
    <t>Remboursements assez difficiles au niveau dentaire par rapport au contrat. Mauvaise précision concernant les clauses. Sinon, tout est renégociable et les interlocuteurs sont fort aimables. Télétransmission efficace.</t>
  </si>
  <si>
    <t>valerie-66017</t>
  </si>
  <si>
    <t>Aujourd'hui le 6 aout 2018 j'ai été démarchée par un revendeur peu scrupuleux de vos produits qui se faisait passer pour une personne de l'URSSAF et ainsi me forçant à signer un contrat. Bien sur, croyant que c'était le vrai organisme, j'ai accepté de lui transmettre le code de validation qui valait bon pour accord. 5 mins plus tard, je l'ai appelé pour me rétracter et celui ci m'a menacé de radier mon activité si je ne souscrivais pas au contrat. Je viens de faire opposition à la banque.</t>
  </si>
  <si>
    <t>06/08/2018</t>
  </si>
  <si>
    <t>jojop-122856</t>
  </si>
  <si>
    <t xml:space="preserve">Très chère et nulle. Dégâts des eaux début Mars. Début août rien fait malgré toutes nos relances. L'expert est incompétent, ne connaît pas ses dossiers.
 </t>
  </si>
  <si>
    <t>bouton-c-109016</t>
  </si>
  <si>
    <t xml:space="preserve">Satisfaite des services sur le net. Rapide et simple d'utilisation. Les tarifs sont plus que satisfaisant. Je recommande, très facile d'utilisation.. </t>
  </si>
  <si>
    <t>reguig-coppet-z-123396</t>
  </si>
  <si>
    <t>Service rapide et simple d'utilisation. 
Signature électronique qui fait gagner du temps et nous évite un courrier postal. 
Parfait.
Au niveau des tarifs moins cher pour les mêmes garanties.</t>
  </si>
  <si>
    <t>wdom-25536</t>
  </si>
  <si>
    <t>contact direct avec agence. un bon accueil, des réponses rapides et adaptées. Une bonne écoute sont le préalable. Le rapport qualité prix me semble trés satisfaisant en tout cas comparé à Allianz et Axa qui étaient mes anciens assureurs.</t>
  </si>
  <si>
    <t>21/05/2019</t>
  </si>
  <si>
    <t>pa2cal-97256</t>
  </si>
  <si>
    <t>Disponible quand les autres ne le sont pas, Rapide &amp; clair, Un tarif adapté aux caractéristiques du véhicule, Une excellente plateforme de suivi et de transfert.
Bref tout bon pour ce démarrage, je n'espère pas pour autant tester la version accident &amp; litige, mais ça devrait le cas échéant être d'aussi bonne qualité à mon humble avis.
Je pense associer d'autres contrat sous cette bannière</t>
  </si>
  <si>
    <t>10/09/2020</t>
  </si>
  <si>
    <t>yannoche-64712</t>
  </si>
  <si>
    <t>Client cegema depuis maintenant 5 ans, j'ai divorcé, suis au chômage, changer de département. Et après avoir fais plusieurs courrier de résiliations, ils refusent la résiliation car ils se disent groupement de mutuelles donc ne tiennent pas compte de la législation en vigueur. Aussi j'ai envoyer depuis 2 ans deux mois avant l’échéance du contrat comme stipuler dans leurs CGU mais il trouvent toujours un prétexte soit trop tôt soit trop tard. Aujourd'hui je passe à la CMU compte tenu de mes ressources et je suis plus couvert par la CMU que chez eux. J'ai aussi changer de compte bancaire et CEGEMA prélève bien l'argent touts les mois, mais les remboursements ce font toujours sur l'ancien compte ce que j'ai signalé mais j'ai aucuns retour de leur part, par téléphone ils me disent a chaque fois que ce sera bien prit en compte mais il faut leur faire un courrier auxquels ils ne répondent pas.</t>
  </si>
  <si>
    <t>maxime-b-126630</t>
  </si>
  <si>
    <t xml:space="preserve">Je suis satisfait des propositions d'AMV. Réaliser son devis est aussi simple qu'efficace et surtout: sans mauvaise(s) surprise(s) au moment de concrétiser celui-ci. </t>
  </si>
  <si>
    <t>nowak-49935</t>
  </si>
  <si>
    <t xml:space="preserve">J'ai demandé un accusé de réception suite à l'envoi de l'email on me répond c'est pas possible ! Je demande de me remplir une attestation d'assurance suite à une renégociation de prêt immobilier au crédit agricole dans un délai de 1 mois car sinon l'offre de la banque sers caduque on n'arrête pas de me balader malgré mes multiples relances car la date butoir est très proche ! Je ne comprends même pas pourquoi ? C'est vraiment du foutage de gueule ! Ils savent me prélever mais pour le reste assurance fantôme ! Il faut quand même pas finir au tribunal juste pour une attestation qu'ils sont censés me fournir dans les délais impartis ! </t>
  </si>
  <si>
    <t>MetLife</t>
  </si>
  <si>
    <t>19/11/2020</t>
  </si>
  <si>
    <t>berna621-104171</t>
  </si>
  <si>
    <t>Impossible d'avoir des renseignements sur les remboursements, les différentes demandes restent toujours sans réponse. Je n'ai qu'une hâte, c'est de quitter cette mutuelle qui ne me convient absolument pas.</t>
  </si>
  <si>
    <t>15/02/2021</t>
  </si>
  <si>
    <t>clo-100977</t>
  </si>
  <si>
    <t>Des tarifs intéressants à la souscription mais des tarifs qui augmentent du double lors des renouvellements avec les années ! !!! Pourtant aucun accident et un bonus au max !!!</t>
  </si>
  <si>
    <t>04/12/2020</t>
  </si>
  <si>
    <t>lajgar-m-135558</t>
  </si>
  <si>
    <t>Rapport qualité prix au top 
Service client super agreable.
Mon papa ne trouvait pas d assurance et il est très agréablement surpris 
Merci pour tout.</t>
  </si>
  <si>
    <t>nounleo-88768</t>
  </si>
  <si>
    <t>Nul ne rembourse pas grand chose et surtout bien lire toutes les lignes comme tous les assureurs</t>
  </si>
  <si>
    <t>08/04/2020</t>
  </si>
  <si>
    <t>oddone-j-108496</t>
  </si>
  <si>
    <t>Je suis satisfait du service. Simple et rapide.
Echange sur le site convivial et rapport qualité prix en adéquation avec mes attentes.
J'espère que le service sera à la hauteur.</t>
  </si>
  <si>
    <t>gilles92-98188</t>
  </si>
  <si>
    <t>J'ai été assuré plus de 2ans chez April via la Maaf.
Obligé de surveiller les remboursements,beaucoup d'oublis,temps de remboursement pas du tout comme promis.
Et surtout, suite à un courrier RAR envoyé par April en plein mois d'août, concernant la cotisation, et donc non reçu pour cause de vacances, résilier purement et simplement, alors que le paiement avait été effectué dès la connaissance du retard. 
Je déconseille, il y a pléthore d'autres compagnies beaucoup plus sérieuses!</t>
  </si>
  <si>
    <t>cri-115105</t>
  </si>
  <si>
    <t xml:space="preserve">Voici déjà plus de 2 mois que j attend mes remboursements (plus 400 EUR). Malgré mes nombreux appels (il faut 20 minutes à chaque fois pour les joindre).
Mutuel entreprise pour ma part. A fuir !! </t>
  </si>
  <si>
    <t>spadoni-j-122110</t>
  </si>
  <si>
    <t>Je suis satisfait du service. Les prix me conviennent pour l'instant. L'habitation ayant fortement augmentée. A voir dans le temps, en espérant des augmentations moins fortes</t>
  </si>
  <si>
    <t>jimmy-g-108296</t>
  </si>
  <si>
    <t xml:space="preserve">Comment se fait - il que ma cotisation ait augmentée alors qu'avec la période de pandémie elle aurait dû baisser ? Inutile de ma dire qu'il faut payer pour ceux qui ne sont pas assurés ou autre.. je n'y suis pour rien.
</t>
  </si>
  <si>
    <t>28/03/2021</t>
  </si>
  <si>
    <t>toto-52043</t>
  </si>
  <si>
    <t>J ai eu un sinistre depuis le 12 janvier 2017 je ne suis pas en tort assuré tout risque .voilà voilà voiture aux garage et depuis toujour pas de nouvelles depuis ont ne ma toujour pas envoiyer  un expère rien j apel aux moins 3 fois par semaines et toujour pas de nouvelles le garage veut me pretter une voiture que lorsque l expère passe resultat a pied depuis le 12 janvier ne pouvant plus me rendre aux travaille me voilà chômeur .merci beaucoup Allianz.</t>
  </si>
  <si>
    <t>04/02/2017</t>
  </si>
  <si>
    <t>cyril-l-127689</t>
  </si>
  <si>
    <t>les conseillers au téléphone sont très efficaces. 
Les prix appliqués sont relativement corrects, je suis chez le même assureur depuis 26 années sans  avoir déclaré aucun sinistre, il me perd parce qu'il n'a pas considéré mes remarques sur les prix de ses assurances, je m'assure chez GMF qui a bien compris que la concurrence est à prendre à compte.</t>
  </si>
  <si>
    <t>kamoun-r-131263</t>
  </si>
  <si>
    <t>très satisfait par cette proposition
très bon tarif. offre apparemment complète et séduisante
un avis définitif après utilisation et formalités de résiliation de l'ancien contrat</t>
  </si>
  <si>
    <t>alvinsi-d-122729</t>
  </si>
  <si>
    <t>Je suis satisfait du service et du tarif, j’attends l’envoie de la carte verte définitive pour voir à peut prêt le temps que ça va prendre. En tout cas pour l’instant très satisfait</t>
  </si>
  <si>
    <t>michele-107604</t>
  </si>
  <si>
    <t>suite à mon entretien téléphonique du 23/03 je tiens a vous préciser mon entière satisfaction vis à vis d,Emeline qui m'a très bien renseignée ainsi que pour son amabilité et son professionnalisme.</t>
  </si>
  <si>
    <t>duc62-134641</t>
  </si>
  <si>
    <t>J'essaye depuis ce matin avec plusieurs ordinateurs et navigateurs différent sur leur site de déclarer un vol sur mon véhicule.Impossible,toujours une erreur???Je les ai de ce fait contacté par téléphone et je découvre que les éléments a l’extérieur du véhicule ne sont pas couvert par mon assurance tous risques.Donc résumons,si on se fait voler le catalyseur(dans mon cas) ou les jantes ou les disques de freins ou tout autres pièces extérieurs du véhicule ne sont pas pris en compte.A tout les voleurs,la prochaine fois soyez sympa et péter moi la vitre et essaye de la démarrer comme cela il y aura effraction et peut être que je serai rembourser (Enfin peut-être....). Résumons Payez votre assurance et surtout mais surtout n'attendez rien de leur part.</t>
  </si>
  <si>
    <t>yvan78-58904</t>
  </si>
  <si>
    <t xml:space="preserve">Bonjour, 
Je partage ma mauvaise expérience avec Direct Assurance.
J'ai eu un accident non responsable le 14/08/2020 sur la route de mes vacances. Une camionnette a percuté l'arrière de mon véhicule à l'entrée d'un rond point. 
Faites attention aux options garanties * par DIRECT ASSURANCE. 
&gt;Malgré l'assurance avec le pack Sérénité que je possède avec prêt d'un véhicule durant la durée des travaux dans un de leur garage partenaire, Direct assurance ne garantie pas ce prêt de voiture. Ce prêt de voiture est en faite au bon vouloir du garage partenaire. Dans mon cas, le garage (pourtant un garage PEUGEOT) ne propose pas ce prêt. 
&gt;En tout petit, il est stipulé dans le Pack sérénité, si le garage ne peut pas fournir un prêt de véhicule, Direct Assurance vous indemnise 10€ par jour d'immobilisation. 
Et encore en plus petit, ces jours sont calculés sur l'estimation de l'expert. Ils ne sont pas calculés sur la réalité des jours d'immobilisation de votre véhicule.
Dans mon cas, voiture remorquée le 14/08/2020 et depuis toujours en réparation.
Estimation réparation de l'expert &gt; 3 jours 
Réalité &gt; remorqué le 14/08/2020 - aujourd'hui 04/09/2020 - donc 21 jours d'immobilisation et je ne sais pas quand ma voiture sera prête. Ni DIRECT ASSURANCE, Ni le garage PEUGEOT ne sont capables de donner une date de mise à disposition de mon véhicule.
Résultat &gt; 30€ d'indemnités -  pas de voiture de prêt et je ne sais pas quand ma voiture sera prête.
</t>
  </si>
  <si>
    <t>04/09/2020</t>
  </si>
  <si>
    <t>edith-r-134026</t>
  </si>
  <si>
    <t>TRS BIEN TARIF COMPETITIF TRES RAPIDE LE TOP
SITE BIEN PRESENTE TARIF ATTRACTIF
SUPER SITE POUR ETRE ASSUERER RAPIDEMENT
LE TOP DES ASSURANCES EN FRANCE</t>
  </si>
  <si>
    <t>22/09/2021</t>
  </si>
  <si>
    <t>arthur-51110</t>
  </si>
  <si>
    <t>Une équipe plutot sympa et dynamique, j'ai été bien ennuyé avec mon assureur l'année derniere (Générali) pour ne pas les citer et je suis bien content de les avoir eu car ils ont pu effectuer la relance qui va bien auprés de l'assureur pour faciliter ma prise en charge.</t>
  </si>
  <si>
    <t>09/01/2017</t>
  </si>
  <si>
    <t>bruno-f-130759</t>
  </si>
  <si>
    <t>Simple, efficace, tarif. Je reviens chez direct assurance avec plaisir, avec plus de 300 euros économisés par rapport à un autre devis de la concurrence</t>
  </si>
  <si>
    <t>seb-102354</t>
  </si>
  <si>
    <t xml:space="preserve">Convivialité  , politesse, rapide, super qualité prix, contrat très clair avec bonus 50 , très important,  contant je peut roulé tranquillement en respectant le code de la route et la vitesse limité pour resté au bonus 50 ses important je remercie beaucoup direct assurance  </t>
  </si>
  <si>
    <t>samir-h-116367</t>
  </si>
  <si>
    <t>Lors de mon bris de glace la procédure est longue et compliqué. Il faut justifier par téléphone puis par mail et ensuite faire un courrier lors du passage de l'expert. Pour un simple bris de glace c'est laborieux d'autant plus qu'il y à une franchise. Niveau prix en faisant un devis sur la Macif j'ai réussi à obtenir un tarif plus intéressant.</t>
  </si>
  <si>
    <t>kevin35-68497</t>
  </si>
  <si>
    <t xml:space="preserve">
 impossible de parlé à des personnes  compétente personne désagréable au tel qui save pas de quoi elles parle envoie de recommandé des dizaines d appelle et des moi d attente rien de réglé</t>
  </si>
  <si>
    <t>nic-78867</t>
  </si>
  <si>
    <t>Les services et particulièrement le service sinistres ne rappellent jamais. Les dossiers ne sont jamais mis à jour.
On n'est pas informé du contenu des expertises. 
L'expert fait signer ses conclusions à des assurés âgés qui n'ont pas la possibilité et le temps de lire le rapport établi.
Aucun double ne leur est laissé pour faire lire par un tiers.</t>
  </si>
  <si>
    <t>02/09/2019</t>
  </si>
  <si>
    <t>nemy-d-108768</t>
  </si>
  <si>
    <t>je ne suis pas satisfait par la prestation de mon assureur
je reçois chaque année une augmentation de tarif, et quand j'ai passé une réclamation y a eu une ignorance Total. 
aucun interet pour garder les clients et j'ai reçu min relevé d'information que j'ai demandé, autrement dit vous pouvez résilier.</t>
  </si>
  <si>
    <t>nostar-50887</t>
  </si>
  <si>
    <t>vous prenez une assurance pour invalidité et par malheur vous tombez malade et en invalidité on est pas couvert sous prétexte que vous n est pas a 66%</t>
  </si>
  <si>
    <t>francis-q-113240</t>
  </si>
  <si>
    <t>Je ne suis pas satisfait du tout de vos services clientèles.
Service clientèle au téléphone incompétent et non formés (d'après ce que l'on me dit au téléphone).
Non prise en compte et/ou charge de mes demandes multiples.</t>
  </si>
  <si>
    <t>karen-r-130497</t>
  </si>
  <si>
    <t>Peut toujours mieux faire. J'espère ne pas être déçu en cas de besoin, et que le service et à la hauteur.  Je n'est rien d'autre á ajouter pour mon avis.??</t>
  </si>
  <si>
    <t>caradec-n-114832</t>
  </si>
  <si>
    <t>Très bon accueil téléphonique, très réactif et m'a aidé très rapidement pour obtenir le relevé d'information de mon ancienne assurance qui mettait beaucoup de temps à me l'envoyer.</t>
  </si>
  <si>
    <t>marie69-52358</t>
  </si>
  <si>
    <t xml:space="preserve">Profession libérale je suis arrêtée pour capsulite rétractile sévère depuis un an je découvre avec stupeur ce matin qu après avoir modifié mon contrat pour augmenter mes prestations étant donné la hausse de mes charges mon assureur a tout simplement ramené de deux ans à un an le versement de mes frais généraux je me retrouve donc sans revenus et avec un manque à gagner de 3000€ 
Qui serait suffisamment stupide pour abaisser le temps de couverture à un an alors que l URSSAF et les impôts vont me prélever pendant deux ans !!!!!
Je suis furieuse d avoir fait confiance à mon assureur et d avoir signé sans lire en détail et bien sûr il ne répond pas à mes appels 
Je vais devoir retourner travailler je suis infirmière libérale je ne sais pas comment je vais pouvoir manipuler mes patients car je ne peux pas lever Le Bras mais tant pis .... merci de votre aide merci de m avoir fait souscrire cet avenant mais l assureur n a t’il pas un devoir de conseil ???? Cherchez l erreur </t>
  </si>
  <si>
    <t>02/03/2018</t>
  </si>
  <si>
    <t>olivier-54117</t>
  </si>
  <si>
    <t>On donne de l'espoir au personne pour au final ne plus finalisé leur dossier. Les jeunes n'ont pas leur chances dans les assurances et encore moins à la MAAF sachant que j'ai été assurer chez eux. Depuis sans assurance de leur faute.</t>
  </si>
  <si>
    <t>17/04/2017</t>
  </si>
  <si>
    <t>arnaud-l-131860</t>
  </si>
  <si>
    <t>TRES SATISFAIT DU SERVICE CLIENT DOMMAGE QU IL N Y EST PAS SOUVENT DE REMISES COMMERCIALE POUR LES CLIENTS LONGUES DUREES
VOUS SOUHAITANT BONNE RECEPTION
CORDIALEMENT</t>
  </si>
  <si>
    <t>louis-d-123119</t>
  </si>
  <si>
    <t xml:space="preserve">Je suis satisfait par vos prestations. je souhaite recevoir une attestation d'assurance provisoire que je régulariserai avec un conseillé GMF. Merci d'avance. </t>
  </si>
  <si>
    <t>cerisedu02-58060</t>
  </si>
  <si>
    <t xml:space="preserve">ca me saoule tu veux une repionse via internet- rapiude et non il faut que tu tapes un conseiller je veux des reponses raides via mail pas telephone du tout </t>
  </si>
  <si>
    <t>14/10/2017</t>
  </si>
  <si>
    <t>chris-63949</t>
  </si>
  <si>
    <t>Des prix plutôt attractifs mais attention au "deuxième effet kiss cool"...
A déconseiller aux personnes dont le véhicule est dépourvu de roue de secours (ex. Renault Grand scenic 7 places) : contrairement aux autres assureurs, c'est débrouillez vous en cas de crevaison, même à 300 km de chez vous alors que vous avez souscrit pour une assistance 0km.</t>
  </si>
  <si>
    <t>maoulana-s-130969</t>
  </si>
  <si>
    <t xml:space="preserve">BONJOUR  JE SUIS SATISFAIT DE VOTRE A COMPAGNEMENT.
VOTRE SEVICE ET TOUJOUR A NOS ECOUTE POUR NOUS AMILIORE ET DE BIEN COMPRENDRE
CORDIALEMENT
SOUFFOU MADI </t>
  </si>
  <si>
    <t>jacky-r-112296</t>
  </si>
  <si>
    <t>Je suis déçu du service déclaration sinistre, car très long à répondre .
je devais recevoir un message suite à mon appel, pour vous informer d'un sinistre , j'attend toujours. !!!!!!!!!!!!!!!!!!!</t>
  </si>
  <si>
    <t>lagaffe-82052</t>
  </si>
  <si>
    <t>Simulation sur Internet qui donne un certain prix pour mon assurance auto.
Je contacte un conseiller pour avoir des précisions. Le tarif est différent.
Je finalise finalement ma demande sur Internet. Tout semble ok.
Après avoir procédé au règlement et envoyé les documents relatifs aux 2 conductrices, je reçois un document avec deux fois le même nom pour les deux conductrices... Je les appelle pour leur faire part de leur erreur. Ils me répondent qu'ils doivent refaire un dossier qui, malgré le fait que je communique exactement les mêmes informations, sort avec un tarif bien plus cher.
No comment... J'attends votre réponse.</t>
  </si>
  <si>
    <t>18/12/2019</t>
  </si>
  <si>
    <t>carimanon-129227</t>
  </si>
  <si>
    <t>Je suis satisfaite du service, les prix ne sont pas les plus avantageux, je pense qu'il y a encore un petit effort à faite de ce coté là. Assurance très réactive.</t>
  </si>
  <si>
    <t>danou972-113142</t>
  </si>
  <si>
    <t>Une compagnie qui attire les nouveaux clients avec un tarif attractif mais au premier sinistre responsable, c'est non seulement un malus de 20% qui est vous appliqué mais une augmentation de 50 % qui est effectuée sur votre cotisation. En deux mots, compagnie à éviter</t>
  </si>
  <si>
    <t>09/05/2021</t>
  </si>
  <si>
    <t>leleu-m-131179</t>
  </si>
  <si>
    <t>Satisfait du service, bonnes garanties, prix moins chers qu'ailleurs.
 J'espère que ça fonctionnera de la même façon que les autres avec le temps et qu'il n'y aura pas de soucis au niveau du service client à l'avenir.</t>
  </si>
  <si>
    <t>denis-m-133475</t>
  </si>
  <si>
    <t xml:space="preserve">Je suis tres quantant etre assure chez vous merci
Je suis tres quantant etre assure chez vous merci
Je suis tres quantant etre assure chez vous merci
Je suis tres quantant etre assure chez vous merci
Je suis tres quantant etre assure chez vous merci
</t>
  </si>
  <si>
    <t>19/09/2021</t>
  </si>
  <si>
    <t>chryst71-81834</t>
  </si>
  <si>
    <t xml:space="preserve">Bonjour client depuis plusieurs années avec déjà 3 contrat bonus +50 voiture moto. Demande devis pour moto jeune de 17 ans cela fait 2 semaines. Fait en ligne et remis auprès de mon agence et la faut l accord du siège social. Je pense qu il y a un problème avec l agence car surtout elle veut me refilé contrat plus cher y a t il une prime en fin d année ou doit on résilier la totalité des contrats </t>
  </si>
  <si>
    <t>12/12/2019</t>
  </si>
  <si>
    <t>philippe--96570</t>
  </si>
  <si>
    <t xml:space="preserve">Pas satisfait du tout . Non respect des engagements de règlement . Aucun moyen de parler avec eux aucune raison qu’ils lisent un courrier ou un Mail Directement au contentieux et résiliation </t>
  </si>
  <si>
    <t>22/08/2020</t>
  </si>
  <si>
    <t>poupette-50905</t>
  </si>
  <si>
    <t>Un service client déplorable surtout quand on est déjà dans la peine d'avoir perdu quelqu'un.
On perd les documents envoyés ou on ne les retrouve qu'après 5 appels au téléphone et aucune excuse de la part du personnel</t>
  </si>
  <si>
    <t>celine-s-128318</t>
  </si>
  <si>
    <t xml:space="preserve">Rapide efficace Beaucoup moins cher que mon assurance précédente.
Très clair au téléphone. A  voir comment cela se passe en cas de problème mais pour l'instant rien à redire </t>
  </si>
  <si>
    <t>gilles-n-106926</t>
  </si>
  <si>
    <t>je suis satisfait de direct assurance les prix pratiques me convienne tout a fait je recommande vivement cette assurance les personnes avec qui on a affaire sont tres sympatique</t>
  </si>
  <si>
    <t>17/03/2021</t>
  </si>
  <si>
    <t>lolo54-78564</t>
  </si>
  <si>
    <t>J'ai appelé pour savoir si je pouvais prêter mon VHL à mon fils qui venait de récupérer son permis après une suspension. Et stupéfaction, la standardiste m'annonce que mon contrat va être résilié car mon fils vit encore sous mon toit. Je précise qu'il n'y avait que moi  comme conducteur déclaré, que j'ai mes 12 points, aucune suspension de ma vie et aucun sinistre chez DA. Ahurissant!!!!!</t>
  </si>
  <si>
    <t>20/08/2019</t>
  </si>
  <si>
    <t>vincent-54411</t>
  </si>
  <si>
    <t xml:space="preserve">Je suis en train d'essayer de souscrire une délégation d'assurance pour mon prêt immobilier chez April qui m'a été recommandé par mon courtier. Je vais peut être ne pas avoir mon prêt immobilier dans les temps à cause des délais de traitement chez April. Nous avons commencé les démarches il y a 1 mois, ma compagne à eu une réponse au bout d'une semaine et pour moi toujours rien. Depuis 3 semaines j'appelle presque tous les jours (j'ai arrêté les mails car aucune réponse) les conseillers qui me disent qu'ils vont m'envoyer un mail pour me demander des informations complémentaires sur mon dossier médical, et tous les jours j'ai la même explication : "le mail va vous être envoyé sous 48h, nous avons du retard en ce moment". Sauf que cela dure depuis 3 semaines ! Je demande à pouvoir parler au téléphone en direct avec les personnes en charge du dossier médical pour gagner du temps, et on me répond que c'est impossible en invoquant le secret médical. Je regrette énormément d'avoir monté ce dossier avec April que l'on dit pourtant spécialiste pour ce type d'assurances. J'aurais dû passer par l'assurance de la banque quitte à payer un peu plus cher mais ne pas risquer de faire rater mon acquisition immobilière (pour lequel on donne un dépôt de garantie de 10%, si la vente rate par notre faute ils sont perdu) parce l'assureur met  1 mois pour envoyer un mail ! </t>
  </si>
  <si>
    <t>02/05/2017</t>
  </si>
  <si>
    <t>lucas-b-129647</t>
  </si>
  <si>
    <t>Dommage que l'assurance tout risque ne prenne effet qu'au bout d'un an pour un mineur, en depit du fait que le concerné conduit déjà le véhicule sepuis plus d'un an sans sinistre.</t>
  </si>
  <si>
    <t>frayer-c-113543</t>
  </si>
  <si>
    <t>Je suis très satisfaite de mes assurance auto et habitation, de très bonnes garanties avec des prix très appréciables. Le service client est très performant.</t>
  </si>
  <si>
    <t>12/05/2021</t>
  </si>
  <si>
    <t>jean-luc-g-131036</t>
  </si>
  <si>
    <t>Vous êtes compétitif, cependant, le service d'assistance est assez moyen. Je suis malheureusement resté coincé sur le bord de la route pendant des heures et votre service d'assistance n'est jamais venu. J'ai signalé l'incident à votre direction</t>
  </si>
  <si>
    <t>bruce-m-112510</t>
  </si>
  <si>
    <t>Tarifs d'accroche intéressants mais 10% d'augmentation tous les ans, sans raison valable.
Des heures perdues au téléphone pour refuser les augmentations abusives</t>
  </si>
  <si>
    <t>margeo-105254</t>
  </si>
  <si>
    <t>remboursement dentaire et optique pas top. Néanmoins l'accueil et les réponses aux questions sont efficaces et très claires. rapidité de prise en charge des devis.</t>
  </si>
  <si>
    <t>ramyeid-69003</t>
  </si>
  <si>
    <t xml:space="preserve">Victime d'un sinistre non responsable le 31 mai 2017, la prise en charge de mon véhicule a été immédiate.
Là où le bât blesse n'est donc pas dans la prise en charge, mais dans le remboursement. Aujourd'hui (29 novembre 2018), 18 mois après, je n'ai toujours pas été remboursé par Peyrac, et malgré des relances toutes les semaines, une mise en contact directe avec ma concession,  la seule réponse que j'ai est :
"Cher assuré,
Nous interrogeons la compagnie et revenons vers vous dès réception de leur retour."
Même chose par téléphone, un conseiller différent à chaque fois, et aucune idée sur ce qu'il se passe ni si pourquoi la procédure est si longue. Sans une générosité et une confiance aveugle de ma concession, je serai toujours sans véhicule presque 2 ans après mon accident ! inacceptable !
Cette assurance est parfaite tant que vous n'avez pas d'accident. A vous de juger si cela vous convient.
</t>
  </si>
  <si>
    <t>Peyrac Assurances</t>
  </si>
  <si>
    <t>chaillou-r-107063</t>
  </si>
  <si>
    <t>Trés satisfait du service je le recommande .cé tres rapide et trés sérieux. Pas compliqué . Tarif interessant conseillé trés agréable et le tout est réglé en un rien de temp.</t>
  </si>
  <si>
    <t>rose-79270</t>
  </si>
  <si>
    <t>Je suis très insatisfaite d'ALLIANZ. Les tarifs des garanties d'assurance auto sont trop chers par rapport aux autres compagnies d'assurance. Aucun geste commercial d'être client depuis plusieurs années. Lors de la résiliation du contrat assurance auto pour vente du véhicule, je n'ai pas été totalement remboursée de la portion de la cotisation correspondant à la période allant de la prise d'effet de résiliation à l'échéance initialement prévue. Aussi, la compagnie me refuse le remboursement de la taxe réglementaire attentat.</t>
  </si>
  <si>
    <t>17/09/2019</t>
  </si>
  <si>
    <t>mathys-88717</t>
  </si>
  <si>
    <t xml:space="preserve">J'ai eu une jeune femme Shamila super souriante et très professionnels .
Je vous la recommande vivement . Assurance proposant des tarif très avantageux </t>
  </si>
  <si>
    <t>06/04/2020</t>
  </si>
  <si>
    <t>roux-b-116219</t>
  </si>
  <si>
    <t>Nous verrons avec le temps si le service est à la hauteur.
Les prix semblent bons, en espérant que les services le soient aussi.
Le conseiller qui a géré notre inscription a été patient et à l'écoute!</t>
  </si>
  <si>
    <t>berengere-b-122020</t>
  </si>
  <si>
    <t xml:space="preserve">je suis insatisfaite tant' par site que par le traitement de mon dossier. Aucune infdormation trouvée dans le site de mon sinitre c'est en cours !! ne veut rien dire et quzand on appelle pazs plus d'info ! </t>
  </si>
  <si>
    <t>mic-123817</t>
  </si>
  <si>
    <t>une assurance qui sait encaisser les primes mais ne veut pas défendre ses clients, en se réfugiant derriére l'avis de ses experts qui lui sont évidemment favorable,à éviter.</t>
  </si>
  <si>
    <t>19/07/2021</t>
  </si>
  <si>
    <t>marbru-70508</t>
  </si>
  <si>
    <t xml:space="preserve">Bonjour
très mécontent après avoir reçu mon nouveau échéancier pour une augmentation de 13% 
etes vous juste attractif la premiere annee pour attirer de nouveaux clients si pas de nouvelle de votre part nous irons voir la concurance
</t>
  </si>
  <si>
    <t>23/01/2019</t>
  </si>
  <si>
    <t>eric-48223</t>
  </si>
  <si>
    <t>Anciennement assuré chez l'Olivier assurance, j'ai eu un accident non responsable avec un tiers qui n'était pas assuré. L'olivier essayait de faire couler l'affaire, ils faisait tout trainer, j'ai même du faire des enquêtes à leur place, je devais les appeler tout les jours, chaque jours ils trouvaient une excuse différente, rien n'avançaient. L'olivier m'a annoncé 3 mois après que mon dossier était classé et qu'ils ne pouvaient rien faire parce le tiers n'avait pas répondu à leur courrier! Et qu'ils n'avait pas assez de preuve: l'accident à été filmé avec ma Dashcam, j'avais un constat signé et un témoin. J'ai du revendre ma voiture accidentée comme épave, ils prennent même pas la peine de faire intervenir le fond de garantie. Bref, 3 mois d'attente pour ça.
En résiliant mon assurance ils ont essayé de me convaincre de reprendre mon assurance chez eux pour ma nouvelle voiture, la blague!</t>
  </si>
  <si>
    <t>14/09/2017</t>
  </si>
  <si>
    <t>christopher-s-126092</t>
  </si>
  <si>
    <t xml:space="preserve">Très satisfait des prix pour ma première voiture et c'est la moins chère que j'ai trouvé aux autres assurances on me dit que c'est une grosse voiture que j'ai bref très satisfait </t>
  </si>
  <si>
    <t>darnaud-e-111659</t>
  </si>
  <si>
    <t>Je suis satisfait des services de l'olivier assurance les prix me conviennent relations téléphoniques de très bonnes qualités et très réactives merci bien</t>
  </si>
  <si>
    <t>frappart-k-110675</t>
  </si>
  <si>
    <t>Très satisfait de la prestation et de la facilité avec laquelle il est possible d'adhérer à un contrat d'assurance automobile. Je recommande véritablement.</t>
  </si>
  <si>
    <t>vincent-15-14860</t>
  </si>
  <si>
    <t>Très déçu par cet assureur. Après 3 ans chez eux sans aucun sinistre, j'ai résilié mon contrat à sa date d'échéance, dans les délais prévus par la loi. Cet assureur a accusé réception de ma demande mais prétexte la refuser pour un obscur motif de "procédure non respectée" ! Et il a essayé de me prélever une nouvelle échéance annuelle, heureusement que j'avais demandé à temps à ma banque d'annuler l'autorisation de prélèvement. Et le comble, c'est qu'il essaie de m'intimider en me menaçant de me résilier pour non paiement de prime.
ps pour L'olivier Assurance : si vous lisez ce post et que vous souhaitez vérifier mes dires, mon No de contrat : 1080085036. J'espère que vous saurez régler cette situation à l'amiable, mais s'il faut aller en justice j'irais...</t>
  </si>
  <si>
    <t>gary-90643</t>
  </si>
  <si>
    <t xml:space="preserve">Estimation rapide ... attente de voir le reste ... si la prise en charge ou la validation du dossier traîne on est pris en otage pour donner son avis et j’aime pas trop cela </t>
  </si>
  <si>
    <t>13/06/2020</t>
  </si>
  <si>
    <t>travail59-104335</t>
  </si>
  <si>
    <t>Proposition alléchante pour changer d'assureur, ensuite une augmentation exponentielle.
Du bla bla …..il n'est pas meilleur rapport qualité de service et prix.</t>
  </si>
  <si>
    <t>alex-101140</t>
  </si>
  <si>
    <t xml:space="preserve">Cette assurance est une catastrophe. Ça fait bientôt deux mois que j'attends un remboursement, ils sont incompétents, ils se renvoient la balle quand j'appelle. </t>
  </si>
  <si>
    <t>08/12/2020</t>
  </si>
  <si>
    <t>ange13-58615</t>
  </si>
  <si>
    <t>Bonjour, ma soeur es décédé le 29 janvier,j ai pris en charge les Obsèques de ma soeur.
Ag2r ma contacté pour me dire que je serai rembourser et qu il verser se qui restait à régler au pompe funebre,or cela fait maintenant plus deux 2 mois que je battail pour qu il verse l argent.
Avec au moins une dizaine de mails et une vingtaine de coup de téléphone et c est toujours là même chose problème informatique.
Je ne sais plus à qui m'adresser adressé svp aidez moi.merci</t>
  </si>
  <si>
    <t>06/11/2017</t>
  </si>
  <si>
    <t>bersil-136002</t>
  </si>
  <si>
    <t>Victime  de catastrophe naturelle ( arrêté paru au JO  juillet 21 ) j'ai été baladé de plateforme en plateforme téléphonique pour une ASSISTANCE en URGENCE....GMF  renvoi vers FIDELIA qui transmets à SON PRESTATAIRE OBLIGATOIRE DYNAREN  qui répond "nous n'avons pas d'entreprise agrée dans votre région..Nous ne pouvons vous transmettre de coordonnées..c'est confidentiel !!!"
Obligation de rechercher ( après 15j d'attente )  une entreprise pour "MISE en SECURITE" du bâtiment en PAYANT la facture sans être certain du remboursement par le service sinistre.
L'assistance GMF est valable pour l'AUTO mais pas pour l'HABITAT ni la PROTECTION JURIDIQUE  sans intérêt...</t>
  </si>
  <si>
    <t>boirie-a-111192</t>
  </si>
  <si>
    <t xml:space="preserve">Je suis pour le moment satisfait des délais d'accueil et de l'offre pour mon contrat auto. Étant un ancien client c'est tout naturellement que je suis revenu pour avoir un devis, que j'ai accepté. </t>
  </si>
  <si>
    <t>manto-ngoma-g-116686</t>
  </si>
  <si>
    <t xml:space="preserve">Je suis ravi de votre réactivité et vos tarifs également... Je recommande vivement Olivier assurance. Continuez à nous faire rêver et nous proposer des meilleurs services. </t>
  </si>
  <si>
    <t>frederic-j-127407</t>
  </si>
  <si>
    <t>Je suis satisfait des prix et de rapidité pour etre assuré .
dans votre offre beaucoup de service sont compris dans le prix qui attractif.
c'est a  vous faire connaitre a des amis</t>
  </si>
  <si>
    <t>10/08/2021</t>
  </si>
  <si>
    <t>mohand-f-122170</t>
  </si>
  <si>
    <t xml:space="preserve">Je suis satisfait des prestations malgré des difficultés pour joindre le service client on tombe souvent sur le répondeur il est difficile d’avoir un contact direct </t>
  </si>
  <si>
    <t>angele-c-122304</t>
  </si>
  <si>
    <t xml:space="preserve">Je suis satisfaite du service
Un geste commercial serait le bien venu au vu de la crise sanitaire de la Covid et de notre ancienneté.
Avec le confinement nos activités et déplacements étaient très limités.
</t>
  </si>
  <si>
    <t>jp83tln-137605</t>
  </si>
  <si>
    <t>Même mésaventure que le précédent.mail par rapport à assuropoil, blablabla, et à la fin, veuillez noter que votre cotisation sera augmentée de 50 pour cent ! Inadmissible !</t>
  </si>
  <si>
    <t>pierre-53310</t>
  </si>
  <si>
    <t>client depuis 2 ans avec 2 véhicules je viens de recevoir mon nouvel avis d'échéance avec une augmentation de 50 % suite à un sinistre responsable mais qui ne leur a rien couté puis qu’avec une franchise de 755 euros le montant de la réparation était inférieur
a savoir au bout d'une année j'avais déjà une augmentation de 25  taxes ce qui fait en 2 ans de 505 euros à 965 euros merci L'olivier</t>
  </si>
  <si>
    <t>30/01/2019</t>
  </si>
  <si>
    <t>kemais-m-131911</t>
  </si>
  <si>
    <t>Je suis très satisfait du service les personnes sont claire au téléphone ils ont bien à l'écoute du client mais les prix sont umpeut juste comparer à mon budget d'étudiants</t>
  </si>
  <si>
    <t>gege44-102437</t>
  </si>
  <si>
    <t xml:space="preserve">Pas de soutien assurance chère pré  à encaisser l'argent pas de problème pour cela il augmente très fortement donne pas de conseils pour ceux qui ont des problèmes d'argent très compliquée </t>
  </si>
  <si>
    <t>11/01/2021</t>
  </si>
  <si>
    <t>samy-60205</t>
  </si>
  <si>
    <t xml:space="preserve">Très contente, la personne que j'aie au téléphone était très aimable, professionnelle et efficace !
J'ai pris ma mutuelle en 1h et je ne regrette pas du tout. moi qui n'ai pas l'habitude de faire ça sur internet, je suis très surprise et satisfaite par leur service .
</t>
  </si>
  <si>
    <t>05/01/2018</t>
  </si>
  <si>
    <t>theo99-99-64008</t>
  </si>
  <si>
    <t xml:space="preserve">Je déconseille cette mutuelle </t>
  </si>
  <si>
    <t>15/05/2018</t>
  </si>
  <si>
    <t>isabelle39-64554</t>
  </si>
  <si>
    <t>etant adherente depuis 2013 je suis tres satisfaite de mon assurance sante</t>
  </si>
  <si>
    <t>frederic78580-68506</t>
  </si>
  <si>
    <t>Suite à un sinistre nous avons récupéré notre voiture réparée partiellement. Malgré nos multiples relances pour finir le travail la Macif reste silencieuse. Lamentable</t>
  </si>
  <si>
    <t>marcel-b-111098</t>
  </si>
  <si>
    <t>Les prix sont très interessant la première année,
puis avec les augmentations annuelles, c'est de moins en moins le cas ....
Faut-il résilier tous les 2 ans? pour garder des prix compétitifs?</t>
  </si>
  <si>
    <t>geneve-a-111415</t>
  </si>
  <si>
    <t>Je suis nouveau client, j'espère que la suite sera du même niveau que la démarche d'inscription. Pour le moment, nous sommes satisfait. A suivre...
Merci</t>
  </si>
  <si>
    <t>grenier-f-127071</t>
  </si>
  <si>
    <t>Je suis très satisfait de l'accueil de mon conseiller, Mr Sébastien.
J'ai pu être assuré à quelques minutes de l'achat de mon véhicule cela a été très rapide.</t>
  </si>
  <si>
    <t>08/08/2021</t>
  </si>
  <si>
    <t>chassin-m-114320</t>
  </si>
  <si>
    <t>Je suis très satisfait de pouvoir assurer mon nouveau véhicule puissant si rapidement et tout est très clair avec un tarif attractif. Content de devenir nouveau client L'olivier.</t>
  </si>
  <si>
    <t>guillaume-l-105516</t>
  </si>
  <si>
    <t>Si on pouvait donner une note négative, je le ferais volontiers. 
Je n'ai pas attendu d'avoir de sinistre avant d'être mécontent. J'ai juste voulu passer mes 2 voitures du stationnement public vers un parking souterrain sécurisé. Leur réponse : - 0.04 € sur la cotisation annuelle de ma 1ere voiture et -0.01 € sur la 2e. Aucun geste commercial concernant le confinement et le fait que je sois resté en télétravail (très peu de kilomètres parcourus).
Je retire toute de suite mes 2 voitures, et je retire également les voitures de mes parents.
Je ne recommande pas du tout !</t>
  </si>
  <si>
    <t>bouafia-m-113532</t>
  </si>
  <si>
    <t xml:space="preserve">Très bel accueil téléphonique, très professionnel, je recommande votre assurance pour ses prix et ses prestations. Merci encore d avoir pu souscrire l assurance auto que je souhaitais </t>
  </si>
  <si>
    <t>simon-a-128288</t>
  </si>
  <si>
    <t>Conseillers accessible facilement
Tarifs correct pour la couverture de l'assurance
Le site internet est simple d'utilisation mais le devis n'apparaissait pas sur mon portail. Il faut passer par le lien reçu par mail pour le devis en cours. Ce pourrait être une amélioration du site à prévoir.
Merci</t>
  </si>
  <si>
    <t>dtc-81329</t>
  </si>
  <si>
    <t xml:space="preserve">Je payais pour un garage, qui s'est retrouvé sinistré, et finalement ils ont botté en touche en faisant jouer une clause de distance quant à mon habitation. Pour payer j'étais le bon mouton. Pour me rembourser il n'y avait plus personne. Je les ai conduit devant le tribunal et j'ai gagné. Ils ont perdu un client vieux de 20 ans et 32000 euros.  </t>
  </si>
  <si>
    <t>25/11/2019</t>
  </si>
  <si>
    <t>christine-0366-134362</t>
  </si>
  <si>
    <t xml:space="preserve">Très bon accueil avec Mr Daouda.
Tres bien renseigné sur mon attestion demandeur de mon employeur et ainsi que mon contrat d'assurance prévoyance qui était encore pour moi dans le flou.
Très bon échange. </t>
  </si>
  <si>
    <t>marie-81393</t>
  </si>
  <si>
    <t>aujourdui je recois un recommandé de la matmut qui me résiliait et aparemment jai trop demandé de l aide juridique a cause de ma voiture en 2020 donc surtout ne pas demander d aide juridique il faut juste payer et ne rien demander !!cest affolant !!et comment faire confiance aujourdui a toutes ces assurances et ensuite comment retrouver une assurance ...une folie !!!</t>
  </si>
  <si>
    <t>30/10/2021</t>
  </si>
  <si>
    <t>jfm-77267</t>
  </si>
  <si>
    <t>Mes demandes de rachat partiel sur deux contrats d'assurance-vie Allianz effectuées via internet sans grandes formalités sur mon espace client, ont été honorées avec des délais extrêmement courts : moins de deux semaines pour l'un, à peine quelques jours pour l'autre. Merci et bravo.</t>
  </si>
  <si>
    <t>02/07/2019</t>
  </si>
  <si>
    <t>sylvain-b-117785</t>
  </si>
  <si>
    <t>satisfait du service, satisfait des prix, accueil très agréable. la formule petit rouleur est intéressante pour des véhicules qui roulent peu.accueil tél ouvert sur une grande plage horaire</t>
  </si>
  <si>
    <t>21/06/2021</t>
  </si>
  <si>
    <t>legoden-68399</t>
  </si>
  <si>
    <t>Très déçu!!!! Lors de la résiliation du contrat suite à une vente j'ai eu le droit à 7,2 euros de taxe de changement de dossier ! J'hallucine ! Dégoutté depuis le temps que j'y suis ! Plus jamais</t>
  </si>
  <si>
    <t>07/11/2018</t>
  </si>
  <si>
    <t>phillipe-59577</t>
  </si>
  <si>
    <t>Bonjour,
vous recherchez à pimenté votre vie, vous n'avez pas asser de problèmes, vous dormez bien la nuit ou encore vous vous demander si vous êtes fous. Alors Direct Assurance est là pour vous. Trouvez des problème et des incohérences directement dés la souscription, ils vous feront économiser 240 € sur le prix de votre assurance et prenez plus de 10 ans sur votre état de santé. Vos interlocuteur joignable 24h/24 venue directement d'une autre planète encore inconnu. Télécharger leur application et commander directement une chambre à l’asile, oui Direct Assurance prend soin de vous. Souscrivez votre contrat auto accompagner de votre médecin et un psychologue confirmé. Parrainez vos amies et famille vous vous retrouverez rapidement seul.
Une assurance qui ne ce souvient jamais de vous.</t>
  </si>
  <si>
    <t>11/12/2017</t>
  </si>
  <si>
    <t>chaibriant-s-121218</t>
  </si>
  <si>
    <t>je suis satisfait du servie et du tarif  de 528 euros a l'anne don un tarif de 34 euros par mois je vous remerci cordialement monsieur chaibriant steven</t>
  </si>
  <si>
    <t>nolwenn-l-110245</t>
  </si>
  <si>
    <t>Je suis satisfaite des services. Rapidite, prix satisfaisant, accessibible facilement. Bref, je suis contente d etre assuree chez l olivier assurance.</t>
  </si>
  <si>
    <t>tarlene71-76297</t>
  </si>
  <si>
    <t xml:space="preserve">Je suis cliente depuis peu chez Pacifia.Ils nous font un devis et lorsque l'on souscrit le contrat , le prix augmente ( 3.90 euro par mois ) Ils ne disent que c'est augmentation d'avril . A La date d'anniversaire mon contrat sera résilier et je retourner chez mon assurer GROUPAMA car avec eux pas de mauvaises surprise . </t>
  </si>
  <si>
    <t>28/05/2019</t>
  </si>
  <si>
    <t>catherine13-51900</t>
  </si>
  <si>
    <t xml:space="preserve">arrêter depuis 5 mois il vous convoque le 17 février avec courrier reçu le 27 janvier   et vous coupe les indemnités journalière le 6 janvier le temps de l’expertise ça va reporter de 3 semaine a 1 mois donc du 6 janvier au 15 ou 20 mars  l'autre au bout du fil qui touche sa paye a la fin du mois vous dit débrouiller vous   
je ne refuse pas les contrôles mais trop long </t>
  </si>
  <si>
    <t>31/01/2017</t>
  </si>
  <si>
    <t>kiara27-117961</t>
  </si>
  <si>
    <t>Dommage qu'en deux ans la télétransmission n'aie jamais fonctionné. Très compliqué de renvoyer les décomptes de sécu à chaque fois. Décalage certain entre les infos des différentes pages du site: demande de remboursement traitée ce jour (et notée comme remboursée) mais aucun remboursement visible dans l'onglet mes remboursement alors que nécessaire pour l'envoi à des mutuelles complémentaires!</t>
  </si>
  <si>
    <t>michel-p-108337</t>
  </si>
  <si>
    <t>Je suis satisfait du service ; très bon accueil  compétence facilité de mise à jour  bonne couverture rapport qualité prix. a recommander et  meilleur service</t>
  </si>
  <si>
    <t>obelix-93715</t>
  </si>
  <si>
    <t>Bonjour je vais vous expliquer le joli tour de passe-passe comme a fait la prévoyance intérimaire j'ai été arrêté pour opération du 6 janvier au 29 février 2020 un arrêt au mission après avoir rempli le dossier en contactant des conseillers mon dossier était jamais complet il manque toujours un papier donc dossier non traité j'étais de nouveau arrêté du 18 mars au 5 juillet 2020 toujours suite à mon opération la en arrêt en mission donc le dossier a été beaucoup plus vite les indemnités journalières m'ont été versées régulièrement par rapport à celle de la sécurité sociale sauf que le 4 juin enfin le dossier du mois de janvier a été traité pour le calcul des indemnités journalières ils m'ont fait un joli tour de passe-passe ils vont payer que 17 jours pour le mois de janvier et février car ils ont calculé que les 17 jours plus ceux qu'il me verse à pour le deuxième arrêt arrivée à la date du 14 juin faisait 92 jours donc pour le reste c'est repasser en commission ils m'ont versé du 4 juin au 5 juillet mes indemnités journalières mais ce qu'il se passe c'est que les l'indemnité journalière de janvier et février aurait dû être versé entièrement Nissan tellement de temps à être traité que ça se retrouver chevaucher sur un autre arrêt vive les assureurs je pense que je vais voir de trouver une autre assurance digne de ce nom bonne journée</t>
  </si>
  <si>
    <t>anne-laure-a-111069</t>
  </si>
  <si>
    <t xml:space="preserve">je suis satisfait tout me convient ,
 la prise en charge est top . 
RAS 
les papiers demander sont rapide a obtenir ,
on peut s'arranger pour les paiements
la prise en charge des accident les personnes sont a l'écoute
tres bonne assurence
</t>
  </si>
  <si>
    <t>samssara-71995</t>
  </si>
  <si>
    <t xml:space="preserve">Je suis consternée de cette compagnie qui m'a collée un sinistre sans même chercher à s'assurer de la veracite de ce sinistre . Je m en suis rendue compte lorsqu'ils ont décidé de résilier mon contrat. </t>
  </si>
  <si>
    <t>08/03/2019</t>
  </si>
  <si>
    <t>chris-54169</t>
  </si>
  <si>
    <t>Mon véhicule est immobilisé depuis le 15 octobre 2016 à cause d'un accident dont je ne suis pas responsable . J'ai du payé un autre expert pour faire valoir mes droits etaujourd'hui j'entame une procédure judiciaire pour qu'ils me remboursent les frais de locations de voiture que j'ai payé.</t>
  </si>
  <si>
    <t>20/04/2017</t>
  </si>
  <si>
    <t>zaza-88976</t>
  </si>
  <si>
    <t>Plus du double du prix par rapport a la concurrence !
le service client n'a aucune considération de ses clients et n'essaye même pas de faire une offre commercial pour les retenir malgré 10 ans d'ancienneté.
Bref je déconseille fortement.</t>
  </si>
  <si>
    <t>18/04/2020</t>
  </si>
  <si>
    <t>rtah-97693</t>
  </si>
  <si>
    <t xml:space="preserve">Prise en charge des sinistres catastrophique. Il faut constamment réclamer pour que les choses avancent. Depuis 3 mois je suis toujours avec une fenêtre sans vitres (quatre vitres cassées) et le gestionnaire reste injoignable, avec un répondeur disant qu'il est actuellement en ligne !) La dernière fois que j'ai pu lui parler c'était il y a 17 jours et il  m'a dit que l'artisan chargé d'effectuer les réparations allait m'appeler dans les 48 heures. Depuis 15 jours il n'y a toujours aucun appel.
Une autre fois, pour me faire patienter le gestionnaire m'a répondu qu'il attendait le rapport de l'expert, alors que depuis longtemps l'expert avait remis son rapport et la balle étant dans le camp de l'expert et du service des travaux. 
Ils vous prennent pour des imbéciles et vous racontent n'importe quoi au téléphone.
J'attends que les travaux soient terminés pour changer d'assureur.
Ils ne vous donnent aucun décompte des montants des dédommagements: juste un SMS avec le montant global. J'ai demandé le décompte au gestionnaire mais je n'ai rien reçu. 
Reza Tahami 
</t>
  </si>
  <si>
    <t>22/09/2020</t>
  </si>
  <si>
    <t>thibaut-g-106388</t>
  </si>
  <si>
    <t>Augmentation des prix non justifié. Pour sois disant crise sanitaire dont vous n'êtes pas impacté, je trouve cela irrespectueux envers les clients fidèle. Ma satisfaction va de ce commentaire. Merci</t>
  </si>
  <si>
    <t>monira-p-127301</t>
  </si>
  <si>
    <t>Les prix me conviennent.
Je suis satisfait du service accès a réponse tout est facile et un interlocuteur est joignable en cas de besoin pour conclure un contrat.</t>
  </si>
  <si>
    <t>09/08/2021</t>
  </si>
  <si>
    <t>felicia-138903</t>
  </si>
  <si>
    <t xml:space="preserve">Ne vous assurez pas il augmente le prix d'année en année ,même avec augmentation de bonus et sans sinistre,au meilleur prix puis tu paye plein pot , d'ailleurs je vois ailleurs </t>
  </si>
  <si>
    <t>johan-r-115979</t>
  </si>
  <si>
    <t>J'attends de voir...
En espérant que ce soit une bonne assurance qui respecte ses engagements 
Les prix sont très intéressants en vue des services proposés</t>
  </si>
  <si>
    <t>rouan-c-130403</t>
  </si>
  <si>
    <t>Je suis très satisfait de l'ensemble des conditions de l'OLIVIER Assurance.  
Je ne manquerai pas de proposer votre assurance à tous ceux qui en auront besoin.</t>
  </si>
  <si>
    <t>seb-81672</t>
  </si>
  <si>
    <t>Je suis assure au titre de mon emprunt immobilier chez Metlife depuis plusieurs années. L'offre et la tarification sont compétitifs, mais le service client n'existe pas, ou s'il existe, il ignore les demandes des souscripteurs. J'ai cherche a joindre Metlife pour reviser mon contrat d'assurance suite a la renegotiation de mon prêt (ce qui entraîne une modification du calcul de la prime d'assurance), et je n'ai eu aucune response a mes emails depuis plus de 6 mois que je les relance)</t>
  </si>
  <si>
    <t>06/12/2019</t>
  </si>
  <si>
    <t>wmikdar-60615</t>
  </si>
  <si>
    <t xml:space="preserve">Bonjour, 
J'ai souscrit à un contrat auto chez AXA le 14 avril sous le numéro : 0000007599607304. J'avais payé 3 mois de cotisations de avril à juin et j'ai envoyé les documents justificatifs afin d'avoir ma carte verte définitive SAUF que je ne l'ai jamais reçu et apparemment c'était parce qu'ils n'avaient pas reçu les pièces justificatives ( PAS DE MA FAUTE). Ensuite après non réception de ma carte verte définitive le contrat était résilié pour moi et je n'avais plus payé les cotisations jusqu'au mois de novembre/décembre où j'ai été relancé pour le faire ( entre temps j'ai été à l'étranger donc je ne recevais AUCUN courrier et j'étais UNIQUEMENT joignable par MAIL MAIS je n'ai reçu AUCUNE relance par MAIL), en décembre j'ai appelé AXA afin de payer mes cotisations pour REMETTRE EN COURS LE CONTRAT  et NE PAS LE RESILIER EN JANVIER comme m'a CONFIRME LA CONSEILLERE par téléphone ( et vous pouvez écouter l'appel enregistré le 20/12 où la conseillère m'a mentis pour me faire payer et résilier le contrat en janvier), j'ai envoyé les documents justificatifs par la suite afin de recevoir ma carte verte dans les plus brefs délais ( carte verte que j'attends depuis le mois d'avril dernier : INADMISSIBLE)  et j'ai reçu la confirmation par e-mail comme suit :
" Bonjour,
Nous vous remercions de votre envoi.
Votre contrat sera bientot remis en cours et vous allez recevoir votre carte verte definitive.
Pour toute information complémentaire nous restons à votre disposition au 09 70 80 90 70 du lundi au vendredi de 8h30 à 20h00 et le samedi de 9h00 à 16h00.
Nous vous remercions de votre confiance
Cordialement,
Votre conseiller AXA" 
CONCLUSION : Je n'ai rien reçu depuis et mon contrat AUTO a été résilié A MON INSU ( pas de mail/appel ou autre) même si j'ai payé mes cotisations et ENVOYE les pièces justificatives AVANT LA DATE BUTOIRE qui était le mois de JANVIER ( la conseillère me l'a confimée par téléphone le jour du paiement) et quand je l'ai eu au téléphone aujourd'hui le 18/01 elle m'a confirmé tout simplement et froidement que le contrat a été résilié et que je ne recevrai jamais ma carte verte ne serait-ce que pour les mois payés !!!!!!!!!
Merci de m'expliquer ce manque de professionnalisme et cette mauvaise foi parce que je trouve ça inadmissible surtout venant d'une banque-assurance AXA !!!!!!!!!!!!! </t>
  </si>
  <si>
    <t>18/01/2018</t>
  </si>
  <si>
    <t>bonilla-madrinan-s-138922</t>
  </si>
  <si>
    <t>Un service professionnel, et rapide. Les responsables commerciaux au téléphone sont accueillants et professionnels. La mise en place et le changement facile et rapide également. 
Merci l'olivier assurance</t>
  </si>
  <si>
    <t>pierro-122936</t>
  </si>
  <si>
    <t xml:space="preserve">bonjour.
Emilie de l' assurance Néoliane santé a bien répondu a mes attentes pour démêler un problème de télétransmission .Erreur faite par le courtier assurance de l'adour qui est injoignable depuis 3 semaine malgré mutes relances, donc je ne conseille pas le courtage 
l'assurance de l'adour qui ne sont pas très sérieux sur suivi de leur clientèle.
Encor merci EMILIE.        </t>
  </si>
  <si>
    <t>sebing-75604</t>
  </si>
  <si>
    <t>Une honte cette assurance. Ils ne sont bon qu'a prendre notre argent sans le moindre scrupule. Assurance à fuir absolument où a ne pas souscrire. Fuyez mes amis.</t>
  </si>
  <si>
    <t>cornille-c-121206</t>
  </si>
  <si>
    <t xml:space="preserve">Assurance pas cher et prise en charge rapide alors que en tant que jeune conducteur c'est difficile de trouver une assurance pas cher, je suis soulagée et rassuré. </t>
  </si>
  <si>
    <t>marion-m-123733</t>
  </si>
  <si>
    <t>Souscription rapide, simple et efficace même si le code promo en lien avec « Opération direct juillet 2021 » sur le site April n'a pas fonctionné, c'est dommage.</t>
  </si>
  <si>
    <t>18/07/2021</t>
  </si>
  <si>
    <t>trintrin30-68872</t>
  </si>
  <si>
    <t>impossible de me connecter sur le site depuis des mois malgré mes multiple demandes par mails et téléphone. J'arrive à échéance et ils me demandent de payer l'année en cours, mais sans connection cela va être difficile de régulariser. Comment faire??</t>
  </si>
  <si>
    <t>chantal-c-130387</t>
  </si>
  <si>
    <t xml:space="preserve">Les prix sont corrects et bonne prise en charge en cas de sinistre. Le gros bémol, c'est le surcoût très élevè  pour les jeunes conducteurs y compris sur le contrat des parents.
</t>
  </si>
  <si>
    <t>lapile-97104</t>
  </si>
  <si>
    <t xml:space="preserve">bonjour,
assuré jusque alors pour un vehicule, j'esperai pouvoir en assurer un autre. desillusion... un accident NON RESPONSABLE avec ce dit vehicule, 50%  de bonus depuis 20 ans.... "nous ne pouvons pas vous assurer". pas de discussion possible. no comment
</t>
  </si>
  <si>
    <t>07/09/2020</t>
  </si>
  <si>
    <t>roger-landry-k-127621</t>
  </si>
  <si>
    <t>Les prix me conviennent je suis content de revenir chez vous.
merci je suis satisfais une fois de plus des prix appliqués et proposé aux clients particuliers.</t>
  </si>
  <si>
    <t>christophe--d-137453</t>
  </si>
  <si>
    <t>Satisfait du prix et de la rapidité de l accords Prestations attractives sur le site question pour la pharmacie ,hospitalisation, pour les dents et lunettes.</t>
  </si>
  <si>
    <t>cyril-91013</t>
  </si>
  <si>
    <t xml:space="preserve">Très bon site clair et efficace 
Je pensais par contre que les tarifs serait un petit peu plus intéressant même si ils sont assez bien placés 
Je fais quelques autres devis 
</t>
  </si>
  <si>
    <t>toto-45186</t>
  </si>
  <si>
    <t>C est de la folie et inhumain. Je suis en invalidite depuis plus d un an et interiale ne me paye plus depuis. J ai eu expertise medicale y a 2 mois et toujours rien. Pas d interlocureur pro c est juste horrible a vous rendre encore plus malade....</t>
  </si>
  <si>
    <t>15/03/2017</t>
  </si>
  <si>
    <t>fabrice-g-131291</t>
  </si>
  <si>
    <t xml:space="preserve">Je suis satisfait du service proposé 
La souscription en ligne est très simple et elle est très rapide 
Les tarifs proposés sont très compétitifs je suis passé par les furets.com </t>
  </si>
  <si>
    <t>christine-86749</t>
  </si>
  <si>
    <t>Je me décide à laisser un message (ce que je ne fais jamais) mais là ma patience a des limites, voilà plus de 6 mois que j'envoie des mails (les 2 derniers du 12 et janvier 2020 entre autre) mais aucune réponse concernant les remboursements non effectués, il y a certainement une raison, mais donnez-la moi. On ne laisse personne sans explication. Lors de mon engagement fin 2018 tout était parfait, bon accueil, bonne écoute...... aux petits soins. Sont ils devenus sourds et muets !!!!! ou alors ont ils perdu leur soi-disant compétence. 
Cordialement</t>
  </si>
  <si>
    <t>05/02/2020</t>
  </si>
  <si>
    <t>malou-97329</t>
  </si>
  <si>
    <t xml:space="preserve">Une HONTE , cette assurance soit disant militante proche de ses assurés, elle est bien pire que les autres et avec des tarifs appliqués loin d être concurrentiels . Au delà de son constat , je suis cliente et je paie mes primes tous les mois et ce depuis 25 ans . Le jour ou j ai un sinistre dans mon bien et que ce sinistre est couvert par la garantie , je n ai pas à avoir à me battre pour obtenir une indemnisation , et pourtant .....
En 25 ans c est la 2eme fois que fais une déclaration de sinistre habitation (dégât des eaux) et c est un véritable cauchemar :Gestionnaire agressif, irrespectueux , ne connaissent pas le dossier,  l expert mandaté (qui est payé par l assureur ) n a qu un seul objectif qui est de TOUT FAIRE pour ne pas vous indemniser , omet volontairement dans son rapport tout ce qui justifierait d’une indemnisation , bref honteux, scandaleux !!!!
Psychologiquement c est très difficile car cette situation dure depuis des mois mais je ne lâche pas ce serait trop facile . Heureusement qu’ aujourd’hui il existe des associations de collectif qui permettent d être plus « forts » : Mon dossier est désormais entre leurs mains .
En conclusion : Ne vous laissez pas intimider , vous avez des droits et eux ils ont des obligations qui sont celles de vous indemniser conformément au contrat qui a été signé </t>
  </si>
  <si>
    <t>danieau-j-129315</t>
  </si>
  <si>
    <t>Je suis satisfaite du service. 
Je vous remercie de prendre note de mon numéro de téléphone 0615505583.
L'autre numéro étant celui de mon mari.
Corfdialement</t>
  </si>
  <si>
    <t>tana-65429</t>
  </si>
  <si>
    <t>Cette assurance est un honte,ils se foutent de tout.
A vous de vous débrouiller pour les démarches.
Ils sont pitoyables!</t>
  </si>
  <si>
    <t>12/07/2018</t>
  </si>
  <si>
    <t>totohyuh-123637</t>
  </si>
  <si>
    <t xml:space="preserve">Prix tres attractif mais remboursement 0€ pour ma part et le véhicule est "épave".tres bons dans la souscription mais beaucoup moins dans le remboursement...tentative de vol de mon vehicule, ils ont finalement dépouillé tout l'avant et mis de l'extincteur partout pour effacer les empreintes et adn ,et niveau remboursement assurance rien....assuré au tiers sans le vandalisme, l'aasureur me dit que c'est du vandalisme alors qu'on a quand meme essayé de me volé le vehicule et on a volé tout l'avant de la voiture avant meme de vandaliser la voiture... assurance à éviter...
</t>
  </si>
  <si>
    <t>plumerand-r-107532</t>
  </si>
  <si>
    <t xml:space="preserve">Pour le moment les prix correspondent à mon budget. La conseillère a été disponible et à l'écoute.
Je dois avoir du recul pour ajouter de plus ample jugement.
</t>
  </si>
  <si>
    <t>saphira77-93465</t>
  </si>
  <si>
    <t>nouvellement inscrit, je n'ai pas d'avis négatif, pour l'instant que du positif, très réactif, très  agréable et professionnel au tél.</t>
  </si>
  <si>
    <t>08/07/2020</t>
  </si>
  <si>
    <t>joao-l-125874</t>
  </si>
  <si>
    <t xml:space="preserve">Très satisfait,
Prix abordables 
Relation client très efficace et à l'écoute du client.
Pour mes vacances c'était un plaisir de choisir Direct Assurance </t>
  </si>
  <si>
    <t>fabien-b-134749</t>
  </si>
  <si>
    <t xml:space="preserve">je suis satisfait des prix ainsi que de la simplicité et rapidité de mise en place de votre service. je vous remercie et je recommanderai direct assurance à mes proches </t>
  </si>
  <si>
    <t>schott-m-138563</t>
  </si>
  <si>
    <t xml:space="preserve">Simple rapide efficace 
Avec des tarifs super compétitif
mise en relation client facile avec des personnes sympathiques a l'écoute du client et très cordiales.  
</t>
  </si>
  <si>
    <t>hafner--l-109200</t>
  </si>
  <si>
    <t xml:space="preserve">Super j ai trouvé leur site très bien fait très réactif et intuitif avec plusieurs formules  je suis très satisfait de leur service je le recommande fortement </t>
  </si>
  <si>
    <t>mumu-52483</t>
  </si>
  <si>
    <t>Expérience de qualité, je tenais à pouvoir le partager car l'équipe Santiane m'accompagne depuis deux ans et ils ont pu m'aider à de multiples reprises en me faisant tout d'abord réaliser des économies et surtout en m'évitant d'attendre les réponses de la mutuelle qui se faisaient attendre...</t>
  </si>
  <si>
    <t>16/02/2017</t>
  </si>
  <si>
    <t>ricou-96442</t>
  </si>
  <si>
    <t>Axa mérite notre confiance.
La gestion des sinitres y est très efficace &amp; le coût du contrat bien contenu (surtout via un coursier).
Axa est un des leaders mondiaux de l'assurance &amp; mérite notre confiance. C'est une belle réussite d'un de nos fleurons français. Tout simplement ! :)</t>
  </si>
  <si>
    <t>18/08/2020</t>
  </si>
  <si>
    <t>aurel-102379</t>
  </si>
  <si>
    <t xml:space="preserve">Assurance médiocre et le mot est faible. J’ai mis une étoile parce que obligé sinon impossible de mettre un commentaire ils ne la mérite même pas. 
Personne ne devrait souscrire à cette assurance nul nul nul il réclame sans cesse des papiers et encore des papiers et vous font perdre un temps monstrueux pour ne même pas vous rembourser.  
</t>
  </si>
  <si>
    <t>yella-63701</t>
  </si>
  <si>
    <t>j'ai décidé de changer d'assurance et depuis plus d'un moi, j'ai demandé un relevé d'information : impossible de l'obtenir.
Selon l’article A. 121-1 du Code des assurances, les compagnies d'assurances sont dans l'obligation de nous le fournir sous 15 jours</t>
  </si>
  <si>
    <t>mehdi-f-130695</t>
  </si>
  <si>
    <t xml:space="preserve">Je suis satisfait du site les prix sont correct facilite d'utilisation bien diriger correctement indiqué je recommande fortement et recommanderais fortement à mes amis et collègue </t>
  </si>
  <si>
    <t>gilbert-59415</t>
  </si>
  <si>
    <t>mutuelle qui ne respect pas les engagements pris.je suis en guerre avec eux depuis mai 2017. j'ai envoyé un devis pour dépassements d'honoraires réponse dans un courrier que je suis remboursé mais après envoie de la facture je ne suis plus remboursé. Donc je téléphone et la après plusieurs minutes réponse: mais c'est compris dans votre contact . J' envoie une seconde facture pour la même intervention en novembre et après un message et 2 appels téléphonique toujours rien (on étudie votre dossier). je pense, soit le personnel est incapable ou ils en n'ont rien a foutre. Sauf pour passer à la caisse</t>
  </si>
  <si>
    <t>05/12/2017</t>
  </si>
  <si>
    <t>sam-63485</t>
  </si>
  <si>
    <t xml:space="preserve"> Sur une année entière, j’ai été remboursé de zéro euro. Alors que j’avais eu plein de frais vétérinaires (Bouledogue français..)
J’ai été très mal renseigné, mes interlocuteurs était désagréable et j’ai dû payer pendant un an pour rien (500€ environ)</t>
  </si>
  <si>
    <t>23/04/2018</t>
  </si>
  <si>
    <t>guetcarquefou-90918</t>
  </si>
  <si>
    <t>Simple et facile
Rapide mais si on refait 2 fois le même devis les prix montent, j’aurais dû valider le devis dès le début 
Dommage que l’assistance 0 km soit obligatoirement incluse dans un pack. J’aurais préféré prendre ça en option tout seul</t>
  </si>
  <si>
    <t>christophe-g-130368</t>
  </si>
  <si>
    <t>ok ras pour le moment , pourvu que ca dur , bon contact téléphonique , enfin une vraie personne au bout du fil , et pas un robot qui comprend rien....</t>
  </si>
  <si>
    <t>angie-59787</t>
  </si>
  <si>
    <t xml:space="preserve">Alors comment dire...
Voulant faire travailler une connaissance j'ai souscrit chez Allianz quand j'ai eu mon entreprise . 
En arrêt depuis plusieurs mois et médecin etc confirment toujours mon état, Allianz décide je ne sais sur quelle base que partiellement depuis juillet je pourrais travailler!!! Il faut donc que je les rembourses et ils ne me paye plus depuis 3 mois! 
Connaissance où pas tout est de mon côté pour que je ne lâche rien, je suis patiente, je ne lacherais rien. 
En attendant fuyez même si vous connaissez le directeur de l'agence. </t>
  </si>
  <si>
    <t>19/12/2017</t>
  </si>
  <si>
    <t>stephanie-81545</t>
  </si>
  <si>
    <t xml:space="preserve">
Apres 10 ans a la macif de thorigny sur marne , je vais fuir cette sociéte qui n'a aucun scrupule et aucucne communications entre eux, 
Du coup qui mettent les sociétaires dans des situations tres délicates.
Aucune écoute juste un numéro, aprés tant d'années.
Franchement , on est juste bon payé!!!!!!
</t>
  </si>
  <si>
    <t>02/12/2019</t>
  </si>
  <si>
    <t>mckenna-69398</t>
  </si>
  <si>
    <t xml:space="preserve">Extremement décue par Cardif. Refusent de me donner l'adresse ou demander le versement d'une assurance vie échue ! Très mauvais acceuil. Demandent des papiers et informations que légalement, on n'est pas tenu de donner. Passez votre chemin. </t>
  </si>
  <si>
    <t>guytou4485-57193</t>
  </si>
  <si>
    <t>Au niveau de la qualité service client , quelle médiocrité : pour un changement de véhicule , si l'on fait l’opération par téléphone , il faut payer 20€ .Si on a pas internet ( sur le lieu de vacances par exemple ) , comment s'assurer ? Ayant tous mes contrats chez Direct Assurance , je crois que je vais revoir ma position .</t>
  </si>
  <si>
    <t>08/09/2017</t>
  </si>
  <si>
    <t>arnaud-d-101464</t>
  </si>
  <si>
    <t xml:space="preserve">service tres bien par rapport a la concurrence je recommande a mes amis et a ma famille pas de soucis la dessus , par contre j aimerais etre contacte moins souvent </t>
  </si>
  <si>
    <t>15/12/2020</t>
  </si>
  <si>
    <t>nadege-b-105233</t>
  </si>
  <si>
    <t xml:space="preserve">OUI JE SUIS SATISFAIT DU PRIX ET DE LA REACTIVITE DE LA PRISE EN CHARGE DU CONTRAT DE L'ASSURANCE DE MA NOUVELLE VOITURE SUITE A MON APPEL TELEPHONIQUE. 
</t>
  </si>
  <si>
    <t>goldwing29-24590</t>
  </si>
  <si>
    <t xml:space="preserve">Et bien voila c’est faiit je change pour la macif ou j’ai tout mes contrats 
20 ans pas de sinistre et pris pour un pigeon 
J’ai pris les mêmes garanties évidemment plus de journal 
Gain important </t>
  </si>
  <si>
    <t>nfansoumane-b-132869</t>
  </si>
  <si>
    <t>Je suis satisfait du service qui a été fait.
On verra la suite pour voir si le service correspond à ce qui est dit dans les informations qui ont été communiquées.</t>
  </si>
  <si>
    <t>dary-y-107277</t>
  </si>
  <si>
    <t xml:space="preserve">je suis entièrement satisfais l'écoute que j'ai obtenu par le conseiller je recommande  fortement assurance très professionnels et a l'écoute avec patience  </t>
  </si>
  <si>
    <t>william-e-123238</t>
  </si>
  <si>
    <t>je suis satisfait du service en question, les prix assurance me conviennent parfaitement, simple ,  rapide pratiques bien explicite cordialement mr epernon william</t>
  </si>
  <si>
    <t>lemex-56718</t>
  </si>
  <si>
    <t>la pire assurance que j'ai eue.</t>
  </si>
  <si>
    <t>17/08/2017</t>
  </si>
  <si>
    <t>maryline-l-114401</t>
  </si>
  <si>
    <t>Les prix me conviennent et les conseillés m' ont bien renseigné , il est vrai que le contact physique manque un peu mais je verrais bien en cas de déclaration de sinistre ....</t>
  </si>
  <si>
    <t>rayan-52911</t>
  </si>
  <si>
    <t>Bonjour, 
Je fait part de mon avis, assuré depuis 2 mois cher l'olivier, le service client est inabordable.. 30min pour essayé de parler à une personne... C'est incroyable! 
J'ai payé mon assurance "cache" 722 pour avoir un prix plus attractifs! Et au final, pour un sinistre qui à été non déclaré, et non responsable, on me demande de régler la somme supplémentaire de 174  EUR ! Je trouve sa triste de la pare de cette assurance! J'ai essayé de revoir se prix à la baisse mais impossible de les joindre si ont attends pas 30 min au téléphone.. 
A éviter. Le service client n'est pas la.</t>
  </si>
  <si>
    <t>02/03/2017</t>
  </si>
  <si>
    <t>bad83-92942</t>
  </si>
  <si>
    <t>quarante ans plus Macif jamais de d'accident responsable</t>
  </si>
  <si>
    <t>jean-92608</t>
  </si>
  <si>
    <t>Suite au décès de ma Tante mi-avril 2020, j'ai envoyé toutes les pièces nécessaires fin Avril par email, puis n'ayant pas de nouvelles par lettre recommandée. Depuis, j'essaie de contacter l'Afer plusieurs fois par semaine. Le seul email que j'ai reçu a été pour m'indiquer que l'Afer avait, soit-disant en raison du COVID, jusqu'au 22 août pour considérer la demande de règlement de la succession, ceci en violation de l'article L. 132-23-1 du code des assurances  !!!
Les deux autres sociétés d'assurance où ma Tante avaient aussi une assurance-vie , MMA et Suravenir ont elles procédé aux règlements dès la mi-Juin !
Par ailleurs le taux de rendement de leur fond en euro est en baisse sensible et leur unités de compte ne sont pas du tout performantes. Regardez chez les concurrents : il y a beaucoup de contrats sans frais d'entrée beaucoup plus performants.</t>
  </si>
  <si>
    <t>amiri-h-122213</t>
  </si>
  <si>
    <t>Je suis heureux d etre client chez vous . Cordialement 
Prochain contrat ça sera prendre une assurance auto pour ma fille Imane Amiri en date de samedi 2 juillet pour une Ds3.merci.</t>
  </si>
  <si>
    <t>nath40-70881</t>
  </si>
  <si>
    <t>A la suite de nombreuses plaintes des salariés, notre employeur a résilié le contrat collectif en respectant le préavis. L e personnel de la MGEN a trouvé le moyen d'ouvrir un nouveau contrat pour les salariés sans leur autorisation avec échéancier. Ce nouveau  courrier a été reçu le 31 décembre 2019 avec prélèvement le 10 du mois suivant. Impossible de les joindre. Le personnel de la MGEN ne répond pas au téléphone, à votre courrier, et a bloqué les remboursements de prestations pour la nouvelle mutuelle auprès de la CPAM. Après avoir fait opposition du prélèvement en date du 10 janvier 2019, ce dernier vous menace de procéder au recouvrement de la somme rejetée. 
A PROSCRIRE COMME MUTUELLE !</t>
  </si>
  <si>
    <t>02/02/2019</t>
  </si>
  <si>
    <t>jenny-105926</t>
  </si>
  <si>
    <t>Decu de la macif plus de 20 ans chez eux aucunes remises malgré 8 contrats avec un bonus a 50 pourcent depuis de nombreuses années. Marre de faire des contrats derrières le dos des gens garanti accident essentiel 3 le conseille au téléphone me la augmente a 6 sans mon accord c est la troisième fois que ça m arrive.MARRE que les conseille au bout de 8 appel vous donnent une version différente.Difficile d avoir les date précise pour vous résilier "30 jours avand échéance papier vous pouvez vous résilier et 20 jours apres"je viens de recevoir ma lettre il me font payer annee complète de la garanti accident pourtant j ai resilie au dates que le conseille ma dit.??????????</t>
  </si>
  <si>
    <t>pat83-67847</t>
  </si>
  <si>
    <t>Pacifica gère les dossiers de sinistre très rapidement. Toutes les pièces se font par mail et le virement est très très rapide. Merci et Bravo</t>
  </si>
  <si>
    <t>katalina2a-108892</t>
  </si>
  <si>
    <t xml:space="preserve">J'ai contacté mon assurance April qui assure mon entreprise pour faire part d'un sinistre survenu sur un chantier (degat des eaux) . J'ai été très mal accueilli au telephone . L'interlocutrice n'a fait aucun effort de compréhension sur les circonstances de survenue du sinistre. Et a écourté brutalement la discussion me disant de rappeler sa collègue qui suit le dossier et me raccrochant au nez. Je trouve cette attitude deplorable. C'etait mon premier signalement de sinistre. Et j'envisage de changer d'assureur... </t>
  </si>
  <si>
    <t>garantie-decennale</t>
  </si>
  <si>
    <t>mrs-nanette-53217</t>
  </si>
  <si>
    <t>Déclaration de sinistre et voiture économiquement irréparable</t>
  </si>
  <si>
    <t>13/03/2017</t>
  </si>
  <si>
    <t>moussa-o-134058</t>
  </si>
  <si>
    <t>Je suis satisfait des prix, le service est l'accueil parfait. Conseiller très à l'écoute  et qui conseille bien. Reste à voir si les promesses seront tenus.</t>
  </si>
  <si>
    <t>choi-e-138597</t>
  </si>
  <si>
    <t>Je suis satisfait du service. Les prix sont abordables pour les jeunes et les personnes qui viennent d'avoir leur première voiture. 
Rapide et efficace.</t>
  </si>
  <si>
    <t>nougat-70918</t>
  </si>
  <si>
    <t>Satisfait du règlement du sinistre non responsable sur pneu tracteur agricole</t>
  </si>
  <si>
    <t>04/02/2019</t>
  </si>
  <si>
    <t>cirre-m-135371</t>
  </si>
  <si>
    <t>Satisfait du tarif comparé a la moyenne des autres assureurs.
bonne réactivité, le site est intuitif et facile a comprendre, tout est bien expliqué....</t>
  </si>
  <si>
    <t>hm-52126</t>
  </si>
  <si>
    <t>Franchement cest une honte cette assurance filiale de Axa. Les agents sont butés comme des mules. Je ne recommande pas. Je suis assuré chez eux et refusent de m'assurer ma nouvelle voiture provenant d'un concessionnaire Mercedes  en Allemagne.  Je vais deposer plainte pour refus d'assurer sans raison valable.  Point.</t>
  </si>
  <si>
    <t>moko-94541</t>
  </si>
  <si>
    <t>Je suis satisfaite du service rapide et de qualité proposé, un devis a choix multiples ainsi que des garantie optionnel claires, une assurance a distance mais a la Foix proche</t>
  </si>
  <si>
    <t>18/07/2020</t>
  </si>
  <si>
    <t>belaifa-m-113440</t>
  </si>
  <si>
    <t>je suis satisfait du servie que propose L'olivier assurance. Les prix sont très abordables. Etant jeune conducteur, l'olivier assurance est une parfaite assurance automobile pour moi.</t>
  </si>
  <si>
    <t>petitpoisson-57175</t>
  </si>
  <si>
    <t>Rapport qualité/prix à revoir</t>
  </si>
  <si>
    <t>07/09/2017</t>
  </si>
  <si>
    <t>skagunder-56687</t>
  </si>
  <si>
    <t>Très mauvaise assurance qui vous jette pour avoir acheter une voiture en dehors de France on et bien en Europe, non.ils font de fausses pièces et d'une agressivité pas acceptable a vous de voir.</t>
  </si>
  <si>
    <t>16/08/2017</t>
  </si>
  <si>
    <t>pmot29-52672</t>
  </si>
  <si>
    <t>Tarif attractif pour les nouveaux clients. Je suis chez DA depuis plusieurs années, ma cotisation augmente tous les ans...
Quand je réalise une simulation sur leur site on m'annonce une cotisation inférieur de plus de 200€ ... J'ai contacté le service client, mais aucune réponse de leur part, bizarrement.... 
Coté sinistre, un seul en plus de 4 ans, quelqu'un est rentré dans ma voiture est a pris la fuite.. J'ai donc déclaré un sinistre tiers non identifié et donc franchise...
Attention coté suivi ne comptez pas sur eux... Ma voiture est resté bloquée chez le dépanneur plusieurs jours, car le service sinistre avez oublié d'indiquer où déposer la voiture pour les réparations... 
Heureusement que je suis intervenu (appels garage/dépanneur) sinon elle serait resté la-bas. Par la suite j'ai tout géré avec la garage, après 3 semaines de délai j'ai un appel de service sinistre suite note de satisfaction = 1, la personne en charge de mon dossier ne savez même pas que ma voiture était réparée et livrée dans quelques jours... Ca fait peur quand même!
J'ai souscrit au pack sérénité que l'on vous vend très bien, en vous indiquant que vous avez le droit a un véhicule de prêt en cas de sinistre et tout et tout. ATTENTION le véhicule est prêté par le garage agrée et si ils ont un véhicule de disponible et uniquement une fois que les réparations ont commencées. Ce pack ne vaut rien...
Très déçu du suivi sinistre, c'est peut être que moi, mais je m'attendait à plus d'information de leur part : coût des réparations, délais, forcing pour avoir un véhicule de prêt etc... En gros payez votre cotisation, vos franchises et démerdez vous !</t>
  </si>
  <si>
    <t>23/02/2017</t>
  </si>
  <si>
    <t>nath-137708</t>
  </si>
  <si>
    <t xml:space="preserve">Maaf assurance a 70 ans et accompagne les entreprises nouveau slogan 2021 DÉCEVANT, avoir une garantie décennale qui est inexistante sur un produit réalisé par une entreprise assurée chez eux et ne rien assumer.. plus de 25 ans que je suis cliente aussi,  j’attends l’expert de l’assurance maisons Maaf, ça donne vraiment plus envie de rester.. </t>
  </si>
  <si>
    <t>pino-49563</t>
  </si>
  <si>
    <t xml:space="preserve">Groupama fait un devis, on accepte le contrat  à un prix annuel défini. Au moment de payer, op le tarif du contrat augmente...et c'est normal celons eux : cadeaux du 1 er janvier. </t>
  </si>
  <si>
    <t>25/11/2016</t>
  </si>
  <si>
    <t>hugo-f-138606</t>
  </si>
  <si>
    <t xml:space="preserve">Les prix sont très compétitifs et un service rapide. Bien moins chère que toute les assurances des gros groupes et avec tout autant d’options d’assurance. </t>
  </si>
  <si>
    <t>espoir54-75045</t>
  </si>
  <si>
    <t xml:space="preserve">bonjour les remboursements tardent trop un mois de délais environ en général dès que l'on reçoit sur le site de la sécurité sociale les 70 % remboursés les 30% de Néoliane santé tardent , cela met un mois parfois avant de recevoir la somme sur le compte cela n'est pas normal et quand vous leur signalez en leur envoyant par mail tous les justificatifs tickets de carte bancaire plus le décompte de la sécurité sociale plus la quittance réglée de l'examen, ils disent qu'il manque un document c'est vraiment se moquer du monde !!! A partir de fin septembre ils recevront ma lettre recommandée de résiliation là il ne faut pas exagérer ! Mutuelle à fuir car vous serez toute l'année ennuyé ..... et j'en passe </t>
  </si>
  <si>
    <t>ludo-72431</t>
  </si>
  <si>
    <t xml:space="preserve">Le prix augmente beaucoup chaque année..  on ne peut pas changer les dates de prélèvements mensuels.. </t>
  </si>
  <si>
    <t>24/03/2019</t>
  </si>
  <si>
    <t>jean-luc-m-132502</t>
  </si>
  <si>
    <t>MANQUE DE PRECISIONS SUR LA COORDINATION DE DATE AVEC MON ANCIEN CONTRAT AXA A RESILIER PAR VOS SOINS. JE SUIS ASSURE JUSQU'AU 31/10/2021  ET NE SOUHAITE PAS QUE MES GARANTIES SE CHEVAUCHENT.</t>
  </si>
  <si>
    <t>mbedane-f-115219</t>
  </si>
  <si>
    <t>Je suis satisfait du service 
Le prix me convient parfaitement et c'est pratique et simple . Je peux recommandé à d'autres personnes que je connaisse.</t>
  </si>
  <si>
    <t>ouaiid-104012</t>
  </si>
  <si>
    <t xml:space="preserve">Je suis déçu, normalement j’ai bénéficié d’un chèque de 20 € de parrainage , depuis 2mois j’ai rien reçu j’ai contacté l’assurance il m’ont demandé d’envoyer un courrier par poste(j’ai rien reçu pour l’instant) en gros pour bénéficier de 20 euros il faut envoyer une lettre à 5euros </t>
  </si>
  <si>
    <t>11/02/2021</t>
  </si>
  <si>
    <t>feoh-116222</t>
  </si>
  <si>
    <t>Je ne peux hélas pas juger cette assurance sur les tarifs, puisqu’elle exerce par défaut une discrimination envers les personnes handicapées sans explications.
Ils m’ont demandé des documents concernant mon handicap, et ont statué par un « non » ferme et définitif avant même de recevoir les documents et donc de pouvoir juger de mon réel état de santé !
Dès que vous cochez une case « problèmes de santé », ils vous refusent sans explication
Discriminatoire, procédure indigne !</t>
  </si>
  <si>
    <t>med-89986</t>
  </si>
  <si>
    <t>à vous qui lisez ce commentaire, si j'ai un seul conseil à vous donner c'est ne pas vous inscrire à leurs produits parce que le jour où vous auriez un problème, vous serez tout seul sans assistance sans rien du tout et ils feront de leur mieux pour vous compliquer la vie et ne pas vous indémeniser</t>
  </si>
  <si>
    <t>27/05/2020</t>
  </si>
  <si>
    <t>richard6611-79865</t>
  </si>
  <si>
    <t xml:space="preserve">Je voulais remercier Mme Sara M pour sa gentillesse et son professionnalisme elle a été a mon écoute et à très vite trouvé une solution 
Merci encore a vous </t>
  </si>
  <si>
    <t>sabrina-87146</t>
  </si>
  <si>
    <t>Je suis trés satisfaite du service de la Cegema , je la recommande</t>
  </si>
  <si>
    <t>14/02/2020</t>
  </si>
  <si>
    <t>marctu-63986</t>
  </si>
  <si>
    <t>Mon contrat de 25 ans arrive à son terme ,  j'étais demande mon conseiller transfert la totalité des sommes, le dossier traîné ,relances  sans succès !  2 mois après toujours en attente !!!</t>
  </si>
  <si>
    <t>Gan</t>
  </si>
  <si>
    <t>14/05/2018</t>
  </si>
  <si>
    <t>blouse-50950</t>
  </si>
  <si>
    <t>En fait, c'est un trés mauvais assureur, si on peut appeler çà un assureur, plutôt un bonimenteur.
Vous faites un devis en ligne, vous les appelez, et déjà ce n'est plus le même prix, vous avez déjà pour une cinquantaine d'euros d'options que vous n'aviez pas demandées mais on vous dit que vous avez du les cocher malencontreusement, t'as raison prends moi pour un imbécile ! Et dés que vous leur posez une question qui sort de leur trame programmée de réponses préparées, il n'y a plus personne, quand on vous coupe pas la ligne. ils sont vraiment lamentable, ce sont des menteurs ! À éviter.</t>
  </si>
  <si>
    <t>04/01/2017</t>
  </si>
  <si>
    <t>le-51527</t>
  </si>
  <si>
    <t>Une vraie honte a tous les niveaux, apres sinistre non responsable j attends toujours apres 2 mois le remboursement de la carte grise comme la loi du code civil le prevoit pour toutes les victimes non responsables, le remboursement aussi du prorata de l assurance et la location de 10 jours d un vehicule pour privation de jouissance.
aucunes reponses a mes mails depuis le sinistre, un service client totalement fantome, des employes au bout du fil arrogant qui vous donne l impression d etre contre vous alors que vous n etes pas responsables.
je les ai mis en demeure et lundi l assignation en justice avec domage et interets.
n hesitez pas a porter plainte, vous avez des sites internet pour cela qui le feront pour vous a moins de 100 eurs avec avocat.
je suis a 2 doigts d aller leur tirer les oreilles a leur bureau de lilles.
fuyez cette assurance ,ici on est en france pas en angleterre.</t>
  </si>
  <si>
    <t>26/01/2017</t>
  </si>
  <si>
    <t>adam-b-112291</t>
  </si>
  <si>
    <t>C'est mon intention d'annuler le contrat.  C'est vers €159 trop cher. J'ai obtenir des prix d'une autre service assurance de €204.23.  si vous ne pouvez pas reduit le prix .......</t>
  </si>
  <si>
    <t>zoe-86638</t>
  </si>
  <si>
    <t>Le contrat actiplus qui n'est plus commercialisé annonce un taux d'intérêts minimun  garanti pour 2020 de 0.00% si si ..conformément à la règlementation disent ils laquelle ?? aucune précision par contre en cas de versement, 3% sont prélevés  et en cas de retrait avec les frais légaux nous y perdons aussi. Une demande d'avance au taux de 2.3%...joli gain pour MACIF même si je considère qu'il est normal qu'il y ait une rémunération, il ne faudrait quand même pas exagerer. Je viens d'en faire l'expérience, argument de la MACIF avec le rendement le taux est moindre, sauf qu'ils ont oublié de dire que le rendement garanti serait justement de 0,00% . Aujourd'hui nous perdons de l'argent. les premiers souscripteurs dont je fais partie sont les dindons de la farce. Nos fonds sont "capturés" car cloturer cette assurance revient à perdre les avantages fiscaux  après 8 ans. Assuré depuis 27 ans je considère cela comme un hold up. Macif dispose de nos fonds, les font travailler mais ne nous rémunère plus.  Opter pour une option avec des UC répartis en 80/20 très riqué vu les rendements, j'ai essayé c'est nul. A fuir. Ne confions pas notre argent à n'importe qui. Que la Macif continue à vendre de l'assurance auto, maison, mais pas de l'assurance vie.</t>
  </si>
  <si>
    <t>02/02/2020</t>
  </si>
  <si>
    <t>michel-j-121495</t>
  </si>
  <si>
    <t xml:space="preserve">Je suis très satisfaite de l’accueil ainsi que des tarifs. Une conseillère au top des informations claires. Je suis satisfaite aussi de la facilité de signature électronique ainsi que de la rapidité pour faire toutes les démarches. </t>
  </si>
  <si>
    <t>remrem-93396</t>
  </si>
  <si>
    <t>Satisfait du service.
Satisfait du tarif.
Site internet convivial.
Attends les détails du contrat avec valeurs de prises en compte et montants des. franchises</t>
  </si>
  <si>
    <t>erhan-a-132877</t>
  </si>
  <si>
    <t>Ras je suis satisfait de cette assurance niveau prix très bien placé je n'ais pas encore eu affaire a d'autres service . Je recommande vivement cette assurance</t>
  </si>
  <si>
    <t>15/09/2021</t>
  </si>
  <si>
    <t>cricri-100140</t>
  </si>
  <si>
    <t>Je viens d'avoir au téléphone une conseillère qui  me souhaite un bonne journée avec la MAAF et qui me raccroche pratiquement  au nez juste par ce que je lui ai demandé des renseignements sur un devis APRIL et comme je lui ai dit qu'a la MAAF ils étaient plus "généreux en terme d'indemnisation"
Curieux  comme façon de faire 
APRIL à EVITER absolument ==&gt; DOMMAGE</t>
  </si>
  <si>
    <t>16/11/2020</t>
  </si>
  <si>
    <t>agnes-l-129929</t>
  </si>
  <si>
    <t xml:space="preserve">le service est très simple a comprendre les prix sont correct cela ma pris 5 min au maximum pour avoir une bonne assurance en ligne qui me soutien 
Merci AMV </t>
  </si>
  <si>
    <t>rolfreg-110187</t>
  </si>
  <si>
    <t xml:space="preserve">Ce sont des gens qui n'ont aucune déontologie au regard de pratiques envers leurs sociétaire 
Ils viennent de m'appliquer une hausse de 14%, refusant de m'en donner les raisons et en me répondant que eux seuls sont maître de fixer les tarifs alors que de mon côté rien n'a changé dans ma situation de retraité 
J'ai découvert cette hausse par un mail qui ma été adressé le 1/04/21 l'échéancier étant daté du 30/03/21 et pour une application immédiate puisque j'ai été débité ce jour 13/04/21
Ce sont donc avec des pratiques de voyou que ces gens agissent 
Je recommande vivement d'éviter cette mutuelle, d'ailleurs ils ne sont vraisemblablement pas régis par le code mutualiste mais par le code des assureurs .... dont acte
</t>
  </si>
  <si>
    <t>jaja-57182</t>
  </si>
  <si>
    <t>Tres satisfait de vos services. J'ai eu un sinistre non responsable et jai été rapidement remboursé</t>
  </si>
  <si>
    <t>bv-96616</t>
  </si>
  <si>
    <t xml:space="preserve">Banque à éviter
Ne respecte pas le droit de changer d'assurance emprunteur, invoque des points administratifs et non légaux qui bloquent les opérations. Etablissement qui ne respecte pas ses propres engagements.
J'ai demandé un report d'échéance récemment ils m'ont envoyé un dossier à leur retourner signé 10 jours après sa réception. Le dossier a été renvoyé en express après les 10 jours de battements, ils m'ont répondu que mon envoi avait été trop tardif. Cet établissement n'est pas sérieux. Pendant 4 mois j'ai répondu à toutes leurs conditions sans aucun résultat avec au final une banque qui finit par changer d'avis subitement. A FUIR
</t>
  </si>
  <si>
    <t>24/08/2020</t>
  </si>
  <si>
    <t>malle-f-110446</t>
  </si>
  <si>
    <t>Pour l'instant a la souscription, c'est bien. Je donnerais plus mon avis a l'usage quand j'aurais besoin de mon assurance et non pas juste quand je signe et je paie.</t>
  </si>
  <si>
    <t>mboutserin-76575</t>
  </si>
  <si>
    <t>Sinistre 191342294 - Vol dans notre cave.
Un personne s'est infiltrée dans notre cave par effraction il y a 2 mois. Un VTT et de l'équipement VTT a été volé, valeur du matériel neuf, plus de 2000 euros. La MACIF a refusé la prise en charge du vol du matériel. J'ai alors rédigé une lettre de réclamation. Nouvelle lettre de refus envoyée par la MACIF. Motif du refus " Un cadenas ne peut être considéré comme un verrou ".
Je vous invite à faire des recherches des synonymes du mot "cadenas", vous verrez que dans de nombreux dictionnaires des synonymes, le mot "verrou" fait partie des synonymes du mot "cadenas".
Ça fait 15 ans que je suis sociétaire MACIF. J'ai demandé plusieurs RDV en agence pour discuter du sujet, par téléphone, par mail, sans réponse. J'ai essayé d'aller en agence, tout le monde se renvoi la balle, "c'est l'expert" , "c'est le service réclamation" , etc, etc.
Il me reste la possibilité de faire appel à un médiateur (délai moyen 3 mois).
Je vous laisse vous faire une idée, mais pour ma part je vais quitter la MACIF après 2 mois de bataille, un tel service client ne devrait pas être toléré.</t>
  </si>
  <si>
    <t>07/06/2019</t>
  </si>
  <si>
    <t>aissat-m-129983</t>
  </si>
  <si>
    <t xml:space="preserve">je suis satisfait du service et le prix est raisonnable je recommanderai cette assurance à toute personne aussi bien les jeunes conducteurs que les enciens </t>
  </si>
  <si>
    <t>jojo-99635</t>
  </si>
  <si>
    <t>Suite à un accrochage sur un parking où l'auteur a été identifié par deux témoins. Ce dernier a reconnu les faits. Après passage de l'expert trois mois plus tard, désigné par l'assurance, aucune réparation a été prise en compte. 
Je suis assuré tous risques.
 Merci l'assurance. 
Par contre pour sponsoriser des événements sportifs, ils sont présents.....</t>
  </si>
  <si>
    <t>dolphino94-64488</t>
  </si>
  <si>
    <t>J'ai eu comme contact au téléphone Erika" qui a parfaitement répondu a toutes mes attentes et qui m'a fourni avec grande gentillesse les précicions que j'attendais. Adhérent à la MGEN depuis de nombreuses années (40 ans) j'avoue que cette mutelle me pose quelques problèmes pour résilier le contrat qui me lie a eux. Ce n'est pas très "régloé ...!!!</t>
  </si>
  <si>
    <t>iroise-102371</t>
  </si>
  <si>
    <t xml:space="preserve">Je suis adhérent de la MGP depuis de nombreuses années. Je considère que le montant de la  cotisation mensuelle est excessive , chaque mois je règle 127,08 Euro. De nouveau elle a augmenté de 8,42 Euro, en pourcentage c'est une hausse de plus de 7 %, sachant que l'inflation en France est environ de l'ordre 1%. Chaque année la cotisation augmente.
De mémoire la MGP a trois niveaux de protection, actuellement j'ai le niveau le plus important nommé traditionnel. Il y a quelques années, je me suis renseigné pour acquitter moins , donc avoir une protection moindre, j'ai appris qu'au vu de mon âge, je me pourrais pas la suite revenir au niveau traditionnel. C'est contraignant. La MGP ne peut elle pas envisager que chaque adhérent opte pour une protection plus important dans tel domaine la vue, la dentition,---.Après une hospitalisation, la sécurité sociale , devrait  adresser le montant des frais à l'assuré, pour informer les uns et les autres du coût de la santé, de notre santé . J'ai oublié de préciser, j'acquitte chaque mois 127,08 Euro, sachant que je suis le seul adhérent de la MGP pour mon foyer. 
          Je me permets de vous souhaiter une bonne année à vous et votre équipe.                      </t>
  </si>
  <si>
    <t>eric-l-110629</t>
  </si>
  <si>
    <t xml:space="preserve">l'évolution du contrat me semble ne  pas correspondent à la situation ! il y a un trop gros écart entre le devis et la facture finale. Merci de faire correspondent vos tarifications avec les devis </t>
  </si>
  <si>
    <t>gadry-55958</t>
  </si>
  <si>
    <t xml:space="preserve">Du grand n'importe quoi, à la suite d'un sinistre on me demande d'avancer la franchise de plus de 300€ et qu'on me remboursera après que le garage leur enverrai la facture. Une fois payé on me dit que je ne serai pas remboursé. En plus de cela le garage me rend la voiture sale avec des bout de papiers qui traîne et autre et quand je récupère mon véhicule je m'aperçois que mon régulateur de vitesse ne fonctionne plus. Je fais demi-tour à peine 5min après  qu'on m'ai rendu ma voiture  et le comble. L'assurance le garage et l'expert me répondent que la réparation du régulateur est à ma charge. Je compte les attaquer en justice. </t>
  </si>
  <si>
    <t>11/07/2017</t>
  </si>
  <si>
    <t>mahfoudh-s-105266</t>
  </si>
  <si>
    <t xml:space="preserve">je suis client chez direct assurance depuis 2017 ,  lors de mon changement de véhicule j'au souscrit un  nouveaux contrat par appelle avec un conseillé, il dispose toutes les information de véhicule devant lui,  j'ai signé un nouveaux contrat et j'au reçu le certificat d'assurance provisoire..1 mois plus tard un conseillé me contacte pour m'annoncer que y'a une augmentation  sur les tarifs prévu dans le contrat car le conseillé a commis une erreur sur le bonus 20% au lieu de 15% alors qu'il avait le relevé d'information devant ses yeux et j'ai lui bien confirmer que je suis a 15%, malgré mes nombreuse appels j'ai aucun retour et ils m'ont bien confirmer que je serais rappelé dans un délais de 48 h , je suis a plus d'un mois et aucun appel , merci beaucoup indirect Assurance  </t>
  </si>
  <si>
    <t>nat-108521</t>
  </si>
  <si>
    <t xml:space="preserve">Pas là en cas de besoin ! Pas de courrier ni lettre avec AR pour prévenir s'il y a un soucis ! Pas moyen de s'arranger ! 
Résilie le contrat d'assurance sans être prévenu d'un impayé ! Ne veulent pas savoir ni entendre aucune explication ! 
</t>
  </si>
  <si>
    <t>sandyalves-52308</t>
  </si>
  <si>
    <t>Je suis outrée du service proposé par cette enseigne, cliente depuis 3 ans nous avons décidé de quitter notre assureur MMA pour assurer notre nouveau véhicule à MAAF qu'elle erreur.
Le conseiller n'a pas été transparent et n'a pensé qu'à son gagne pain faisant ainsi perdre une année de bonus à ma mère. Le service réclamation m'a assuré que le directeur d'agence allait modifier le bonus exceptionnellement et j'apprends aujourd'hui qu'il n'en fera rien. De plus lors d'un rendez-vous j'ai explicitement demandé au même conseiller de me rajouter en conductrice secondaire sur l'un de nos véhicules étant donné que le second allait être vendu et ainsi éviter que je ne sois plus assurée sur aucun véhicule. Ce dernier m'a assuré avoir fait le nécessaire et aujourd'hui j'apprends que ce n'est pas fait et que je me retrouve sur aucun contrat d'assurance auto.
Après un appel pour avoir des explications le directeur d'agence ainsi que le conseiller m'ont parlé d'une façon que je ne saurais décrire, de façon très hautaine avec pour menace "c'est ma parole contre la votre" je suis outrée et choquée de ce comportement qui n'est absolument pas professionnel.
Je travail en Banque je comprends qu'il y a des jours mauvais ou les clients peuvent être désagréable mais a aucun moment je n'ai employé des mauvaises paroles et j'estime que dans ce genre de métier il est inadmissible de traiter un client de la sorte.</t>
  </si>
  <si>
    <t>10/02/2017</t>
  </si>
  <si>
    <t>ikram-h-127730</t>
  </si>
  <si>
    <t>Je suis satisfaite de direct assurance, j’ai déjà mon assurance habitation je n’ai jamais eu de problème, les prix sont raisonnables pour un crédit auto.</t>
  </si>
  <si>
    <t>boniface-l-138142</t>
  </si>
  <si>
    <t>les tarifs des différentes polices d'assurances sont très compétitifs.
la souscription en ligne est simple et confortable.
avec une interface agréable.</t>
  </si>
  <si>
    <t>23/10/2021</t>
  </si>
  <si>
    <t>nazim-a-110214</t>
  </si>
  <si>
    <t>Je ne suis pas satisfait du service car vue le prix que je paye,. J'ai ouvert un sinistre depuis 4 jours et je n'ai pas été contacté par direct assurance !!!</t>
  </si>
  <si>
    <t>madi-70613</t>
  </si>
  <si>
    <t>Aucune réactivité de leurs part.
A quoi bon sert d'avoir une mutuelle qui ne fait aucun remboursement ?
Je déconseille très fortement..</t>
  </si>
  <si>
    <t>26/01/2019</t>
  </si>
  <si>
    <t>abdelkader-l-136428</t>
  </si>
  <si>
    <t xml:space="preserve">je suis satisfait pour toute reponse avec toute les equipe de l assurance l lolivier merci beaucoup j expere que j ai signe les 2 contrat que vous m avez en voyer </t>
  </si>
  <si>
    <t>12/11/2021</t>
  </si>
  <si>
    <t>abou-yahia-ameziane-z-115376</t>
  </si>
  <si>
    <t xml:space="preserve">Assurance responsable  je suis très satisfait de leurs services et réceptions, ainsi la communication sur le site L’olivier merci et bon continuation pour être les meilleurs </t>
  </si>
  <si>
    <t>tamarin-e-134038</t>
  </si>
  <si>
    <t xml:space="preserve">Parfait je recommande 
Niveau prix bien placé 
Excellent service téléphonique 
Répond rapidement 
Assurance complète 
Très bon accueil 
Devis rapide. </t>
  </si>
  <si>
    <t>alex-125189</t>
  </si>
  <si>
    <t>Déçu de cette assurance après + de 30 ans de souscription familiale à divers contrat. Un accident corporel où la responsabilité n'est pas encore établie et on vous invite à résilier avant qu'il ne le fasse. 
Le prix des contrats n'est quand même pas donner, donc on s'attend à plus de considération quand on a vraiment un problème. Car c'est à ce moment là qu'on a besoin d'une assurance. Ce n'est pas par plaisir que l'on débourse des sommes astronomiques chaque années. Et lorsque l'on a un accident, on est déjà suffisamment mal.
Tant pis, ils perdent l'ensemble des contrats familiaux sur 3 générations (5 assurances habitations, 5 assurances auto, 2 protections juridiques, 2 accidents de la vie, 1 garantie obsèques, 1 garantie perte de salaire) tous au maximum de garantie (tous risques confort), et tous n'ayant pas servi (aucun sinistre, aucune démarche) depuis 8 ans (dernière mise en oeuvre : garantie obsèques et accident de la vie). 
De plus, je trouve que les agences devraient être + au cœur du processus, et pas seulement des commerciaux de contrat. Car il est compliqué d'avoir des informations claires et fiables avec la hotline qui renvoie la responsabilité à l'agence, qui elle même renvoie à la hotline. L'assurance ce n'est pas juste payer ses cotisations chaque année, c'est aussi de l'humain. 
En résumé, je pense que, comme toutes les assurances, elles sont fiables du moment que vous n'avez pas de problème. Gare à vous si vous en avez un.</t>
  </si>
  <si>
    <t>28/07/2021</t>
  </si>
  <si>
    <t>icem-69265</t>
  </si>
  <si>
    <t xml:space="preserve">Bonjour je ne suis pas satisfait du traitement de mon sinistre que jai Eu avec ma voiture n etant Pas responsable j espèrerai Des réparations rapidement à ce jour aucune nouvelle ses inadmissible car mes cotisations sont payer </t>
  </si>
  <si>
    <t>10/12/2018</t>
  </si>
  <si>
    <t>pascalou-55583</t>
  </si>
  <si>
    <t>En invalidité depuis un an, le délai de versement de ma complémentaire catastrophique depuis deux mois.
Problèmes d'endettement en perspective pour avoir de la trésorerie pour compenser. Je suis très en colère. Réponse par mail de la mutuelle aujourd'hui mais inintelligible.</t>
  </si>
  <si>
    <t>23/06/2017</t>
  </si>
  <si>
    <t>stephane-c-121453</t>
  </si>
  <si>
    <t>Très satisfait de la simplicité de souscription du contrat habitation. Facilité pour joindre les documents tels que la pièce d'identité et la signature électronique est réellement un plus.</t>
  </si>
  <si>
    <t>sawab-n-136509</t>
  </si>
  <si>
    <t>Très satisfaite du service client très bon accueil et personnel très professionnel et agréable de plus je suis satisfaite des montants des cotisations et de la remise multiauto</t>
  </si>
  <si>
    <t>walt-74682</t>
  </si>
  <si>
    <t>hausse des tarifs en 12 ans de 250 . Le tarif passant de 22 eur à 77 eur. Pour rappel l'inflation a progressé sur la période de 15 %.
Service client inexistant. Un engagement de vous contacter dans les 72 heures jamais tenu et quasiment impossible de les joindre au téléphone
Des remboursements très faibles à peine plus d'un tiers de la facture du vétérinaire alors même que j'ai souscris la formule complète</t>
  </si>
  <si>
    <t>03/04/2019</t>
  </si>
  <si>
    <t>laetitia-j-112197</t>
  </si>
  <si>
    <t>je suis satisfaite du rapport qualité/prix: la couverture est satisfaisante et le prix pas excessif. je n'ai rien à signaler de négatif. continuez comme ça.</t>
  </si>
  <si>
    <t>nabilou-75732</t>
  </si>
  <si>
    <t>Service client déplorable une fois qu'on a réglé à l'année plus personne le jour d'un sinistre je n'arrives plus à les joindre depuis mon sinistre du 21/11/2018 cela fais bientôt 6mois que je n'arrives à avoir personne ils ont récupéré mes clef la carte grise et moi toujours dans l'attente Puis quand je veu les appeler mon numéro et directement diriger sur une messagerie à fuir surtout que je suis toujours assuré chez eux ayant payé à l'année !!!!!!</t>
  </si>
  <si>
    <t>12/05/2019</t>
  </si>
  <si>
    <t>cat-64660</t>
  </si>
  <si>
    <t>Je suis satisfaite de très l’interlocuteur que j'ai eu. Très bonne explication. .......................................................................................................................................................................</t>
  </si>
  <si>
    <t>11/06/2018</t>
  </si>
  <si>
    <t>frederic-b-108575</t>
  </si>
  <si>
    <t>Simple, rapide, efficace
prix raisonnables.
je suis satisfait des prestations et de la clarete du site et la facilité de souscription
je recommande Direct assurance</t>
  </si>
  <si>
    <t>eric-98206</t>
  </si>
  <si>
    <t>Bonne mutuelle dommage qu elle ne prenne pas les depassements d honoraire .Sinon rien a dire les remboursements sont rapides et les prestations sont bonne</t>
  </si>
  <si>
    <t>spina88-77982</t>
  </si>
  <si>
    <t xml:space="preserve">pour l heure je n ai rien demandé , donc à voir, par contre pas content de l augmentation des prix car l assurance est plus chere malgré l augmentation du bonus, j' étais à rattacher deux autres vehicules mais la on verra plus tard
</t>
  </si>
  <si>
    <t>pmz-75422</t>
  </si>
  <si>
    <t xml:space="preserve">Malgré plusieurs années de contrat sans sinistre le tarif est resté identique. Quand j'ai changer de moto la proposition d'AMV resté dans les tarifs les plus élevés. Dommage </t>
  </si>
  <si>
    <t>26/04/2019</t>
  </si>
  <si>
    <t>conge-maternite--101484</t>
  </si>
  <si>
    <t xml:space="preserve">Bonjour
J'ai déposé via mon espace internet ma demande d indemnités complémentaires de maternité le 21/09. J appelle on me dit que le délai de traitement est de 2 mois. Je rappelle passé le délai on me dit que le traitement est en cours et d attendre 10 jours pour le paiement. Passé les 10 jours je rappelle et là surprise "on a oublié de traiter mon dossier" la conseillère fait une réclamation. Je rappelle la semaine suivante donc ce 14/12 voici ce que l on me dit "il y a un délai d'attente de 3 mois pour traiter la réclamation"!!!!! Au vu des opinions d autres personnes dans mon cas j ai la désagréable impression que cette assurance est de mauvaise foi pour ne pas payer les indemnités dues dans un délai raisonnable. Le covid n est pas une excuse acceptable 2 mois d attente c est déjà long alors 5 mois !!! C est incompréhensible sachant que "l oubli de traitement" est dû à une erreur de votre part je n ai pas à en payer le prix mon dossier devrait être traité en priorité. Les temps sont durs pour tout le monde. Je déconseille fortement cette assurance à quiconque ils prélèvent bien mes cotisations en temps et en heure mais pour indemniser les adhérents ils ne sont pas corrects. </t>
  </si>
  <si>
    <t>claire-p-133362</t>
  </si>
  <si>
    <t>Bonjour
Très bien service reactif j en parlerais à mes amis me tenir informer de le résiliation auprès de la macif svp
Je vous souhaites une bonne journer</t>
  </si>
  <si>
    <t>roudoin-l-132639</t>
  </si>
  <si>
    <t xml:space="preserve">Je suis ravie de ce service merci infiniment.
Le service est pratique et compréhensible.
J'assure d'être dans votre équipe toute l'année.
Le prix est inbatable dans d'autre assurance.
</t>
  </si>
  <si>
    <t>n'guessan-f-134491</t>
  </si>
  <si>
    <t xml:space="preserve">simple et pratique les prix me conviennent je trouve que le service est satisfaisant dans la mesures ou j'ai pus me créer si vite un espace pour pouvoir suivre les activités concernant mon assurance </t>
  </si>
  <si>
    <t>levasseur-107993</t>
  </si>
  <si>
    <t>bonjour je viens d'appeler au sujet d'un souci de remboursement et j'ai eu une tres agreable jeune femme "EMELINE"qui m'a donné les renseignements escomptes 
car je vous avoue que j'etais tres en colère apres cette mutuelle !!!!
merci a elle de m avoir ecoutée et bien informée 
bonne journée a Emeline
Mr Levasseur</t>
  </si>
  <si>
    <t>mohamed-amine-b-129428</t>
  </si>
  <si>
    <t xml:space="preserve">Bonjour,             
Merci je suis globalement satisfait du service et des prix par rapport aux autres assureurs.
Cordialement.
Mohamed-Amine BOUHLEL </t>
  </si>
  <si>
    <t>darklinky-91134</t>
  </si>
  <si>
    <t>suite à un litige le service client m'a littéralement engueulé au téléphone, les conseillers clientèles devraient revoir les enseignements de base sur la politesse et comment bien recevoir un client car c'est loin d'être l'acquis, car moi qui suit de nature zen et anti stress j'ai fini par me retrouver en boule de nerf au téléphone alors que je souhaitais juste un renseignement suite à une incompréhension par rapport à mon contrat</t>
  </si>
  <si>
    <t>beot-e-116598</t>
  </si>
  <si>
    <t xml:space="preserve">Je suis satisfaite d'avoir pu souscrire mon contrat en quelques instants, sans avoir besoin de le déplacer. 
Rapide et efficace. 
Accueil très satisfaisant. </t>
  </si>
  <si>
    <t>riviere-s-114603</t>
  </si>
  <si>
    <t>Je suis satisfait des services proposés et du prix pour l'assurance de mon véhicule.
C'est simple d'utilisation et rapide à mettre en œuvre, j'espère être satisfait sur la durée du contrat.</t>
  </si>
  <si>
    <t>22/05/2021</t>
  </si>
  <si>
    <t>kevin-87147</t>
  </si>
  <si>
    <t>La pire assurance qui existe. 
Suite à un dégâts eaux dans l'immeuble ils mon laisser tomber de peur d'avoir à avancer des frais.</t>
  </si>
  <si>
    <t>harrize-62696</t>
  </si>
  <si>
    <t>Plus de 2 ans chez eux, résiliation qui se passe tres mal, il réclame tout simplement un semestre entier de cotisation pour le mois en cours</t>
  </si>
  <si>
    <t>27/03/2018</t>
  </si>
  <si>
    <t>rudy-l-126096</t>
  </si>
  <si>
    <t xml:space="preserve">Très agréable pour la souscription et des prix très raisonnable les descriptions sont très bien expliqué. J'espère que je ne serais pas déçu bien cordialement, 
Lelievre rudy </t>
  </si>
  <si>
    <t>matildp-76535</t>
  </si>
  <si>
    <t xml:space="preserve">Très bien renseignée et accompagné par la conseillère. 
Tarifs avantageux, merci. </t>
  </si>
  <si>
    <t>06/06/2019</t>
  </si>
  <si>
    <t>lu-77097</t>
  </si>
  <si>
    <t>Assurance chère, service client  "fonctionnaire". Aucun effort vis-à-vis du client.  J'ai resilié le contrat  et j'ai eu une facture supplémentaire car ils annulent la remise donné en cas de résiliation en cours d'année. (écrit nul part dans le contrat)</t>
  </si>
  <si>
    <t>mg-80589</t>
  </si>
  <si>
    <t>Fuyez la CNP !!!!
pour ma part j'ai une assurance emprunteur a la cnp pour un emprunt maison,
a 52 ans je suis en invalidité 2eme catégorie depuis 10 ans,j'ai perdu mon emploi a la suite de ce problème, la cnp ne reconnais pas mon invalidité , je n'ai aucun versement de leur part et je suis obligé de payer mon crédit avec 580 euros de revenus/mois de pension d'invalidité.
je peine a me nourrir et a payer mes charges (électricité, eau,assurances, et frais divers).
la CNP ne bouge pas malgré plusieurs demandes d'indemnisation.
voila la France. CNP, caisse NATIONALE de prévoyance...laissez moi rire (ou pleurer).
surtout évitez de prendre une assurance ou tout type de contrat chez eux !!!</t>
  </si>
  <si>
    <t>31/10/2019</t>
  </si>
  <si>
    <t>amwat-52354</t>
  </si>
  <si>
    <t xml:space="preserve">Bonjour,
Jusqu’à maintenant, je n’avais pas eu de problème avec la MGEN. Ayant pris ma retraite au 1 er septembre 2016, j’ai décidé de démissionner de cette mutuelle pour une autre moins chère et qui convient mieux à mes dépenses de santé, ce que j’ai fait mi octobre pour une prise d’effet le 1 er janvier 2017.
Mais pour faire annuler le précompte après démission, c'est la croix et la bannière! Les cotisations continuent à être prélevées malgré mes réclamations. Dans mon cas, la MGEN a même transféré le précompte sur ma pension SANS MON AUTORISATION (je n'avais pas renvoyé le formulaire puisque j'avais pris la décision de résilier mon contrat). De plus, le centre de gestion des retraites ne vérifie même pas si l'autorisation a été donnée ou pas, ce qui est un comble…  Actuellement, j'en suis au deuxième palier de la réclamation. Le délai de réponse de la MGEN est fixé, par elle-même, à 12 jours calendaires. Ce délai expire demain... Après-demain, j'enverrai donc une autre LRAR au médiateur. Et si je n'ai pas de réponse dans 12 jours, mon dossier (déjà prêt) partira au tribunal avec demande de remboursement sous astreinte des sommes indûment prélevées, versement des intérêts moratoires au taux légal, dommages et intérêts pour le préjudice subi et les frais engagés, condamnation aux entiers dépens (pour avoir déjà fait ce type de recours, je sais ce qu’il faut demander au juge, c’est pourquoi je l’indique ici).
J'engage tous ceux qui sont dans le même cas à faire de même (la procédure est simple, gratuite et rapide). On a le choix entre l'injonction de payer ou la déclaration au greffe du Tribunal dont on dépend. Pour plus d'infos, cf. le site "service public » qui indique comment monter son dossier et la différence entre les 2 procédures. Vous pouvez demander l’aide d’un avocat pour la rédaction du formulaire Cerfa, dont les honoraires vous seront remboursés en demandant au juge l’application de l’art. 700 (sur facture d’honoraires) en plus de ce que j’ai détaillé plus haut.
Par ailleurs, j’ai bien l’intention d’informer le ministère de l’Education Nationale de ces pratiques honteuses de la part de la MGEN car en parcourant le net sur ce sujet, je me suis aperçue que je n’étais pas la seule à en être victime.
</t>
  </si>
  <si>
    <t>12/02/2017</t>
  </si>
  <si>
    <t>pas-content-101120</t>
  </si>
  <si>
    <t>Souscription par mail en 2 clics.
Résiliation ! plus de 5 appels les interlocuteurs confondent LOI HAMON / LOI CHATEL 
 REfus d'acceptation de résiliation par mon nouvel assureur 
1 semaine avec Lettre en A/R 
J ai demandé la copie des enregistrements téléphoniques ET J ATENDS TOUJOURS APRES 15 jours</t>
  </si>
  <si>
    <t>leleu-e-121137</t>
  </si>
  <si>
    <t>J'ai pas trouver de meilleurs prix ailleurs pour les options dont j'ai besoin malgré de longues recherches. Le site est bien fait, très intuitif, il permet de ne pas se sentir noyer sous une tonne d'informations.</t>
  </si>
  <si>
    <t>james-l-136949</t>
  </si>
  <si>
    <t>Je suis satisfait du service, il est très simple et rapide. J'attend de voir ce que cela donnera avec le temps, mais jusque la tout ce passe super bien et sans soucis</t>
  </si>
  <si>
    <t>11/10/2021</t>
  </si>
  <si>
    <t>twix-61743</t>
  </si>
  <si>
    <t>prelevement douteux sur un contrat repris id macif ,  prelevement garantie corporel et civile non souscrite , malgré resiliation depuis bientot 1 ans , avec une assurance au tiers d id macif repris par la macif je me retrouce avec ce contrat non signé et toujours prelevé , fuyez cette assurance de veritable filou , je les assigne de suite et previens l inspection generale des assurances .mon avocat va s en occupé.</t>
  </si>
  <si>
    <t>25/02/2018</t>
  </si>
  <si>
    <t>perso03-86020</t>
  </si>
  <si>
    <t xml:space="preserve">Suite à mon vol de téléphone le 05/01/2020 j'ai appelé la macif pour déclarer le sinistre. J'ai précisé que je n'avais pas de téléphone et qu'il fallait me joindre uniquement par mail.
L'expert devait me joindre par mail nous somme le 23 et toujours rien.
Sachant que légalement ils ont un délais de 1 mois pour résoudre les vols. J'ai essayé la semaine dernière et cette semaine de joindre l'expert et la macif mais 10-15 min d'attente pour au final tomber sur une annonce disant de rappeler et quand j'appel la macif pareil pas de réponse jusqu'à 30 min !
N'ayant pas de téléphone prendre le téléphone des amis pour appeler et ne pas réussir à avoir quelqu'un est une honte ! La macif est une assurance et quand on a besoin d'eux il n'y a personne ! Je vais porter plainte ! Je suis aussi allée à l'agence à rueil le conseillé sur place à appelé un service (pareil 20 min d'attente) qui n'a pas répondu et comme il était 17h30 ( à cause de la durée d'attente ) le conseillé sur place m'a dit qu'il allait me donner des nouvelles par mail le lendemain mais pareil aucun retour même de la part de l'agence ! 
C'est une honte service désastreux ! </t>
  </si>
  <si>
    <t>23/01/2020</t>
  </si>
  <si>
    <t>crystal1166490-98893</t>
  </si>
  <si>
    <t>Je déconseille fortement cette assureur. J ai eu un sinistre mois de janvier malgré mes appels téléphoniques et nombreux mails restés sans réponse je suis toujours pas entièrement remboursée !Ce qui ne vous disent pas non plus franchise application d une franchise importante donc très mal indemnisée</t>
  </si>
  <si>
    <t>19/10/2020</t>
  </si>
  <si>
    <t>tonton13-99834</t>
  </si>
  <si>
    <t xml:space="preserve">Je suis très satisfait d'avoir souscris mon assurance auto chez L'olivier assurance,les tarifs sont très intéressants et le service après vente est très bien,vos conseillers sont à notre écoute,recevez mes salutations distinguées. </t>
  </si>
  <si>
    <t>07/11/2020</t>
  </si>
  <si>
    <t>ghostdrive93-95090</t>
  </si>
  <si>
    <t>La souscription a été facile avec l'aide d'un courtier au nom de ClikAssu.fr puis par contre l'assurance n'offre pas beaucoup d'avantage pour les anciens clients</t>
  </si>
  <si>
    <t>lolman-58259</t>
  </si>
  <si>
    <t>Assuré depuis plus de 2 ans a AXA, c'est beaucoup trop cher, étant un conducteur prudent je me dis que c'est le jeu au début, que le prix baisserai si j'ai aucun sinistre, c'est faux le prix ne fait q'augmenter, être un bon conducteur ne sert a rien car on paye pour les mauvais! INJUSTE</t>
  </si>
  <si>
    <t>21/10/2017</t>
  </si>
  <si>
    <t>grimm12-100988</t>
  </si>
  <si>
    <t xml:space="preserve">Assurance tout juste bonne à encaisser votre argent.
Je suis assuré tous risques pour mon auto chez direct assurance. Il y a 7 mois j'ai été percuté par un autre véhicule qui a prit la fuite.
Heureusement mon véhicule est équipé de cameras qui ont filmé la scène. Je suis donc en capacité de prouver mes dires et le tiers est clairement identifié.
Or depuis 7 mois, je circule toujours dans mon véhicule accidenté. Cet assureur tente de m'imposer le paiement d'une franchise imaginaire au motif que le tiers ne serait pas identifié et que je n'ai pas de témoin.
Un témoin pourrait raconter n'importe quoi. Or je suis en possession d'une preuve bien plus percutante mais on me refuse catégoriquement sa prise en compte et on fait trainer mon dossier au maximum.
La seule demarche qui a ete entreprise par direct assurance est un soit disant envoi de courrier de mise en cause du tier (courrier pour lequel on refuse de me communiquer la preuve d'envoi). Bien entendu le tier n'a pas donné suite donc pour direct assurance le dossier est clos et je devrais payer la franchise.
</t>
  </si>
  <si>
    <t>05/12/2020</t>
  </si>
  <si>
    <t>jacques-b-122555</t>
  </si>
  <si>
    <t>j'ai trois véhicules assuré chez vous,
je pense que le geste commercial aurait été le bien venu au moins pour le dernier véhicule, ou le dépannage zéro km ou le prêt d'une voiture en cas de panne...</t>
  </si>
  <si>
    <t>gonzalez-r-138706</t>
  </si>
  <si>
    <t>Cool très bien passé rapide et efficace a voir dans le temps si tout se passe pareil et si en cas de problème la réactivité est là même pour le moment très bien</t>
  </si>
  <si>
    <t>desfosses-e-139364</t>
  </si>
  <si>
    <t>Rapide, Efficace, tarifs compétitifs, bon service à la souscription, Franchises un peu élevé. Reste à voir à l'usage! Jusque là je recommande L'Olivier.</t>
  </si>
  <si>
    <t>10/11/2021</t>
  </si>
  <si>
    <t>franck-l-126588</t>
  </si>
  <si>
    <t>inscription rapide et prix attractif mais je ne sait pas encore ce que cette assurance vaut en cas de sinistre, en espérant ne pas m'en rendre compte rapidement</t>
  </si>
  <si>
    <t>edwin-n-106907</t>
  </si>
  <si>
    <t>C'est cool. Vraiment très cool, ma nouvelle voiture est en règle et je peux me débarrasser de l'ancienne sans sourciller, ça vas partir à la casse et ma nouvelle assurance me coute encore moins cher que l'ancienne!</t>
  </si>
  <si>
    <t>sandrine101269-70637</t>
  </si>
  <si>
    <t>J ai été fortement contrariée pour l augmentation de ma franchise de 100 à 400 euros suite à 2 accidents en 2 ans dont un non responsable</t>
  </si>
  <si>
    <t>ami-113404</t>
  </si>
  <si>
    <t>Une mutuelle à l'écoute,un réseau de délégués  de proximité élus,identifié et efficaces.
UN rapport qualité prix finement réglé à hauteur des prestations et  allocations diverses versées  à ses personnes protégées</t>
  </si>
  <si>
    <t>fabre-t-123120</t>
  </si>
  <si>
    <t>Pour l'instant tout va bien !
Le tarif est intéressant et le contact est bon.
Pas forcément évident de s'y retrouver sur le site pour changement d'adresse mail et de compte bancaire.</t>
  </si>
  <si>
    <t>phil-88897</t>
  </si>
  <si>
    <t>une catastrophe...à fuir!!tout est beau dans les annonces ( y compris la photo du président) mais dans la réalité c'est à pleurer...de rage! Je cherche pour remplir les 200 caractères minimum</t>
  </si>
  <si>
    <t>15/04/2020</t>
  </si>
  <si>
    <t>jpag66-81508</t>
  </si>
  <si>
    <t>Tres bonne assurance, dommage que contrats les prix soient élevé même quand on a plusieurs contrats habitations , voitures , moto</t>
  </si>
  <si>
    <t>30/11/2019</t>
  </si>
  <si>
    <t>zoubir-b-123087</t>
  </si>
  <si>
    <t xml:space="preserve">simple et pratique, pas de difficultés particulières, prix corrects , contact et disponibilité.
 Comment obtenir ma vignette crit'air 2. merci.              </t>
  </si>
  <si>
    <t>pomknell97-78721</t>
  </si>
  <si>
    <t xml:space="preserve">Complètement déçue de mon expérience avec l'Olivier Assurance ... En effet à première vue le tarif est intéressant car très abordable cependant lorsque vous avez un pépin là vous regrettez même d'avoir déboursé CE "tarif abordable" !!!!
Mon véhicule a été incendié en date du 15/07, déclaration faîtes dans la foulée le même jour en indiquant que le véhicule se retrouvait en stationnement gênant qu'il devait rapidement faire intervenir une remorque afin de procéder à son enlèvement. Depuis cette date, j'appelle tous les 2 jours voire tous les jours de manière à ce que mon véhicule soit enfin expertisé! Bien évidemment et suite à leur inaction, mon véhicule a été retiré par la fourrière. je vous passe donc les démarches auprès du commissariat afin d'obtenir la mainlevée de fourrière pour qu'ensuite j'aille le remettre en MAIN-PROPRE à la fourrière ! En d'autre terme ce que j'ai déboursé mensuellement pour cette assurance correspond au travail que je fais à leur place en me déplaçant moi-même chez les différents acteurs et en les contactant moi-même (fourrière, commissariat, expert et garage). Aujourd'hui je suis dans la panade parce que je dois rendre un véhicule de prêt (prêté pour 7 jours uniquement), je dis bien UNIQUEMENT quand on sait que mon sinistre n'est toujours pas solutionné au bout de 1 mois et 11 jours et qu'au-delà je dois me débrouillé pour me déplacer avec mes 2 enfants! Inutile de vous dire que je suis toujours prélevé depuis la date de mon sinistre. Une lettre recommandée a été envoyé au service réclamation pour laquelle je n'ai toujours pas eu de retour. En bref si vous souscrivez à cette assurance, c'est à vos risques et périls.
</t>
  </si>
  <si>
    <t>27/08/2019</t>
  </si>
  <si>
    <t>mohamed-h-123605</t>
  </si>
  <si>
    <t>* RAPIDITÉ
* PROFESSIONNALISME
* MOINS CHER QU'UNE AGENCE , MEILLEURS PRIX ET ACCUEIL
* LE MEILLEUR DU NUMÉRIQUE AVEC LA QUALITÉ DE CONSEIL D'UNE AGENCE PHYSIQUE</t>
  </si>
  <si>
    <t>faouzi-85828</t>
  </si>
  <si>
    <t>Assurance très limiter, aucun professionnalisme à éviter le jour ou vous aurez un litige vous allez le regretter. Et si vous réclamer ils vous mettent en relation avec leurs avocats. Le service militant ne sert à rien de toute façon le terme militant je sais pas pourquoi ils l'utilisent.</t>
  </si>
  <si>
    <t>13/01/2020</t>
  </si>
  <si>
    <t>alban-g-105179</t>
  </si>
  <si>
    <t xml:space="preserve">très satisfait , particulièrement des contact et prises en charges lors d un sinistre ou de toutes demande, accueil  très bien , réponses claires et rapide aux problèmes soulever </t>
  </si>
  <si>
    <t>therie-106355</t>
  </si>
  <si>
    <t xml:space="preserve">Il est extrêmement compliqué d'accéder à ses comptes. De plus, le déblocage des codes secret se fait uniquement par courrier! Là où il faut 6 chiffres, j'en reçois que 5!
1 mois que j'essaie de me connecter impossible. Dommage pour un groupe aussi important.
</t>
  </si>
  <si>
    <t>miniare-g-125841</t>
  </si>
  <si>
    <t xml:space="preserve">Je suis satisfaite…. Je suis convient pour le prix pour la premier fois chez eux tant j’ai jamais fais chez assurance pendant 5 ans je susi deuxième conducteur avec mon ex mari </t>
  </si>
  <si>
    <t>bourbia-a-138378</t>
  </si>
  <si>
    <t xml:space="preserve">Très satisfait, le tarif est un peu chère !
Veuillez agréer madame monsieur l'expression de mes salutations distinguées 
Mr:
Bourbia 
Abdelhamid 
</t>
  </si>
  <si>
    <t>27/10/2021</t>
  </si>
  <si>
    <t>bd-54229</t>
  </si>
  <si>
    <t>Mutuelle obligatoire d'entreprise. En 2 ans, doublement des tarifs et diminutions des prestations. Que dire d'autres ? 
A si, un système informatique et gaspillage permanent, je connais des externes payés plus de 500€ par jour à qui on ne confie aucune tâche pendant plusieurs semaines et ils sont nombreux dans cette situation. Une honte !</t>
  </si>
  <si>
    <t>23/04/2017</t>
  </si>
  <si>
    <t>lombe-90322</t>
  </si>
  <si>
    <t>cela fait 1 mois et demi qu'on me mène en bateau juste pour avoir le gestionnaire de mon dossier sinistre!! Il me donne des rendez-vous telephonique qui ne sont pas honorés depuis 1 mois et demi !! Aujourd'hui il m'ont appeler j'ai pas pu decrocher je les est rappelez 1 min après ils m'ont dit qu'il fallais pas rater l'appelle et ils m'ont redonnez un rendez-vous telephonique dans 1 semaine ( donc je doit patienter 2 semaine pour avoir un simple gestionnaire de sinistre ). Depuis le 30 Avril 2020 je suis sans véhicule, et bien sur sans reponse concernant l'avancement de mon sinistre.Pourtant pour me prelevé 115euros  par mois ils sont assidus ! Je ne souhaite qu'avoir des information concernant l'avancement de mon sinistre et pour cette simple demande ils sont incapable.
Je dois avancer les frais de réparations de mon véhicule qui s'élève a plus de 3000 euros mais apres avoir lu les commentaire des differents assurée je pense qu'il me remboursement en 2021.</t>
  </si>
  <si>
    <t>08/06/2020</t>
  </si>
  <si>
    <t>tibooboo-54244</t>
  </si>
  <si>
    <t xml:space="preserve">un an et demi après un sinistre dont je ne suis pas responsable, je ne suis toujours pas remboursée..... une proposition de "geste commerciale compte tenue de ma fidélité" me laisse penser à une alliance entre assurance, car n'étant pas responsable, c'est l'assurance de la société ayant fait défaut chez moi qui me doit de l'argent.... comment faire un geste commercial quand ce n'est pas mon assurance qui paie???? </t>
  </si>
  <si>
    <t>24/04/2017</t>
  </si>
  <si>
    <t>gaboumimo-63219</t>
  </si>
  <si>
    <t>Assurance ignoble
Après une prise en charge de 20 mois, mon médecin traitant leur adresse un courrier précisant une mise en invalidité, Afi esca me fait expertiser, pour savoir si mon état correspond à leur définition de l'arrêt de travail.
L'expert mandaté est une vieille connaissance, il a été autrefois de mon côté en étant mon médecin de recours pour la même pathologie !! Normalement il aurait du être dessaisi du dossier, mais il a réalisé l'expertise.
Il a à peine regardé mes examens, à mentionné que j'avais des problèmes importants, et curieusement a conclu que j'étais Apte à un travail à temps complet.
Le comble c'est qu'il a retenu une date pour l'aptitude, le 21 mars 2019, un jeudi, en plein milieu d'un mois. Après vérification des éléments de mon dossier, je constate que le 21 mars est la date d'un professeur du CHU mentionnant que je dois partir en invalidité devant un handicap et des douleurs importantes. 
De toute évidence Afi Esca a mis un terme à ma prise en charge avant que l'invalidité inéluctable ne lui soit indiquée.
Ayant lu beaucoup d'avis similaires je constate que cet assureur est ignoble, fermant les dossiers pour éviter de rembourser. 
A fuir.</t>
  </si>
  <si>
    <t>Afi Esca</t>
  </si>
  <si>
    <t>05/06/2019</t>
  </si>
  <si>
    <t>manu-123283</t>
  </si>
  <si>
    <t>Lors de la souscription d'un contrat, cet assureur est très attentionné. Je n'ai aucun avis sur sa gestion des sinistres n'en n'ayant déclaré aucun. En revanche, lorsque j'ai voulu résilier en 2021, suite à une hausse très élevée très tarifs (+10 % environ, sans aucune raison objective), j'ai constaté une mauvaise volonté évidente (difficulté à obtenir un relevé de situation, refus de prendre en compte la demande présentée par mon nouvel assureur, refus de prise en compte d'une demande en ligne au motif -inexact- de l'absence de document signé... et prélèvement de la nouvelle prime près d'un mois avant l'échéance...</t>
  </si>
  <si>
    <t>13/07/2021</t>
  </si>
  <si>
    <t>milioni2000-54660</t>
  </si>
  <si>
    <t>Suite à une collision en Belgique , j'étais en stationnement et on a percuté mon véhicule , aile et portière endommagé , je fais un constat à l'amiable , la partie adverse reconnais qu'il es en tort.J’envoie le constat , au téléphone le conseiller de Direct assurance me dit de déposé le véhicule au garage pour expertise , 1100€ de frais de réparation , je la fais donc réparer , 15 jours plus tard le garage me téléphone , je peux reprendre mon véhicule les réparation sont faite mais surprise quand j'arrive au garage , Direct assurance ne veux pas payé la facture ah bon ????    je tél a l'assurance et on me dis qu'il ne paye pas la facture POURQUOI ??????
ils me semble pourtant normale que Direct assurance paye et se retourne vers la partie adverse pour  ce faire rembourser , autrement dite moi pourquoi on dois prendre une assurance numéro de dossier est le 509258567.</t>
  </si>
  <si>
    <t>13/05/2017</t>
  </si>
  <si>
    <t>sandrine-49758</t>
  </si>
  <si>
    <t>je fais suite au commentaire laissé hier soir, après de nombreux échanges pas toujours fructueux, le sercive réclamation vient de me confirmer ma demande de résiliation. Je reste juste en attente des certificats de radiations qui devraient suivre. Enfin un point positif dans cette expérience</t>
  </si>
  <si>
    <t>milly1-133115</t>
  </si>
  <si>
    <t>je voudrais juste remercier Aminata" une agente avec qui j'ai échangée pour m'aider a valider mon adhésion et demander quelque autres renseignements.
Ca a été fluide elle a été efficace. Maintenant je suis encore nouvelle dans cette mutuelle santé a ce niveau je ne pourrais pas dire plus.</t>
  </si>
  <si>
    <t>rintintin-136926</t>
  </si>
  <si>
    <t xml:space="preserve">Merci Alassane pour avoir pris le temps de m’envoyer les documents de résiliation que j’avais du mal à obtenir .
Vous avez été aimable et patient 
Cordialement 
</t>
  </si>
  <si>
    <t>gilles-v-114967</t>
  </si>
  <si>
    <t xml:space="preserve">une augmentation de tarif de 32 euros malgré un bonus à 50.... pas de sinistres au cours de l'année...vous ne savez pas récompenser les bon conducteurs </t>
  </si>
  <si>
    <t>jacqueline-g-129343</t>
  </si>
  <si>
    <t>Je suis satisfait du service.
Equipe au top.
Service rapide.
Devis bien détaillé. 
Assurance excellente 
Pas le 1er contrat chez eux et jamais déçu.
A+++</t>
  </si>
  <si>
    <t>lamda-123839</t>
  </si>
  <si>
    <t>SAVEZ - VOUS QUE LA MAIF NE VOUS OFFRE DE VEHICULE DE REMPLACEMENT - en cas de panne ou accident - QUE SI LE SINISTRE A LIEU EN FRANCE (Métropole +DOM /TOM) ?
Il m'aura fallu 50 ans d'assurance pour m'en convaincre :-(
Pour plus de précisions , voir Contrat-MAIF .</t>
  </si>
  <si>
    <t>tajeddini-r-117291</t>
  </si>
  <si>
    <t xml:space="preserve">Sans problème. Réponse rapide et personnalisée. Explications claires et complètes. L'envoi rapide et signature facile. Nous espérons que ceci continue bien. </t>
  </si>
  <si>
    <t>eve-79907</t>
  </si>
  <si>
    <t>Je pense que tant qu'il n'y a pas de sinistre à gérer, il est difficile d'apporter un avis objectif sur l'assureur.</t>
  </si>
  <si>
    <t>10/10/2019</t>
  </si>
  <si>
    <t>service--deplorable-97138</t>
  </si>
  <si>
    <t>J'ai fais réaliser 2 devis dentaire comparatif fin juillet, n'ayant pas de réponse je rappel 2 semaines plus tard on me dis qu'il faut attendre un délai de 20 jours, bon..
Je rappel le 17 Aout , en attendant bien entendu 10 minutes au téléphone à chaque fois , on me dit que ça sera traité avant la fin de la semaine, je passe les détails mais je les appel toutes les semaines on me dit que ce sera traité, je reçoit un premier devis le 29/aout ok 1 sur 2 c'est un début mais pour un comparatif c'est pas très utile, depuis j'appel 2 fois par semaine, au cas ou histoire qu'il ne m'oublies pas on me dis à chaque fois que c'est en cours de traitement.
6 Semaines pour un devis.</t>
  </si>
  <si>
    <t>08/09/2020</t>
  </si>
  <si>
    <t>coffi-christian-marc-g-110115</t>
  </si>
  <si>
    <t>Les prix et le système de bonus BONNES CONDUITES sont des avantages indéniables.
A l'opposé la gestion des sinistres et le service clients sont plus que des faiblesses (des repoussoirs une fois qu'on y a été confronté)
Justement après un sinistre extrêmement mal géré par vos services et le professionnel auto, je vous quitte sans possibilités de vous recommander !!!</t>
  </si>
  <si>
    <t>valerie-s-127387</t>
  </si>
  <si>
    <t xml:space="preserve">satisfaction du service mais les prix trop élevés et les nombreux documents échéanciers sont un peu difficiles à suivre  
globalement satisfaite des services et du site </t>
  </si>
  <si>
    <t>fred-138962</t>
  </si>
  <si>
    <t xml:space="preserve">La  Maif a rejoint la cohorte des assureurs  enjoints à faire du chiffre ou en tout cas à dépenser le moins possible pour ses adhérents.
Nous avons subi un dommage sur le mur de notre propriété le 25 juillet dernier très certainement lié à un défaut d'étanchéité au niveau d'un appentis construit par notre voisin contre celui-ci. Cette absence d'étanchéité a  probablement empêché de canaliser l'eau de pluie hors de notre mur et a pu provoquer son éboulement sur l'emprise notamment de cet appentis, ce qui n'a pas eu lieu ailleurs.
 Il se trouve que mon mari possède de par son métier d'ingénieur en bâtiment et directeur de travaux une certaine expertise précisément dans ce domaine des écoulements d'eau. 
Également capables de donner leur avis, les trois entrepreneurs venus établir un devis ont émis la même hypothèse. (devis 8900€ on comprend bien sûr que la Maif missionne un expert)
Nous avons attendu presque un mois et demi qu'un expert passe chez nous (17 septembre) puis un mois et demi encore après 5 mails de relance et de nombreux appels auprès de la MAIF pour qu'elle nous envoie le rapport (29 octobre)...
Un rapport à charge après une mascarade d'expertise : moins de 10 minutes au pas de charge un « expert » conclut devant nous que nos hypothèses (entreprises et mon mari) sont malvenues et que l'écroulement n'est que « le fruit du hasard ». Ses conclusions étaient prêtes avant qu'il passe la porte et je passe sur le ton et l'attitude de ce monsieur. J'en fait part immédiatement à la MAIF qui dit "comprendre"...
Le pire est que dans le rapport figurent certes des éléments de jugement techniques, mais également des opinions totalement subjectives et choquantes, à savoir que l'éboulement n'est pas seulement le « fruit du hasard » comme déclaré oralement mais est également dû – je cite le rapport - à la vétusté et à un défaut d'entretien manifeste ! On ne sait jamais au cas où nous aurions un autre sinistre… Comme il a un avis différent du nôtre, nous sommes de mauvais sociétaires qui entretenons mal leur patrimoine. 
En cas de désaccord, la MAIF nous propose donc de recevoir une deuxième fois ce monsieur avec un autre expert que nous nommerions (2200€ à notre charge), et si cette contre-expertise ne va pas dans le sens de la MAIF, une troisième expertise partagée cette fois entre elle et nous. Soit au bas mot plus de 3000€. Ils savent bien nous décourager.
C'est la deuxième fois que la MAIF diligente une expertise qui l'arrange. En 2013 j'avais été victime d'un accident, reconnue par la MAIF totalement non responsable, une voiture ayant percuté, par l'arrière, mon véhicule. En toute confiance, j'avais remis celui-ci à une grosse enseigne agréée où un expert MAIF avait décidé avec le patron du garage que les réparations dépasseraient de presque le double, la valeur de mon véhicule. Stupéfaction de ma part, alors que ma voiture était encore cotée 5200€, de lire que sa valeur « expert » étaient de 2500€ et les réparations chiffrées 4222€. Economiquement non réparable mais TECHNIQUEMENT réparable. J'ai dit à la MAIF que je voulais saisir le médiateur et que j'avais monté un dossier en recherchant sur les journaux et les sites de référence des annonces de ventes de ma voitures mêmes options même région même kilométrage. En effet, il m'était très difficile de comprendre pourquoi un véhicule techniquement réparable ne peut pas l'être justement parce que la MAIF en a économiquement décidé ainsi. Pour eux c'est très simple : il suffit qu'un expert missionné et payé par eux aboutisse à une sous-estimation importante de la valeur réelle de remplacement d'un véhicule. 
 L'expert m'a rappelée et m'a proposé 2823€ à la condition que j'accepte de délaisser mon véhicule au profit de la MAIF.
 J'ai eu l'immense chance d'avoir à ce moment-là un père d'élève qui m'a éclairé sur ce genre de pratique. Ce père d'élève, marchand de véhicules automobiles, m'a parlé de cette bourse aux voitures parallèle, bien connue des personnes comme lui, puisque c'était son fond de commerce, sur lesquelles on retrouve des voitures peu accidentées comme la mienne à l'époque mais surfacturées par l'expert et le garagiste afin d'être récupérées, réparées et remises sur le marché à moindre frais.
 Un employé carrossier de ce grand garage m'avait glissé en aparté « votre voiture Madame elle est tout à fait réparable, c'est que de la carrosserie  vous avez bien raison de la récupérer et de ne  pas vous laisser faire, mais des situations comme çà c'est souvent qu'on en voit passer… bon courage à vous ». Je n'ai donc pas signé, j'ai vendu mon véhicule à mon père d'élève 500€, il l'a remis en état avec son carrossier qui a réparé les tôles (et non remplacé celles-ci systématiquement) et pratiqué un taux horaire normal. Pour 2000€, ma voiture a été réparée, expertisée et revendue 5200€. J'étais assurée tous risques, bonus de 50%,  j'ai perdu ma voiture et n'ai reçu que 2823€ de la MAIF plus 500€ pour la vente de celle-ci à mon père d'élève. J'ai dû ajouter 2000€ pour me racheter une petite Aygo. Je n'ai eu que la satisfaction de ne pas participer à ce cirque et de permettre à mon père d'élève de travailler honnêtement.
 Les autres conseils qu'il m'a prodigués d'ailleurs sont les suivants : ne pas laisser sa voiture dans un grand garage où les experts ont leurs « habitudes », connaissent bien les patrons et où ils n'hésitent pas à  gonfler le coût des réparations, vous décourager de garder et faire réparer votre véhicule en vous annonçant des réparations exorbitantes mais remettre son véhicule au petit garage de son choix, celui où l'on a ses habitudes et surtout être présent le jour de l'expertise au moment du chiffrage des pièces et de la note finale et éventuellement se faire accompagner par quelqu'un du métier pour éviter toute dérive ou abus. J'ai voulu les quitter à l'époque mais j'ai lu que ce mode de fonctionnement était  répandue quelle que soit l'assurance et que si un tel problème se représentait, je saisirais un expert auprès du SEI (syndicat des experts indépendants non liés à UN assureur).
Voilà, bientôt 40 ans à la MAIF et deux sinistres « importants », non accompagnés correctement. On pourrait croire qu'une mutuelle qui ne reverse pas ses bénéfices à des actionnaires a un tout autre fonctionnement qu'une assurance privée. Il n'en est rien et je l'ai de plus en plus constaté autour de moi dans le métier. J'ai toujours payé plus cher qu'ailleurs persuadée qu'ils étaient éthiquement "au-dessus" des autres et peut-être de ma part une pointe de corporatisme mal placée. Cela a sans doute été le cas lorsque j'étais enfant et que ma famille (parents instituteurs) était déjà à la MAIF. Ce n'est plus d'actualité. Pour conclure la MAIF c'est bien, ils sont sympas au téléphone, les conseillers clientèle ont toujours été très disponibles, rien à dire, mais in fine il ne faut pas leur coûter cher et ne surtout pas avoir affaire à leurs experts. 
Avec beaucoup d'amertume et une énorme déception, je vais donc résilier tous mes contrats.
</t>
  </si>
  <si>
    <t>typhaine-m-106436</t>
  </si>
  <si>
    <t xml:space="preserve">Un peu tôt pour donner un avis, mais les prix me conviennent de prime à bord et le service proposé est adapté à mes besoins. J'espère que l'assurance conviendra en cas de problème. </t>
  </si>
  <si>
    <t>djoubob-67663</t>
  </si>
  <si>
    <t>Tarif imbattables
Rapide
Référence motard
Je n'ai pas eu de démarche a faire vis a vis de mon véhicule, pour le moment.</t>
  </si>
  <si>
    <t>14/10/2018</t>
  </si>
  <si>
    <t>avkash-55087</t>
  </si>
  <si>
    <t xml:space="preserve">bonjour,nous concernant.avec ma petite soeur,nous avons 300e a recuperer.
Apres un a/r en 2014,ils nous contacte en oct 2016.
depuis ,ons se fait baladè...
</t>
  </si>
  <si>
    <t>alain-108851</t>
  </si>
  <si>
    <t xml:space="preserve">OUBLIER MON MOT DE PASSE.ECHEC APRES PLUSIEURS TENTATIVES.HARMONIE MUTUELLE DE PLERIN (COTES D'ARMOR) NE PEUT RIEN FAIRE.(PREMIERE ET DERNIERE ANNEE) </t>
  </si>
  <si>
    <t>baiona64-55394</t>
  </si>
  <si>
    <t>Client depuis de plus 10ans chez eux, je constate que leurs tarifs ne sont plus compétitifs par rapport à la concurrence. Je leur demande de s'aligner et en echange je leur propose même d'assurer mon logement et mon scooter la reponse a été non! Ils n'ont pas voulu faire des efforts!pourtant je leur menacé de changer d'assurance et bien ca les derange pas! Drole de politique!! C'est à eviter tout simplement!!!</t>
  </si>
  <si>
    <t>15/06/2017</t>
  </si>
  <si>
    <t>moi-49549</t>
  </si>
  <si>
    <t>habitation : chère   Suite à la récente tempête: arbres arrachés ou tombés. Pas de remboursement.
Client GMF depuis plus de 40 ans pour toutes mes assurances. sans sinistre.</t>
  </si>
  <si>
    <t>ruayna-h-109199</t>
  </si>
  <si>
    <t>PRATIQUE, SIMPLE,  FACILE DE CREER SON CONTRAT, GARANTIES CORRECTES
RAPIDE, RECOMMANDÉ PAR UN AMI, RESILIATION LOI HAMON OK
PRIX COMPETITIF
SITE INTERNET CONVIVIAL</t>
  </si>
  <si>
    <t>gisele-67533</t>
  </si>
  <si>
    <t xml:space="preserve">C'est la mutuelle qui correspond le mieux à nos besoins.rapport qualité/prix </t>
  </si>
  <si>
    <t>10/10/2018</t>
  </si>
  <si>
    <t>kiki1823-99088</t>
  </si>
  <si>
    <t xml:space="preserve">très bonne mutuel ,très bon accueil j'ai été bien accueilli les réponses a mes questions ont été très claires. j'ai pu obtenir les renseignements que je voulais. </t>
  </si>
  <si>
    <t>22/10/2020</t>
  </si>
  <si>
    <t>lulu85-87272</t>
  </si>
  <si>
    <t>Et bien, en fait je n'ai aucun sinistre avec la macif et n'en ai jamais eu mais j'avoue qu'à la lecture de tous ces commentaires négatifs voire très négatifs, je vais certainement résilier mes contrats car je lis de partout qu'il n'a pas de gestionnaire de sinistre alors que c'est la base même du travail d'une assurance.
Je vais jouer la carte de la sécurité et m'en aller car la confiance envers une assurance est primordiale et là, j'avoue qu'elle est rompue.
A ce titre, je comprends maintenant pourquoi leurs tarifs sont compétitifs!!
Cordialement</t>
  </si>
  <si>
    <t>jean-charles-s-129225</t>
  </si>
  <si>
    <t xml:space="preserve">Le suivi est rapide, les explications sont claires, bon ratio assurance / prix,  cest je pense un bon choix, l'avenir le dira. Merci, Cordialement, Jean-Charles </t>
  </si>
  <si>
    <t>oiseauge-51501</t>
  </si>
  <si>
    <t>Option supplémentaire payante: "0 km en cas d'accident et de panne (Voir Dispositions Personnelles)". Mais en réalité ne vous couvre pas en cas de panne, car cette garantie EUROFIL couvre la panne de carburant... Quelle honte !</t>
  </si>
  <si>
    <t>20/01/2017</t>
  </si>
  <si>
    <t>st-103861</t>
  </si>
  <si>
    <t xml:space="preserve">A FUIR. Après plus de 30 ans de cotisation 50% de bonus depuis + de 5ans  il me radie car 4 sinistres non responsable en 5 ans dont 2 bris de glaces (pare brise sur autoroute et  vandalisme sur la custode). Aucune explication simple lettre recommandée . SCANDALEUX .... </t>
  </si>
  <si>
    <t>09/02/2021</t>
  </si>
  <si>
    <t>sousou-72292</t>
  </si>
  <si>
    <t>Bonjour, 
Ma cotisation prevoyance a augmenté de 44,43% en 10 mois ! J'essaie de joindre quelqu'un depuis décembre, on doit tjs me rappeler. Le 14/01 ma demande a même été clôturée s
par erreur... En agence, on ne sait que dire qu'on fait une relance, qu'il y a eu une erreur, ce sera rectifié ! Après signature du contrat, le service est déplorable, plus possible de joindre qui que ce soit ! Quand allez-vous prendre en charge mon dossier ??? Votre manière d'agir et de traiter vos clients est scandaleuse !</t>
  </si>
  <si>
    <t>19/03/2019</t>
  </si>
  <si>
    <t>philippe-v-112270</t>
  </si>
  <si>
    <t>fiable et efficace j'ai tout chez vous et je n'ai pas de raison d'aller ailleurs pour gagner qq € qui seront perdu avec la franchise ..................</t>
  </si>
  <si>
    <t>gilbert-h-126883</t>
  </si>
  <si>
    <t>parfait. Prix imbattable et superbes option "'casse mécanique" à un prix immanquable. 
Conseiller charmant et très professionnel. APRIL Auto est à conseiller.</t>
  </si>
  <si>
    <t>gerald-g-116068</t>
  </si>
  <si>
    <t>Je suis satisfait du service, sauf pour la qualité des conseils donnés par le service téléphonique.
Incapable de répondre aux questions posées et de donner un conseil.
Je retourne chez April moto car j'y avait déjà une assurance moto et tout s'était bien passé.</t>
  </si>
  <si>
    <t>mamylou-136469</t>
  </si>
  <si>
    <t>Bien conseillée pour ma demande de prise en charge hospitalière et bien aidé par PAPE. maintenant à voir la suite .
Par contre, pour faire la demande sur leur site, pas facile. Je devais mettre la ville du centre hospitalier, et ça ne marchait pas. c'est pour cette raison que j'ai du les appeler.</t>
  </si>
  <si>
    <t>oscar-alejandro--92191</t>
  </si>
  <si>
    <t xml:space="preserve">J’aurais souhaité moins cher, car la voiture est vielle est je pence q c’est trop chère mais bon, si après par le temps il y a moins cher je suis partant 
</t>
  </si>
  <si>
    <t>25/06/2020</t>
  </si>
  <si>
    <t>laurent-85282</t>
  </si>
  <si>
    <t>Assurance a fuir paiement de cotisation et aucune carte verte en retour. malgré les différents mails envoyés ils prennent la cotisation et font les morts. Déçu également des comparateurs qui osent mettre ces assurances en référencement</t>
  </si>
  <si>
    <t>27/12/2019</t>
  </si>
  <si>
    <t>deborahg-114874</t>
  </si>
  <si>
    <t>MEFIEZ VOUS DE CETTE ASSURANCE !!!!!!
Parce qu'il est pas possible de mettre zéro étoile. 
Nous nous sommes fait volés nos vélos un week end dans notre box dans un parking privé fermé, la corpopriété refuse qu'on mette une tôle en haut pour le sécurisé. 
Les voleurs sont passés par le haut (une barre en haut a été pliée par leur passage) et sont ressortis en ouvrant de l'intérieur. 
Pour Pacifica il n'y a pas d'effraction donc nous ne seront jamais assurés pour le vol !!</t>
  </si>
  <si>
    <t>jeremyc59-66924</t>
  </si>
  <si>
    <t>Souscription d'une assurance vie en février 2018, l'espace client via internet n'a pas fonctionné avant le mois de juillet ils m'ont fait parvenir de multiples mot de passe avant que cela ne fonctionne, cependant le site était soit 10 ans en maintenance donc impossible de voir mon placement et de vérifier les sommes déposées.
Aujourd'hui le site n'est plus du tout accessible, strictement aucun contact à appeler !!!!
Je me sauve de chez eux !!!!</t>
  </si>
  <si>
    <t>mathieu-x-128974</t>
  </si>
  <si>
    <t xml:space="preserve">Je suis satisfait du service offert par l’olivier assurance.
Les prix sont resonsable et le service client et bien à l écoute du client.
Je suis ravi
</t>
  </si>
  <si>
    <t>21/08/2021</t>
  </si>
  <si>
    <t>mgbgt1971-68823</t>
  </si>
  <si>
    <t>Lors de l'achat de ma première "grosse" moto, ce fut le seul site où j'ai pu obtenir des tarifs facilement.</t>
  </si>
  <si>
    <t>22/11/2018</t>
  </si>
  <si>
    <t>max-54318</t>
  </si>
  <si>
    <t>Je vous déconseille cette assurance si vous n'avez pas beaucoup de temps libre.
J'attend ma carte verte depuis 3 semaines. Pour l'instant ma carte temporaire est périmée et je ne peux pas utiliser ma voiture.
Pourquoi payer une telle assurance?</t>
  </si>
  <si>
    <t>26/04/2017</t>
  </si>
  <si>
    <t>lavosh2000-113525</t>
  </si>
  <si>
    <t xml:space="preserve">au niveau des prix il faut voir vraiment les détails car je assurée ma voiture tout risque 650€ par ans.
j'ajoute avec presque 6 ans enceinté, la pour même voiture en fermé dans garage que Dupuis date d'achat 12000 kilomètres avec aucun sinistre je paye 930.73€ par ans.
 je donne même pas un Etoile et je cherche une autre assurance peut être au net. 
 Et merci direct assurance paye 930.73€ </t>
  </si>
  <si>
    <t>sepy-64639</t>
  </si>
  <si>
    <t>2 véhicules assurés chez eux durant 10 ans. Aucun accidents tout va bien, 3 sinistres en 3 ans non responsable et la MAAF me résilie le véhicule concerné mais garde l'autre ???…j'ai donc résilier l'autre contrat voitures, le contrat habitation et assurance scolaire. La MAAF est nul.</t>
  </si>
  <si>
    <t>09/06/2018</t>
  </si>
  <si>
    <t>num-61834</t>
  </si>
  <si>
    <t xml:space="preserve">Bonjour
Je suis à la Macif depuis 6 ans. C est la première fois que j ai eu un sinistre. 
Je suis un professionnel et on m a volé une pièce de mon moteur.
Du coup je n avais plus de véhicule pour travailler.
L expert a constaté aucune effraction dans l habitacle du véhicule.
Par conséquent la Macif ne prends pas en charge le sinistre.
En fait pour la Macif il faut mieux tout faire pour constater une effraction d entrée dans l habitacle du véhicule  afin que l expert puisse la constater plutôt que d être honnête. Pas d effraction cela signifie pas de prise en charge.
Car oui maintenant les voleurs peuvent ouvrir les véhicules sans faire d effraction mais ça la Macif ne le comprends pas.
Ils sont encore dans les années 1970 où il fallait fractionner un barillet de porte ou ouvrir la porte avec un pied de biche pour rentrer dans un véhicule !!!
En tout cas merci beaucoup la Massif car le dossier à durée 15 jours pour avoir cette conclusion.
Du coup je n ai pas eu d utilitaire pour travailler pendant 15 jours. Et pour finir tout est à ma charge. Vous voyez le cout de l opération !
L honnêteté ou le bon sens et la rapidité d exécution ne sont pas des mots qu ils peuvent définir la Macif.
</t>
  </si>
  <si>
    <t>28/02/2018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</si>
</sst>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3.0</v>
      </c>
      <c r="B2" s="2" t="s">
        <v>11</v>
      </c>
      <c r="C2" s="2" t="s">
        <v>12</v>
      </c>
      <c r="D2" s="2" t="s">
        <v>13</v>
      </c>
      <c r="E2" s="2" t="s">
        <v>14</v>
      </c>
      <c r="F2" s="2" t="s">
        <v>15</v>
      </c>
      <c r="G2" s="2" t="s">
        <v>16</v>
      </c>
      <c r="H2" s="2" t="s">
        <v>17</v>
      </c>
      <c r="I2" s="2" t="str">
        <f>IFERROR(__xludf.DUMMYFUNCTION("GOOGLETRANSLATE(C2,""fr"",""en"")"),"Lots of very expensive and useless options. For example, my daughter broke her tablet and returned under the conditions of the equipment +option, calling Pacifica they refused me the reimbursement.")</f>
        <v>Lots of very expensive and useless options. For example, my daughter broke her tablet and returned under the conditions of the equipment +option, calling Pacifica they refused me the reimbursement.</v>
      </c>
    </row>
    <row r="3">
      <c r="A3" s="2">
        <v>2.0</v>
      </c>
      <c r="B3" s="2" t="s">
        <v>18</v>
      </c>
      <c r="C3" s="2" t="s">
        <v>19</v>
      </c>
      <c r="D3" s="2" t="s">
        <v>20</v>
      </c>
      <c r="E3" s="2" t="s">
        <v>14</v>
      </c>
      <c r="F3" s="2" t="s">
        <v>15</v>
      </c>
      <c r="G3" s="2" t="s">
        <v>21</v>
      </c>
      <c r="H3" s="2" t="s">
        <v>22</v>
      </c>
      <c r="I3" s="2" t="str">
        <f>IFERROR(__xludf.DUMMYFUNCTION("GOOGLETRANSLATE(C3,""fr"",""en"")"),"Home at 3015 Hautin and sufficient (style if you are not happy, go see elsewhere, in agency, no problem, but the quotes change too easily for the same requests when you make a quote on the net")</f>
        <v>Home at 3015 Hautin and sufficient (style if you are not happy, go see elsewhere, in agency, no problem, but the quotes change too easily for the same requests when you make a quote on the net</v>
      </c>
    </row>
    <row r="4">
      <c r="A4" s="2">
        <v>5.0</v>
      </c>
      <c r="B4" s="2" t="s">
        <v>23</v>
      </c>
      <c r="C4" s="2" t="s">
        <v>24</v>
      </c>
      <c r="D4" s="2" t="s">
        <v>25</v>
      </c>
      <c r="E4" s="2" t="s">
        <v>14</v>
      </c>
      <c r="F4" s="2" t="s">
        <v>15</v>
      </c>
      <c r="G4" s="2" t="s">
        <v>26</v>
      </c>
      <c r="H4" s="2" t="s">
        <v>27</v>
      </c>
      <c r="I4" s="2" t="str">
        <f>IFERROR(__xludf.DUMMYFUNCTION("GOOGLETRANSLATE(C4,""fr"",""en"")"),"Very well all by phone and email, explanations of options and prices
Remain after sending documents the reimbursement of the 50 euros in the sponsorship")</f>
        <v>Very well all by phone and email, explanations of options and prices
Remain after sending documents the reimbursement of the 50 euros in the sponsorship</v>
      </c>
    </row>
    <row r="5">
      <c r="A5" s="2">
        <v>5.0</v>
      </c>
      <c r="B5" s="2" t="s">
        <v>28</v>
      </c>
      <c r="C5" s="2" t="s">
        <v>29</v>
      </c>
      <c r="D5" s="2" t="s">
        <v>30</v>
      </c>
      <c r="E5" s="2" t="s">
        <v>31</v>
      </c>
      <c r="F5" s="2" t="s">
        <v>15</v>
      </c>
      <c r="G5" s="2" t="s">
        <v>32</v>
      </c>
      <c r="H5" s="2" t="s">
        <v>27</v>
      </c>
      <c r="I5" s="2" t="str">
        <f>IFERROR(__xludf.DUMMYFUNCTION("GOOGLETRANSLATE(C5,""fr"",""en"")"),"I am very satisfied with the site and this insurance that I have just taken out for my motorcycle the site is very fluid and well explained nothing to say great")</f>
        <v>I am very satisfied with the site and this insurance that I have just taken out for my motorcycle the site is very fluid and well explained nothing to say great</v>
      </c>
    </row>
    <row r="6">
      <c r="A6" s="2">
        <v>5.0</v>
      </c>
      <c r="B6" s="2" t="s">
        <v>33</v>
      </c>
      <c r="C6" s="2" t="s">
        <v>34</v>
      </c>
      <c r="D6" s="2" t="s">
        <v>35</v>
      </c>
      <c r="E6" s="2" t="s">
        <v>31</v>
      </c>
      <c r="F6" s="2" t="s">
        <v>15</v>
      </c>
      <c r="G6" s="2" t="s">
        <v>36</v>
      </c>
      <c r="H6" s="2" t="s">
        <v>17</v>
      </c>
      <c r="I6" s="2" t="str">
        <f>IFERROR(__xludf.DUMMYFUNCTION("GOOGLETRANSLATE(C6,""fr"",""en"")"),"5 Etoiles Level Price since it was the only insurance that agreed to make sure young permit on the motorcycle of my choice.
Quick contact with an advisor, simple and quick steps nothing to reproach: 5 stars")</f>
        <v>5 Etoiles Level Price since it was the only insurance that agreed to make sure young permit on the motorcycle of my choice.
Quick contact with an advisor, simple and quick steps nothing to reproach: 5 stars</v>
      </c>
    </row>
    <row r="7">
      <c r="A7" s="2">
        <v>1.0</v>
      </c>
      <c r="B7" s="2" t="s">
        <v>37</v>
      </c>
      <c r="C7" s="2" t="s">
        <v>38</v>
      </c>
      <c r="D7" s="2" t="s">
        <v>39</v>
      </c>
      <c r="E7" s="2" t="s">
        <v>14</v>
      </c>
      <c r="F7" s="2" t="s">
        <v>15</v>
      </c>
      <c r="G7" s="2" t="s">
        <v>40</v>
      </c>
      <c r="H7" s="2" t="s">
        <v>41</v>
      </c>
      <c r="I7" s="2" t="str">
        <f>IFERROR(__xludf.DUMMYFUNCTION("GOOGLETRANSLATE(C7,""fr"",""en"")"),"Customer for 2 years at Direct Insurance, we were struck off overnight for an unpaid, we did not receive a mail indicating it (last mail received: green card) and we find ourselves having to pay the end of the contract but before ensuring elsewhere. Do yo"&amp;"u know how difficult it is to make sure when you have been terminated? Without having a claim? You put people in delicate situations, without even trying to make a gesture, error and human, your response and that of a heartless company.")</f>
        <v>Customer for 2 years at Direct Insurance, we were struck off overnight for an unpaid, we did not receive a mail indicating it (last mail received: green card) and we find ourselves having to pay the end of the contract but before ensuring elsewhere. Do you know how difficult it is to make sure when you have been terminated? Without having a claim? You put people in delicate situations, without even trying to make a gesture, error and human, your response and that of a heartless company.</v>
      </c>
    </row>
    <row r="8">
      <c r="A8" s="2">
        <v>2.0</v>
      </c>
      <c r="B8" s="2" t="s">
        <v>42</v>
      </c>
      <c r="C8" s="2" t="s">
        <v>43</v>
      </c>
      <c r="D8" s="2" t="s">
        <v>44</v>
      </c>
      <c r="E8" s="2" t="s">
        <v>45</v>
      </c>
      <c r="F8" s="2" t="s">
        <v>15</v>
      </c>
      <c r="G8" s="2" t="s">
        <v>46</v>
      </c>
      <c r="H8" s="2" t="s">
        <v>41</v>
      </c>
      <c r="I8" s="2" t="str">
        <f>IFERROR(__xludf.DUMMYFUNCTION("GOOGLETRANSLATE(C8,""fr"",""en"")"),"I have just taken this very unhappy mutual Cegéma we make you believe good dental reimbursement false 32.25 euros I never knew this")</f>
        <v>I have just taken this very unhappy mutual Cegéma we make you believe good dental reimbursement false 32.25 euros I never knew this</v>
      </c>
    </row>
    <row r="9">
      <c r="A9" s="2">
        <v>2.0</v>
      </c>
      <c r="B9" s="2" t="s">
        <v>47</v>
      </c>
      <c r="C9" s="2" t="s">
        <v>48</v>
      </c>
      <c r="D9" s="2" t="s">
        <v>49</v>
      </c>
      <c r="E9" s="2" t="s">
        <v>50</v>
      </c>
      <c r="F9" s="2" t="s">
        <v>15</v>
      </c>
      <c r="G9" s="2" t="s">
        <v>51</v>
      </c>
      <c r="H9" s="2" t="s">
        <v>52</v>
      </c>
      <c r="I9" s="2" t="str">
        <f>IFERROR(__xludf.DUMMYFUNCTION("GOOGLETRANSLATE(C9,""fr"",""en"")"),"More than 2 years that I have been fighting with them to terminate home insurance of accommodation left in June 2018, despite the reminders and documents provided
Each time the same response from the interlocutor ""We can do nothing at our level, the fil"&amp;"e is blocked at the siege, we have no answer, we keep you informed"" .. but never an answer
Ashamed")</f>
        <v>More than 2 years that I have been fighting with them to terminate home insurance of accommodation left in June 2018, despite the reminders and documents provided
Each time the same response from the interlocutor "We can do nothing at our level, the file is blocked at the siege, we have no answer, we keep you informed" .. but never an answer
Ashamed</v>
      </c>
    </row>
    <row r="10">
      <c r="A10" s="2">
        <v>2.0</v>
      </c>
      <c r="B10" s="2" t="s">
        <v>53</v>
      </c>
      <c r="C10" s="2" t="s">
        <v>54</v>
      </c>
      <c r="D10" s="2" t="s">
        <v>55</v>
      </c>
      <c r="E10" s="2" t="s">
        <v>14</v>
      </c>
      <c r="F10" s="2" t="s">
        <v>15</v>
      </c>
      <c r="G10" s="2" t="s">
        <v>56</v>
      </c>
      <c r="H10" s="2" t="s">
        <v>57</v>
      </c>
      <c r="I10" s="2" t="str">
        <f>IFERROR(__xludf.DUMMYFUNCTION("GOOGLETRANSLATE(C10,""fr"",""en"")"),"Insured for 2 years at Eurofil for a car, I have received a recommended signifying the termination of my contract in vague terms ""risk inadequacy with regard to the policy of acceptance of the CIE"".
I called customer service who confirmed to me that it"&amp;" was neither a joke nor an error and that indeed certain constraints and requirements in particular in terms of risks had appeared and that they therefore put an end to the contract at the end of May 2018.
In short, I am fired as a malproprus when there "&amp;"has never been any statement as a claim and my contributions are up to date.
The worst part is that we do not want to give me the reason especially that I was told that this dismissal could be detrimental when I am assured elsewhere (they advise me to co"&amp;"ntact their partner Assurpeople, known to be the insurer of desperate cases).
All this is lamentable ...
What can I do ?")</f>
        <v>Insured for 2 years at Eurofil for a car, I have received a recommended signifying the termination of my contract in vague terms "risk inadequacy with regard to the policy of acceptance of the CIE".
I called customer service who confirmed to me that it was neither a joke nor an error and that indeed certain constraints and requirements in particular in terms of risks had appeared and that they therefore put an end to the contract at the end of May 2018.
In short, I am fired as a malproprus when there has never been any statement as a claim and my contributions are up to date.
The worst part is that we do not want to give me the reason especially that I was told that this dismissal could be detrimental when I am assured elsewhere (they advise me to contact their partner Assurpeople, known to be the insurer of desperate cases).
All this is lamentable ...
What can I do ?</v>
      </c>
    </row>
    <row r="11">
      <c r="A11" s="2">
        <v>4.0</v>
      </c>
      <c r="B11" s="2" t="s">
        <v>58</v>
      </c>
      <c r="C11" s="2" t="s">
        <v>59</v>
      </c>
      <c r="D11" s="2" t="s">
        <v>25</v>
      </c>
      <c r="E11" s="2" t="s">
        <v>14</v>
      </c>
      <c r="F11" s="2" t="s">
        <v>15</v>
      </c>
      <c r="G11" s="2" t="s">
        <v>60</v>
      </c>
      <c r="H11" s="2" t="s">
        <v>17</v>
      </c>
      <c r="I11" s="2" t="str">
        <f>IFERROR(__xludf.DUMMYFUNCTION("GOOGLETRANSLATE(C11,""fr"",""en"")"),"I am currently very satisfied with your services, thank you. The prices are correct, and the level of telephone relations is very good.
Cordially")</f>
        <v>I am currently very satisfied with your services, thank you. The prices are correct, and the level of telephone relations is very good.
Cordially</v>
      </c>
    </row>
    <row r="12">
      <c r="A12" s="2">
        <v>5.0</v>
      </c>
      <c r="B12" s="2" t="s">
        <v>61</v>
      </c>
      <c r="C12" s="2" t="s">
        <v>62</v>
      </c>
      <c r="D12" s="2" t="s">
        <v>25</v>
      </c>
      <c r="E12" s="2" t="s">
        <v>14</v>
      </c>
      <c r="F12" s="2" t="s">
        <v>15</v>
      </c>
      <c r="G12" s="2" t="s">
        <v>63</v>
      </c>
      <c r="H12" s="2" t="s">
        <v>64</v>
      </c>
      <c r="I12" s="2" t="str">
        <f>IFERROR(__xludf.DUMMYFUNCTION("GOOGLETRANSLATE(C12,""fr"",""en"")"),"The prices are attractive the telephone service also I will recommend this insurance around me or will surely ensure other vehicles at home")</f>
        <v>The prices are attractive the telephone service also I will recommend this insurance around me or will surely ensure other vehicles at home</v>
      </c>
    </row>
    <row r="13">
      <c r="A13" s="2">
        <v>1.0</v>
      </c>
      <c r="B13" s="2" t="s">
        <v>65</v>
      </c>
      <c r="C13" s="2" t="s">
        <v>66</v>
      </c>
      <c r="D13" s="2" t="s">
        <v>67</v>
      </c>
      <c r="E13" s="2" t="s">
        <v>14</v>
      </c>
      <c r="F13" s="2" t="s">
        <v>15</v>
      </c>
      <c r="G13" s="2" t="s">
        <v>68</v>
      </c>
      <c r="H13" s="2" t="s">
        <v>69</v>
      </c>
      <c r="I13" s="2" t="str">
        <f>IFERROR(__xludf.DUMMYFUNCTION("GOOGLETRANSLATE(C13,""fr"",""en"")"),"It's been 3 times that I call to see all of my contracts and nobody reminded me. It is not at all serious!")</f>
        <v>It's been 3 times that I call to see all of my contracts and nobody reminded me. It is not at all serious!</v>
      </c>
    </row>
    <row r="14">
      <c r="A14" s="2">
        <v>3.0</v>
      </c>
      <c r="B14" s="2" t="s">
        <v>70</v>
      </c>
      <c r="C14" s="2" t="s">
        <v>71</v>
      </c>
      <c r="D14" s="2" t="s">
        <v>39</v>
      </c>
      <c r="E14" s="2" t="s">
        <v>14</v>
      </c>
      <c r="F14" s="2" t="s">
        <v>15</v>
      </c>
      <c r="G14" s="2" t="s">
        <v>72</v>
      </c>
      <c r="H14" s="2" t="s">
        <v>73</v>
      </c>
      <c r="I14" s="2" t="str">
        <f>IFERROR(__xludf.DUMMYFUNCTION("GOOGLETRANSLATE(C14,""fr"",""en"")"),"Well, quick response. On the other hand difficulties in reading the contract clauses. Very practical to have the quote quickly. Not the most interesting but correct price.")</f>
        <v>Well, quick response. On the other hand difficulties in reading the contract clauses. Very practical to have the quote quickly. Not the most interesting but correct price.</v>
      </c>
    </row>
    <row r="15">
      <c r="A15" s="2">
        <v>5.0</v>
      </c>
      <c r="B15" s="2" t="s">
        <v>74</v>
      </c>
      <c r="C15" s="2" t="s">
        <v>75</v>
      </c>
      <c r="D15" s="2" t="s">
        <v>25</v>
      </c>
      <c r="E15" s="2" t="s">
        <v>14</v>
      </c>
      <c r="F15" s="2" t="s">
        <v>15</v>
      </c>
      <c r="G15" s="2" t="s">
        <v>76</v>
      </c>
      <c r="H15" s="2" t="s">
        <v>77</v>
      </c>
      <c r="I15" s="2" t="str">
        <f>IFERROR(__xludf.DUMMYFUNCTION("GOOGLETRANSLATE(C15,""fr"",""en"")"),"Very satisfied with the services and a perfect telephone reception. The interlocutors are very explicit and understanding. The prices are very attractive. thank you")</f>
        <v>Very satisfied with the services and a perfect telephone reception. The interlocutors are very explicit and understanding. The prices are very attractive. thank you</v>
      </c>
    </row>
    <row r="16">
      <c r="A16" s="2">
        <v>1.0</v>
      </c>
      <c r="B16" s="2" t="s">
        <v>78</v>
      </c>
      <c r="C16" s="2" t="s">
        <v>79</v>
      </c>
      <c r="D16" s="2" t="s">
        <v>35</v>
      </c>
      <c r="E16" s="2" t="s">
        <v>31</v>
      </c>
      <c r="F16" s="2" t="s">
        <v>15</v>
      </c>
      <c r="G16" s="2" t="s">
        <v>80</v>
      </c>
      <c r="H16" s="2" t="s">
        <v>17</v>
      </c>
      <c r="I16" s="2" t="str">
        <f>IFERROR(__xludf.DUMMYFUNCTION("GOOGLETRANSLATE(C16,""fr"",""en"")"),"I am satisfied with you so of your understanding of you simple insurance contract is fast is above all effective is a lot of speed")</f>
        <v>I am satisfied with you so of your understanding of you simple insurance contract is fast is above all effective is a lot of speed</v>
      </c>
    </row>
    <row r="17">
      <c r="A17" s="2">
        <v>1.0</v>
      </c>
      <c r="B17" s="2" t="s">
        <v>81</v>
      </c>
      <c r="C17" s="2" t="s">
        <v>82</v>
      </c>
      <c r="D17" s="2" t="s">
        <v>39</v>
      </c>
      <c r="E17" s="2" t="s">
        <v>14</v>
      </c>
      <c r="F17" s="2" t="s">
        <v>15</v>
      </c>
      <c r="G17" s="2" t="s">
        <v>83</v>
      </c>
      <c r="H17" s="2" t="s">
        <v>84</v>
      </c>
      <c r="I17" s="2" t="str">
        <f>IFERROR(__xludf.DUMMYFUNCTION("GOOGLETRANSLATE(C17,""fr"",""en"")"),"My wife to call direct insurance to make a quote he did not want our insured for the only reason her husband is taxi driver no report 25 years of license for me, 25 years of license for my wife never had a sinister accident, I find it ridiculous
")</f>
        <v>My wife to call direct insurance to make a quote he did not want our insured for the only reason her husband is taxi driver no report 25 years of license for me, 25 years of license for my wife never had a sinister accident, I find it ridiculous
</v>
      </c>
    </row>
    <row r="18">
      <c r="A18" s="2">
        <v>2.0</v>
      </c>
      <c r="B18" s="2" t="s">
        <v>85</v>
      </c>
      <c r="C18" s="2" t="s">
        <v>86</v>
      </c>
      <c r="D18" s="2" t="s">
        <v>87</v>
      </c>
      <c r="E18" s="2" t="s">
        <v>14</v>
      </c>
      <c r="F18" s="2" t="s">
        <v>15</v>
      </c>
      <c r="G18" s="2" t="s">
        <v>88</v>
      </c>
      <c r="H18" s="2" t="s">
        <v>73</v>
      </c>
      <c r="I18" s="2" t="str">
        <f>IFERROR(__xludf.DUMMYFUNCTION("GOOGLETRANSLATE(C18,""fr"",""en"")"),"If I had been able to put any stars concerning satisfaction I would have done. This is an insurance that ejects you to the first resumable accident without taking into account the circumstances of the accident. My daughter had an accident. 4 months have p"&amp;"assed she sells her vehicle and asks to ensure another it is told that it is necessary to terminate her contract first and make a quote request by sending all the information. Thing done we are waiting. Nothing ... I call 6 times in a row I walk around an"&amp;"d make me wait..Monsieur we send you the quote and we remind you of a quote no call. And now that at the 7th call this one I am reminded to tell me that since she had a responsible accident he does not take it any more ... Insurers would only accept peopl"&amp;"e who never accidents ?? In any case, this company is to be flee. No respect for people.")</f>
        <v>If I had been able to put any stars concerning satisfaction I would have done. This is an insurance that ejects you to the first resumable accident without taking into account the circumstances of the accident. My daughter had an accident. 4 months have passed she sells her vehicle and asks to ensure another it is told that it is necessary to terminate her contract first and make a quote request by sending all the information. Thing done we are waiting. Nothing ... I call 6 times in a row I walk around and make me wait..Monsieur we send you the quote and we remind you of a quote no call. And now that at the 7th call this one I am reminded to tell me that since she had a responsible accident he does not take it any more ... Insurers would only accept people who never accidents ?? In any case, this company is to be flee. No respect for people.</v>
      </c>
    </row>
    <row r="19">
      <c r="A19" s="2">
        <v>1.0</v>
      </c>
      <c r="B19" s="2" t="s">
        <v>89</v>
      </c>
      <c r="C19" s="2" t="s">
        <v>90</v>
      </c>
      <c r="D19" s="2" t="s">
        <v>20</v>
      </c>
      <c r="E19" s="2" t="s">
        <v>14</v>
      </c>
      <c r="F19" s="2" t="s">
        <v>15</v>
      </c>
      <c r="G19" s="2" t="s">
        <v>91</v>
      </c>
      <c r="H19" s="2" t="s">
        <v>92</v>
      </c>
      <c r="I19" s="2" t="str">
        <f>IFERROR(__xludf.DUMMYFUNCTION("GOOGLETRANSLATE(C19,""fr"",""en"")"),"Simply catastrophic.
If you don't need insurance, it is the insurance you need!
In the event of a problem, you will go quickly to see that you will never be careful. (And yet I am assured any risk)
")</f>
        <v>Simply catastrophic.
If you don't need insurance, it is the insurance you need!
In the event of a problem, you will go quickly to see that you will never be careful. (And yet I am assured any risk)
</v>
      </c>
    </row>
    <row r="20">
      <c r="A20" s="2">
        <v>1.0</v>
      </c>
      <c r="B20" s="2" t="s">
        <v>93</v>
      </c>
      <c r="C20" s="2" t="s">
        <v>94</v>
      </c>
      <c r="D20" s="2" t="s">
        <v>95</v>
      </c>
      <c r="E20" s="2" t="s">
        <v>96</v>
      </c>
      <c r="F20" s="2" t="s">
        <v>15</v>
      </c>
      <c r="G20" s="2" t="s">
        <v>97</v>
      </c>
      <c r="H20" s="2" t="s">
        <v>52</v>
      </c>
      <c r="I20" s="2" t="str">
        <f>IFERROR(__xludf.DUMMYFUNCTION("GOOGLETRANSLATE(C20,""fr"",""en"")"),"The Swiss Life does not benefit. She advertises on Arte with the money of her members. Flee your capital is in danger. The advisers are only predators having only one logic, theirs.")</f>
        <v>The Swiss Life does not benefit. She advertises on Arte with the money of her members. Flee your capital is in danger. The advisers are only predators having only one logic, theirs.</v>
      </c>
    </row>
    <row r="21" ht="15.75" customHeight="1">
      <c r="A21" s="2">
        <v>1.0</v>
      </c>
      <c r="B21" s="2" t="s">
        <v>98</v>
      </c>
      <c r="C21" s="2" t="s">
        <v>99</v>
      </c>
      <c r="D21" s="2" t="s">
        <v>49</v>
      </c>
      <c r="E21" s="2" t="s">
        <v>50</v>
      </c>
      <c r="F21" s="2" t="s">
        <v>15</v>
      </c>
      <c r="G21" s="2" t="s">
        <v>100</v>
      </c>
      <c r="H21" s="2" t="s">
        <v>101</v>
      </c>
      <c r="I21" s="2" t="str">
        <f>IFERROR(__xludf.DUMMYFUNCTION("GOOGLETRANSLATE(C21,""fr"",""en"")"),"I have been fighting for a year for repairing water damage, with a unusable and unhealthy room, I am refused to unandemnate myself and I cannot repair it before I am given a solution")</f>
        <v>I have been fighting for a year for repairing water damage, with a unusable and unhealthy room, I am refused to unandemnate myself and I cannot repair it before I am given a solution</v>
      </c>
    </row>
    <row r="22" ht="15.75" customHeight="1">
      <c r="A22" s="2">
        <v>4.0</v>
      </c>
      <c r="B22" s="2" t="s">
        <v>102</v>
      </c>
      <c r="C22" s="2" t="s">
        <v>103</v>
      </c>
      <c r="D22" s="2" t="s">
        <v>67</v>
      </c>
      <c r="E22" s="2" t="s">
        <v>14</v>
      </c>
      <c r="F22" s="2" t="s">
        <v>15</v>
      </c>
      <c r="G22" s="2" t="s">
        <v>104</v>
      </c>
      <c r="H22" s="2" t="s">
        <v>84</v>
      </c>
      <c r="I22" s="2" t="str">
        <f>IFERROR(__xludf.DUMMYFUNCTION("GOOGLETRANSLATE(C22,""fr"",""en"")"),"I am satisfied with customer service, in particular telephone reception with customer advisers based in France, as well as the very practical website. I am also satisfied with the prices offered.")</f>
        <v>I am satisfied with customer service, in particular telephone reception with customer advisers based in France, as well as the very practical website. I am also satisfied with the prices offered.</v>
      </c>
    </row>
    <row r="23" ht="15.75" customHeight="1">
      <c r="A23" s="2">
        <v>1.0</v>
      </c>
      <c r="B23" s="2" t="s">
        <v>105</v>
      </c>
      <c r="C23" s="2" t="s">
        <v>106</v>
      </c>
      <c r="D23" s="2" t="s">
        <v>107</v>
      </c>
      <c r="E23" s="2" t="s">
        <v>45</v>
      </c>
      <c r="F23" s="2" t="s">
        <v>15</v>
      </c>
      <c r="G23" s="2" t="s">
        <v>108</v>
      </c>
      <c r="H23" s="2" t="s">
        <v>109</v>
      </c>
      <c r="I23" s="2" t="str">
        <f>IFERROR(__xludf.DUMMYFUNCTION("GOOGLETRANSLATE(C23,""fr"",""en"")"),"Hello
I have just been approached by an operator working for Neoliane who owned my more banking contact details that this mutual insurance company is so saying an obligation in social security compensation.
I explain that I do not need it, I already"&amp;" have a military mutual and several provider.
Given the testimonies of all those people who have been abused, I also feel trapped.
I have just submitted a complaint with Néoliane but what is incredible, these directors have my bank details.
I look fo"&amp;"rward to an explanation on this abusive canvassing
 ")</f>
        <v>Hello
I have just been approached by an operator working for Neoliane who owned my more banking contact details that this mutual insurance company is so saying an obligation in social security compensation.
I explain that I do not need it, I already have a military mutual and several provider.
Given the testimonies of all those people who have been abused, I also feel trapped.
I have just submitted a complaint with Néoliane but what is incredible, these directors have my bank details.
I look forward to an explanation on this abusive canvassing
 </v>
      </c>
    </row>
    <row r="24" ht="15.75" customHeight="1">
      <c r="A24" s="2">
        <v>3.0</v>
      </c>
      <c r="B24" s="2" t="s">
        <v>110</v>
      </c>
      <c r="C24" s="2" t="s">
        <v>111</v>
      </c>
      <c r="D24" s="2" t="s">
        <v>25</v>
      </c>
      <c r="E24" s="2" t="s">
        <v>14</v>
      </c>
      <c r="F24" s="2" t="s">
        <v>15</v>
      </c>
      <c r="G24" s="2" t="s">
        <v>112</v>
      </c>
      <c r="H24" s="2" t="s">
        <v>113</v>
      </c>
      <c r="I24" s="2" t="str">
        <f>IFERROR(__xludf.DUMMYFUNCTION("GOOGLETRANSLATE(C24,""fr"",""en"")"),"Satisfied with the service, even I could not take advantage of the multi -insurance advantage.
Too bad because I do not benefit from the 10 % however announced.
pleasant interlocutor
")</f>
        <v>Satisfied with the service, even I could not take advantage of the multi -insurance advantage.
Too bad because I do not benefit from the 10 % however announced.
pleasant interlocutor
</v>
      </c>
    </row>
    <row r="25" ht="15.75" customHeight="1">
      <c r="A25" s="2">
        <v>4.0</v>
      </c>
      <c r="B25" s="2" t="s">
        <v>114</v>
      </c>
      <c r="C25" s="2" t="s">
        <v>115</v>
      </c>
      <c r="D25" s="2" t="s">
        <v>39</v>
      </c>
      <c r="E25" s="2" t="s">
        <v>14</v>
      </c>
      <c r="F25" s="2" t="s">
        <v>15</v>
      </c>
      <c r="G25" s="2" t="s">
        <v>116</v>
      </c>
      <c r="H25" s="2" t="s">
        <v>109</v>
      </c>
      <c r="I25" s="2" t="str">
        <f>IFERROR(__xludf.DUMMYFUNCTION("GOOGLETRANSLATE(C25,""fr"",""en"")"),"Impeccable listening advisers always available to answer all questions. Dear quote compared to other insurances.")</f>
        <v>Impeccable listening advisers always available to answer all questions. Dear quote compared to other insurances.</v>
      </c>
    </row>
    <row r="26" ht="15.75" customHeight="1">
      <c r="A26" s="2">
        <v>4.0</v>
      </c>
      <c r="B26" s="2" t="s">
        <v>117</v>
      </c>
      <c r="C26" s="2" t="s">
        <v>118</v>
      </c>
      <c r="D26" s="2" t="s">
        <v>25</v>
      </c>
      <c r="E26" s="2" t="s">
        <v>14</v>
      </c>
      <c r="F26" s="2" t="s">
        <v>15</v>
      </c>
      <c r="G26" s="2" t="s">
        <v>119</v>
      </c>
      <c r="H26" s="2" t="s">
        <v>120</v>
      </c>
      <c r="I26" s="2" t="str">
        <f>IFERROR(__xludf.DUMMYFUNCTION("GOOGLETRANSLATE(C26,""fr"",""en"")"),"I am satisfied with the proposal service, very reactive and attentive staff I recommend.
I was sponsored and advised by my brother who already two vehicles insure with the Olivier Insurance.")</f>
        <v>I am satisfied with the proposal service, very reactive and attentive staff I recommend.
I was sponsored and advised by my brother who already two vehicles insure with the Olivier Insurance.</v>
      </c>
    </row>
    <row r="27" ht="15.75" customHeight="1">
      <c r="A27" s="2">
        <v>1.0</v>
      </c>
      <c r="B27" s="2" t="s">
        <v>121</v>
      </c>
      <c r="C27" s="2" t="s">
        <v>122</v>
      </c>
      <c r="D27" s="2" t="s">
        <v>123</v>
      </c>
      <c r="E27" s="2" t="s">
        <v>45</v>
      </c>
      <c r="F27" s="2" t="s">
        <v>15</v>
      </c>
      <c r="G27" s="2" t="s">
        <v>124</v>
      </c>
      <c r="H27" s="2" t="s">
        <v>124</v>
      </c>
      <c r="I27" s="2" t="str">
        <f>IFERROR(__xludf.DUMMYFUNCTION("GOOGLETRANSLATE(C27,""fr"",""en"")"),"4 months before the restitution of one month of subscription taken after death. In addition, the restitution was made with my notary. No answer despite LR with AR, trips, emails, phone calls.")</f>
        <v>4 months before the restitution of one month of subscription taken after death. In addition, the restitution was made with my notary. No answer despite LR with AR, trips, emails, phone calls.</v>
      </c>
    </row>
    <row r="28" ht="15.75" customHeight="1">
      <c r="A28" s="2">
        <v>3.0</v>
      </c>
      <c r="B28" s="2" t="s">
        <v>125</v>
      </c>
      <c r="C28" s="2" t="s">
        <v>126</v>
      </c>
      <c r="D28" s="2" t="s">
        <v>39</v>
      </c>
      <c r="E28" s="2" t="s">
        <v>14</v>
      </c>
      <c r="F28" s="2" t="s">
        <v>15</v>
      </c>
      <c r="G28" s="2" t="s">
        <v>127</v>
      </c>
      <c r="H28" s="2" t="s">
        <v>84</v>
      </c>
      <c r="I28" s="2" t="str">
        <f>IFERROR(__xludf.DUMMYFUNCTION("GOOGLETRANSLATE(C28,""fr"",""en"")"),"I am satisfied with the prices during new contracts.
On the other hand, I am less satisfied with the evolution of prices over time. Former customers do not seem to be a priority for DA.")</f>
        <v>I am satisfied with the prices during new contracts.
On the other hand, I am less satisfied with the evolution of prices over time. Former customers do not seem to be a priority for DA.</v>
      </c>
    </row>
    <row r="29" ht="15.75" customHeight="1">
      <c r="A29" s="2">
        <v>4.0</v>
      </c>
      <c r="B29" s="2" t="s">
        <v>128</v>
      </c>
      <c r="C29" s="2" t="s">
        <v>129</v>
      </c>
      <c r="D29" s="2" t="s">
        <v>25</v>
      </c>
      <c r="E29" s="2" t="s">
        <v>14</v>
      </c>
      <c r="F29" s="2" t="s">
        <v>15</v>
      </c>
      <c r="G29" s="2" t="s">
        <v>130</v>
      </c>
      <c r="H29" s="2" t="s">
        <v>131</v>
      </c>
      <c r="I29" s="2" t="str">
        <f>IFERROR(__xludf.DUMMYFUNCTION("GOOGLETRANSLATE(C29,""fr"",""en"")"),"Very good Site Site Advisors Easy to Understanding Customer Service easy to reach quick response I will put all my contracts at home at the start of the year")</f>
        <v>Very good Site Site Advisors Easy to Understanding Customer Service easy to reach quick response I will put all my contracts at home at the start of the year</v>
      </c>
    </row>
    <row r="30" ht="15.75" customHeight="1">
      <c r="A30" s="2">
        <v>5.0</v>
      </c>
      <c r="B30" s="2" t="s">
        <v>132</v>
      </c>
      <c r="C30" s="2" t="s">
        <v>133</v>
      </c>
      <c r="D30" s="2" t="s">
        <v>30</v>
      </c>
      <c r="E30" s="2" t="s">
        <v>31</v>
      </c>
      <c r="F30" s="2" t="s">
        <v>15</v>
      </c>
      <c r="G30" s="2" t="s">
        <v>134</v>
      </c>
      <c r="H30" s="2" t="s">
        <v>101</v>
      </c>
      <c r="I30" s="2" t="str">
        <f>IFERROR(__xludf.DUMMYFUNCTION("GOOGLETRANSLATE(C30,""fr"",""en"")"),"I am satisfied with the service for the moment simple and fast, we will see for the future by exhausting not being disappointed ... given the opinions of other members everything should be fine.")</f>
        <v>I am satisfied with the service for the moment simple and fast, we will see for the future by exhausting not being disappointed ... given the opinions of other members everything should be fine.</v>
      </c>
    </row>
    <row r="31" ht="15.75" customHeight="1">
      <c r="A31" s="2">
        <v>3.0</v>
      </c>
      <c r="B31" s="2" t="s">
        <v>135</v>
      </c>
      <c r="C31" s="2" t="s">
        <v>136</v>
      </c>
      <c r="D31" s="2" t="s">
        <v>137</v>
      </c>
      <c r="E31" s="2" t="s">
        <v>45</v>
      </c>
      <c r="F31" s="2" t="s">
        <v>15</v>
      </c>
      <c r="G31" s="2" t="s">
        <v>138</v>
      </c>
      <c r="H31" s="2" t="s">
        <v>64</v>
      </c>
      <c r="I31" s="2" t="str">
        <f>IFERROR(__xludf.DUMMYFUNCTION("GOOGLETRANSLATE(C31,""fr"",""en"")"),"I am satisfied with the service and the price now I will see in the future if it continues to please me. Otherwise I would change my refund formulas.")</f>
        <v>I am satisfied with the service and the price now I will see in the future if it continues to please me. Otherwise I would change my refund formulas.</v>
      </c>
    </row>
    <row r="32" ht="15.75" customHeight="1">
      <c r="A32" s="2">
        <v>5.0</v>
      </c>
      <c r="B32" s="2" t="s">
        <v>139</v>
      </c>
      <c r="C32" s="2" t="s">
        <v>140</v>
      </c>
      <c r="D32" s="2" t="s">
        <v>39</v>
      </c>
      <c r="E32" s="2" t="s">
        <v>14</v>
      </c>
      <c r="F32" s="2" t="s">
        <v>15</v>
      </c>
      <c r="G32" s="2" t="s">
        <v>141</v>
      </c>
      <c r="H32" s="2" t="s">
        <v>84</v>
      </c>
      <c r="I32" s="2" t="str">
        <f>IFERROR(__xludf.DUMMYFUNCTION("GOOGLETRANSLATE(C32,""fr"",""en"")"),"Obtaining a quote is rapid and effective, the request for complete information, the easy comparison, at home, without travel, benefiting from the Hamon law.")</f>
        <v>Obtaining a quote is rapid and effective, the request for complete information, the easy comparison, at home, without travel, benefiting from the Hamon law.</v>
      </c>
    </row>
    <row r="33" ht="15.75" customHeight="1">
      <c r="A33" s="2">
        <v>5.0</v>
      </c>
      <c r="B33" s="2" t="s">
        <v>142</v>
      </c>
      <c r="C33" s="2" t="s">
        <v>143</v>
      </c>
      <c r="D33" s="2" t="s">
        <v>30</v>
      </c>
      <c r="E33" s="2" t="s">
        <v>31</v>
      </c>
      <c r="F33" s="2" t="s">
        <v>15</v>
      </c>
      <c r="G33" s="2" t="s">
        <v>144</v>
      </c>
      <c r="H33" s="2" t="s">
        <v>113</v>
      </c>
      <c r="I33" s="2" t="str">
        <f>IFERROR(__xludf.DUMMYFUNCTION("GOOGLETRANSLATE(C33,""fr"",""en"")"),"Satisfied at all levels: price, telephonic interview, explanations, speed of carrying out the contract and sends all documents by email")</f>
        <v>Satisfied at all levels: price, telephonic interview, explanations, speed of carrying out the contract and sends all documents by email</v>
      </c>
    </row>
    <row r="34" ht="15.75" customHeight="1">
      <c r="A34" s="2">
        <v>4.0</v>
      </c>
      <c r="B34" s="2" t="s">
        <v>145</v>
      </c>
      <c r="C34" s="2" t="s">
        <v>146</v>
      </c>
      <c r="D34" s="2" t="s">
        <v>25</v>
      </c>
      <c r="E34" s="2" t="s">
        <v>14</v>
      </c>
      <c r="F34" s="2" t="s">
        <v>15</v>
      </c>
      <c r="G34" s="2" t="s">
        <v>32</v>
      </c>
      <c r="H34" s="2" t="s">
        <v>27</v>
      </c>
      <c r="I34" s="2" t="str">
        <f>IFERROR(__xludf.DUMMYFUNCTION("GOOGLETRANSLATE(C34,""fr"",""en"")"),"I am satisfied with my services. The prices are attractive and the options offered are relevant. Managing your subscription directly on the site is super practical and intuitive.")</f>
        <v>I am satisfied with my services. The prices are attractive and the options offered are relevant. Managing your subscription directly on the site is super practical and intuitive.</v>
      </c>
    </row>
    <row r="35" ht="15.75" customHeight="1">
      <c r="A35" s="2">
        <v>5.0</v>
      </c>
      <c r="B35" s="2" t="s">
        <v>147</v>
      </c>
      <c r="C35" s="2" t="s">
        <v>148</v>
      </c>
      <c r="D35" s="2" t="s">
        <v>39</v>
      </c>
      <c r="E35" s="2" t="s">
        <v>14</v>
      </c>
      <c r="F35" s="2" t="s">
        <v>15</v>
      </c>
      <c r="G35" s="2" t="s">
        <v>149</v>
      </c>
      <c r="H35" s="2" t="s">
        <v>84</v>
      </c>
      <c r="I35" s="2" t="str">
        <f>IFERROR(__xludf.DUMMYFUNCTION("GOOGLETRANSLATE(C35,""fr"",""en"")"),"I am satisfied with the service The new drivers thanks you a quality service never disappointed with direct insurance the very competent advisor")</f>
        <v>I am satisfied with the service The new drivers thanks you a quality service never disappointed with direct insurance the very competent advisor</v>
      </c>
    </row>
    <row r="36" ht="15.75" customHeight="1">
      <c r="A36" s="2">
        <v>4.0</v>
      </c>
      <c r="B36" s="2" t="s">
        <v>150</v>
      </c>
      <c r="C36" s="2" t="s">
        <v>151</v>
      </c>
      <c r="D36" s="2" t="s">
        <v>25</v>
      </c>
      <c r="E36" s="2" t="s">
        <v>14</v>
      </c>
      <c r="F36" s="2" t="s">
        <v>15</v>
      </c>
      <c r="G36" s="2" t="s">
        <v>152</v>
      </c>
      <c r="H36" s="2" t="s">
        <v>120</v>
      </c>
      <c r="I36" s="2" t="str">
        <f>IFERROR(__xludf.DUMMYFUNCTION("GOOGLETRANSLATE(C36,""fr"",""en"")"),"Simple, practical and very pleasant advisor! Online quote and contract made on the phone without problem, I highly recommend + very interesting sponsorship offer")</f>
        <v>Simple, practical and very pleasant advisor! Online quote and contract made on the phone without problem, I highly recommend + very interesting sponsorship offer</v>
      </c>
    </row>
    <row r="37" ht="15.75" customHeight="1">
      <c r="A37" s="2">
        <v>5.0</v>
      </c>
      <c r="B37" s="2" t="s">
        <v>153</v>
      </c>
      <c r="C37" s="2" t="s">
        <v>154</v>
      </c>
      <c r="D37" s="2" t="s">
        <v>25</v>
      </c>
      <c r="E37" s="2" t="s">
        <v>14</v>
      </c>
      <c r="F37" s="2" t="s">
        <v>15</v>
      </c>
      <c r="G37" s="2" t="s">
        <v>155</v>
      </c>
      <c r="H37" s="2" t="s">
        <v>101</v>
      </c>
      <c r="I37" s="2" t="str">
        <f>IFERROR(__xludf.DUMMYFUNCTION("GOOGLETRANSLATE(C37,""fr"",""en"")"),"I am very satisfied with the service, advise very listening to it and very kind I recommend Lolivier Insurance on a scale of 10 and the prices are very affordable.")</f>
        <v>I am very satisfied with the service, advise very listening to it and very kind I recommend Lolivier Insurance on a scale of 10 and the prices are very affordable.</v>
      </c>
    </row>
    <row r="38" ht="15.75" customHeight="1">
      <c r="A38" s="2">
        <v>1.0</v>
      </c>
      <c r="B38" s="2" t="s">
        <v>156</v>
      </c>
      <c r="C38" s="2" t="s">
        <v>157</v>
      </c>
      <c r="D38" s="2" t="s">
        <v>137</v>
      </c>
      <c r="E38" s="2" t="s">
        <v>45</v>
      </c>
      <c r="F38" s="2" t="s">
        <v>15</v>
      </c>
      <c r="G38" s="2" t="s">
        <v>158</v>
      </c>
      <c r="H38" s="2" t="s">
        <v>159</v>
      </c>
      <c r="I38" s="2" t="str">
        <f>IFERROR(__xludf.DUMMYFUNCTION("GOOGLETRANSLATE(C38,""fr"",""en"")"),"Since July 24, I have been waiting for a reimbursement of 255 euros corresponding to dental costs. This reimbursement was refused for the first time pretending a non-payment of my subscription. On August 4, a telephone advisor confirmed that I was up to d"&amp;"ate with my subscription and told me to make the request. Since I await the refund. No response to my email to customer service or the complaint service.")</f>
        <v>Since July 24, I have been waiting for a reimbursement of 255 euros corresponding to dental costs. This reimbursement was refused for the first time pretending a non-payment of my subscription. On August 4, a telephone advisor confirmed that I was up to date with my subscription and told me to make the request. Since I await the refund. No response to my email to customer service or the complaint service.</v>
      </c>
    </row>
    <row r="39" ht="15.75" customHeight="1">
      <c r="A39" s="2">
        <v>4.0</v>
      </c>
      <c r="B39" s="2" t="s">
        <v>160</v>
      </c>
      <c r="C39" s="2" t="s">
        <v>161</v>
      </c>
      <c r="D39" s="2" t="s">
        <v>162</v>
      </c>
      <c r="E39" s="2" t="s">
        <v>45</v>
      </c>
      <c r="F39" s="2" t="s">
        <v>15</v>
      </c>
      <c r="G39" s="2" t="s">
        <v>163</v>
      </c>
      <c r="H39" s="2" t="s">
        <v>164</v>
      </c>
      <c r="I39" s="2" t="str">
        <f>IFERROR(__xludf.DUMMYFUNCTION("GOOGLETRANSLATE(C39,""fr"",""en"")"),"Very satisfied after several calls so several people to have had Salima who solved my problem for me in 1 minute")</f>
        <v>Very satisfied after several calls so several people to have had Salima who solved my problem for me in 1 minute</v>
      </c>
    </row>
    <row r="40" ht="15.75" customHeight="1">
      <c r="A40" s="2">
        <v>4.0</v>
      </c>
      <c r="B40" s="2" t="s">
        <v>165</v>
      </c>
      <c r="C40" s="2" t="s">
        <v>166</v>
      </c>
      <c r="D40" s="2" t="s">
        <v>25</v>
      </c>
      <c r="E40" s="2" t="s">
        <v>14</v>
      </c>
      <c r="F40" s="2" t="s">
        <v>15</v>
      </c>
      <c r="G40" s="2" t="s">
        <v>167</v>
      </c>
      <c r="H40" s="2" t="s">
        <v>131</v>
      </c>
      <c r="I40" s="2" t="str">
        <f>IFERROR(__xludf.DUMMYFUNCTION("GOOGLETRANSLATE(C40,""fr"",""en"")"),"Very professional telephone reception to finalize the quote made on the site, attractive price compared to other insurers, the speed of verification of documents and the sending of the final green card")</f>
        <v>Very professional telephone reception to finalize the quote made on the site, attractive price compared to other insurers, the speed of verification of documents and the sending of the final green card</v>
      </c>
    </row>
    <row r="41" ht="15.75" customHeight="1">
      <c r="A41" s="2">
        <v>1.0</v>
      </c>
      <c r="B41" s="2" t="s">
        <v>168</v>
      </c>
      <c r="C41" s="2" t="s">
        <v>169</v>
      </c>
      <c r="D41" s="2" t="s">
        <v>39</v>
      </c>
      <c r="E41" s="2" t="s">
        <v>14</v>
      </c>
      <c r="F41" s="2" t="s">
        <v>15</v>
      </c>
      <c r="G41" s="2" t="s">
        <v>170</v>
      </c>
      <c r="H41" s="2" t="s">
        <v>109</v>
      </c>
      <c r="I41" s="2" t="str">
        <f>IFERROR(__xludf.DUMMYFUNCTION("GOOGLETRANSLATE(C41,""fr"",""en"")"),"I'm not at all happy. I can no longer receive a support for insurance. Just N&amp;B copies valid for 2 months. I always have an expired insurance proof and make me permanently verbalized .. it is very annoying !!!!!!")</f>
        <v>I'm not at all happy. I can no longer receive a support for insurance. Just N&amp;B copies valid for 2 months. I always have an expired insurance proof and make me permanently verbalized .. it is very annoying !!!!!!</v>
      </c>
    </row>
    <row r="42" ht="15.75" customHeight="1">
      <c r="A42" s="2">
        <v>5.0</v>
      </c>
      <c r="B42" s="2" t="s">
        <v>171</v>
      </c>
      <c r="C42" s="2" t="s">
        <v>172</v>
      </c>
      <c r="D42" s="2" t="s">
        <v>25</v>
      </c>
      <c r="E42" s="2" t="s">
        <v>14</v>
      </c>
      <c r="F42" s="2" t="s">
        <v>15</v>
      </c>
      <c r="G42" s="2" t="s">
        <v>173</v>
      </c>
      <c r="H42" s="2" t="s">
        <v>64</v>
      </c>
      <c r="I42" s="2" t="str">
        <f>IFERROR(__xludf.DUMMYFUNCTION("GOOGLETRANSLATE(C42,""fr"",""en"")"),"I am satisfied with the services offered by the Olivier Insurance, the prices are very affordable, especially for young drivers!
Insurance is done simply and in all speed.")</f>
        <v>I am satisfied with the services offered by the Olivier Insurance, the prices are very affordable, especially for young drivers!
Insurance is done simply and in all speed.</v>
      </c>
    </row>
    <row r="43" ht="15.75" customHeight="1">
      <c r="A43" s="2">
        <v>4.0</v>
      </c>
      <c r="B43" s="2" t="s">
        <v>174</v>
      </c>
      <c r="C43" s="2" t="s">
        <v>175</v>
      </c>
      <c r="D43" s="2" t="s">
        <v>176</v>
      </c>
      <c r="E43" s="2" t="s">
        <v>96</v>
      </c>
      <c r="F43" s="2" t="s">
        <v>15</v>
      </c>
      <c r="G43" s="2" t="s">
        <v>177</v>
      </c>
      <c r="H43" s="2" t="s">
        <v>178</v>
      </c>
      <c r="I43" s="2" t="str">
        <f>IFERROR(__xludf.DUMMYFUNCTION("GOOGLETRANSLATE(C43,""fr"",""en"")"),"15 years for me and 20 years for my husband at AFER. Nothing to complain about - always yield in the top 3. Personal support and displacements of advisers to your home. We had retributed to do 5 years ago it is true that it is up to have 15 to 20 days to "&amp;"really have funds, but it is thus on all life insurance, since withdrawals are subject to periods and buyout time.")</f>
        <v>15 years for me and 20 years for my husband at AFER. Nothing to complain about - always yield in the top 3. Personal support and displacements of advisers to your home. We had retributed to do 5 years ago it is true that it is up to have 15 to 20 days to really have funds, but it is thus on all life insurance, since withdrawals are subject to periods and buyout time.</v>
      </c>
    </row>
    <row r="44" ht="15.75" customHeight="1">
      <c r="A44" s="2">
        <v>5.0</v>
      </c>
      <c r="B44" s="2" t="s">
        <v>179</v>
      </c>
      <c r="C44" s="2" t="s">
        <v>180</v>
      </c>
      <c r="D44" s="2" t="s">
        <v>39</v>
      </c>
      <c r="E44" s="2" t="s">
        <v>14</v>
      </c>
      <c r="F44" s="2" t="s">
        <v>15</v>
      </c>
      <c r="G44" s="2" t="s">
        <v>181</v>
      </c>
      <c r="H44" s="2" t="s">
        <v>109</v>
      </c>
      <c r="I44" s="2" t="str">
        <f>IFERROR(__xludf.DUMMYFUNCTION("GOOGLETRANSLATE(C44,""fr"",""en"")"),"I am satisfied with the service. it was quick. The price is interesting and I will recommend to others. I will also be very happy that things will be done very quickly. I am in a hurry that everything is in order.")</f>
        <v>I am satisfied with the service. it was quick. The price is interesting and I will recommend to others. I will also be very happy that things will be done very quickly. I am in a hurry that everything is in order.</v>
      </c>
    </row>
    <row r="45" ht="15.75" customHeight="1">
      <c r="A45" s="2">
        <v>5.0</v>
      </c>
      <c r="B45" s="2" t="s">
        <v>182</v>
      </c>
      <c r="C45" s="2" t="s">
        <v>183</v>
      </c>
      <c r="D45" s="2" t="s">
        <v>25</v>
      </c>
      <c r="E45" s="2" t="s">
        <v>14</v>
      </c>
      <c r="F45" s="2" t="s">
        <v>15</v>
      </c>
      <c r="G45" s="2" t="s">
        <v>184</v>
      </c>
      <c r="H45" s="2" t="s">
        <v>185</v>
      </c>
      <c r="I45" s="2" t="str">
        <f>IFERROR(__xludf.DUMMYFUNCTION("GOOGLETRANSLATE(C45,""fr"",""en"")"),"I am very satisfied with the price/quality ratio of the insurance olive tree. In addition their loss management is very fast. They are very competent and responsive. material.")</f>
        <v>I am very satisfied with the price/quality ratio of the insurance olive tree. In addition their loss management is very fast. They are very competent and responsive. material.</v>
      </c>
    </row>
    <row r="46" ht="15.75" customHeight="1">
      <c r="A46" s="2">
        <v>5.0</v>
      </c>
      <c r="B46" s="2" t="s">
        <v>186</v>
      </c>
      <c r="C46" s="2" t="s">
        <v>187</v>
      </c>
      <c r="D46" s="2" t="s">
        <v>39</v>
      </c>
      <c r="E46" s="2" t="s">
        <v>14</v>
      </c>
      <c r="F46" s="2" t="s">
        <v>15</v>
      </c>
      <c r="G46" s="2" t="s">
        <v>188</v>
      </c>
      <c r="H46" s="2" t="s">
        <v>77</v>
      </c>
      <c r="I46" s="2" t="str">
        <f>IFERROR(__xludf.DUMMYFUNCTION("GOOGLETRANSLATE(C46,""fr"",""en"")"),"I am completely satisfied with the service offered. No waiting on the phone, quick and precise response. Pleasant and serious contacts I recommend this insurance")</f>
        <v>I am completely satisfied with the service offered. No waiting on the phone, quick and precise response. Pleasant and serious contacts I recommend this insurance</v>
      </c>
    </row>
    <row r="47" ht="15.75" customHeight="1">
      <c r="A47" s="2">
        <v>4.0</v>
      </c>
      <c r="B47" s="2" t="s">
        <v>189</v>
      </c>
      <c r="C47" s="2" t="s">
        <v>190</v>
      </c>
      <c r="D47" s="2" t="s">
        <v>25</v>
      </c>
      <c r="E47" s="2" t="s">
        <v>14</v>
      </c>
      <c r="F47" s="2" t="s">
        <v>15</v>
      </c>
      <c r="G47" s="2" t="s">
        <v>191</v>
      </c>
      <c r="H47" s="2" t="s">
        <v>101</v>
      </c>
      <c r="I47" s="2" t="str">
        <f>IFERROR(__xludf.DUMMYFUNCTION("GOOGLETRANSLATE(C47,""fr"",""en"")"),"I am satisfied with the price and the information that the advisor to formulate.
Fast and very effective for any information gave by the advisor")</f>
        <v>I am satisfied with the price and the information that the advisor to formulate.
Fast and very effective for any information gave by the advisor</v>
      </c>
    </row>
    <row r="48" ht="15.75" customHeight="1">
      <c r="A48" s="2">
        <v>3.0</v>
      </c>
      <c r="B48" s="2" t="s">
        <v>192</v>
      </c>
      <c r="C48" s="2" t="s">
        <v>193</v>
      </c>
      <c r="D48" s="2" t="s">
        <v>39</v>
      </c>
      <c r="E48" s="2" t="s">
        <v>14</v>
      </c>
      <c r="F48" s="2" t="s">
        <v>15</v>
      </c>
      <c r="G48" s="2" t="s">
        <v>194</v>
      </c>
      <c r="H48" s="2" t="s">
        <v>77</v>
      </c>
      <c r="I48" s="2" t="str">
        <f>IFERROR(__xludf.DUMMYFUNCTION("GOOGLETRANSLATE(C48,""fr"",""en"")"),"The offer offered is interesting and the internet experience is educational.
The Youdrive system is a great idea")</f>
        <v>The offer offered is interesting and the internet experience is educational.
The Youdrive system is a great idea</v>
      </c>
    </row>
    <row r="49" ht="15.75" customHeight="1">
      <c r="A49" s="2">
        <v>5.0</v>
      </c>
      <c r="B49" s="2" t="s">
        <v>195</v>
      </c>
      <c r="C49" s="2" t="s">
        <v>196</v>
      </c>
      <c r="D49" s="2" t="s">
        <v>25</v>
      </c>
      <c r="E49" s="2" t="s">
        <v>14</v>
      </c>
      <c r="F49" s="2" t="s">
        <v>15</v>
      </c>
      <c r="G49" s="2" t="s">
        <v>197</v>
      </c>
      <c r="H49" s="2" t="s">
        <v>198</v>
      </c>
      <c r="I49" s="2" t="str">
        <f>IFERROR(__xludf.DUMMYFUNCTION("GOOGLETRANSLATE(C49,""fr"",""en"")"),"Very good insurance very good responsiveness at each request on my part and satisfying my request because it always finds solutions cordially")</f>
        <v>Very good insurance very good responsiveness at each request on my part and satisfying my request because it always finds solutions cordially</v>
      </c>
    </row>
    <row r="50" ht="15.75" customHeight="1">
      <c r="A50" s="2">
        <v>4.0</v>
      </c>
      <c r="B50" s="2" t="s">
        <v>199</v>
      </c>
      <c r="C50" s="2" t="s">
        <v>200</v>
      </c>
      <c r="D50" s="2" t="s">
        <v>39</v>
      </c>
      <c r="E50" s="2" t="s">
        <v>14</v>
      </c>
      <c r="F50" s="2" t="s">
        <v>15</v>
      </c>
      <c r="G50" s="2" t="s">
        <v>201</v>
      </c>
      <c r="H50" s="2" t="s">
        <v>202</v>
      </c>
      <c r="I50" s="2" t="str">
        <f>IFERROR(__xludf.DUMMYFUNCTION("GOOGLETRANSLATE(C50,""fr"",""en"")"),"The price is a bit high but it is a good offer because everything I want is included in the options. I hope the price will drop over time")</f>
        <v>The price is a bit high but it is a good offer because everything I want is included in the options. I hope the price will drop over time</v>
      </c>
    </row>
    <row r="51" ht="15.75" customHeight="1">
      <c r="A51" s="2">
        <v>5.0</v>
      </c>
      <c r="B51" s="2" t="s">
        <v>203</v>
      </c>
      <c r="C51" s="2" t="s">
        <v>204</v>
      </c>
      <c r="D51" s="2" t="s">
        <v>25</v>
      </c>
      <c r="E51" s="2" t="s">
        <v>14</v>
      </c>
      <c r="F51" s="2" t="s">
        <v>15</v>
      </c>
      <c r="G51" s="2" t="s">
        <v>205</v>
      </c>
      <c r="H51" s="2" t="s">
        <v>101</v>
      </c>
      <c r="I51" s="2" t="str">
        <f>IFERROR(__xludf.DUMMYFUNCTION("GOOGLETRANSLATE(C51,""fr"",""en"")"),"The information requested was very clear ... I am satisfied service ... prices suit me ... simple and practical ... The site is very well done ...")</f>
        <v>The information requested was very clear ... I am satisfied service ... prices suit me ... simple and practical ... The site is very well done ...</v>
      </c>
    </row>
    <row r="52" ht="15.75" customHeight="1">
      <c r="A52" s="2">
        <v>2.0</v>
      </c>
      <c r="B52" s="2" t="s">
        <v>206</v>
      </c>
      <c r="C52" s="2" t="s">
        <v>207</v>
      </c>
      <c r="D52" s="2" t="s">
        <v>208</v>
      </c>
      <c r="E52" s="2" t="s">
        <v>14</v>
      </c>
      <c r="F52" s="2" t="s">
        <v>15</v>
      </c>
      <c r="G52" s="2" t="s">
        <v>17</v>
      </c>
      <c r="H52" s="2" t="s">
        <v>17</v>
      </c>
      <c r="I52" s="2" t="str">
        <f>IFERROR(__xludf.DUMMYFUNCTION("GOOGLETRANSLATE(C52,""fr"",""en"")"),"Dispute with a garage which refuses to apply the 3 month engine warranty.
After recommended .. APPELS
Insurance radio silence about 2 months repairs to my charge.
Inefficacite and abandonment of the customer
Zero
")</f>
        <v>Dispute with a garage which refuses to apply the 3 month engine warranty.
After recommended .. APPELS
Insurance radio silence about 2 months repairs to my charge.
Inefficacite and abandonment of the customer
Zero
</v>
      </c>
    </row>
    <row r="53" ht="15.75" customHeight="1">
      <c r="A53" s="2">
        <v>4.0</v>
      </c>
      <c r="B53" s="2" t="s">
        <v>209</v>
      </c>
      <c r="C53" s="2" t="s">
        <v>210</v>
      </c>
      <c r="D53" s="2" t="s">
        <v>162</v>
      </c>
      <c r="E53" s="2" t="s">
        <v>45</v>
      </c>
      <c r="F53" s="2" t="s">
        <v>15</v>
      </c>
      <c r="G53" s="2" t="s">
        <v>211</v>
      </c>
      <c r="H53" s="2" t="s">
        <v>212</v>
      </c>
      <c r="I53" s="2" t="str">
        <f>IFERROR(__xludf.DUMMYFUNCTION("GOOGLETRANSLATE(C53,""fr"",""en"")"),"I was put in contact with Caroline. Very friendly agent, attentive and who makes his best to quickly meet demand.
I recommend.")</f>
        <v>I was put in contact with Caroline. Very friendly agent, attentive and who makes his best to quickly meet demand.
I recommend.</v>
      </c>
    </row>
    <row r="54" ht="15.75" customHeight="1">
      <c r="A54" s="2">
        <v>2.0</v>
      </c>
      <c r="B54" s="2" t="s">
        <v>213</v>
      </c>
      <c r="C54" s="2" t="s">
        <v>214</v>
      </c>
      <c r="D54" s="2" t="s">
        <v>39</v>
      </c>
      <c r="E54" s="2" t="s">
        <v>14</v>
      </c>
      <c r="F54" s="2" t="s">
        <v>15</v>
      </c>
      <c r="G54" s="2" t="s">
        <v>215</v>
      </c>
      <c r="H54" s="2" t="s">
        <v>216</v>
      </c>
      <c r="I54" s="2" t="str">
        <f>IFERROR(__xludf.DUMMYFUNCTION("GOOGLETRANSLATE(C54,""fr"",""en"")"),"I had a completely not responsible accident in 2015 involving bodily damage which has still not been compensated for me, the material damage was quickly compensated. Direct Insurance replies that it is me to contact the German insurer (the people who hit "&amp;"me was German) to request compensation. So I pay a subscription for insurance for whom I must in fact do the administrative procedures.
And today 2017 I sold my clio and bought a scenic I therefore ask for a change of vehicle on my contract. In the end t"&amp;"hey made 2 contracts to me, 1 for my Clio while I sent them the transfer paper. And 1 for the scenic, so it's been 3 months since I pay a double contribution and that no one answers me or take into account the problem.")</f>
        <v>I had a completely not responsible accident in 2015 involving bodily damage which has still not been compensated for me, the material damage was quickly compensated. Direct Insurance replies that it is me to contact the German insurer (the people who hit me was German) to request compensation. So I pay a subscription for insurance for whom I must in fact do the administrative procedures.
And today 2017 I sold my clio and bought a scenic I therefore ask for a change of vehicle on my contract. In the end they made 2 contracts to me, 1 for my Clio while I sent them the transfer paper. And 1 for the scenic, so it's been 3 months since I pay a double contribution and that no one answers me or take into account the problem.</v>
      </c>
    </row>
    <row r="55" ht="15.75" customHeight="1">
      <c r="A55" s="2">
        <v>1.0</v>
      </c>
      <c r="B55" s="2" t="s">
        <v>217</v>
      </c>
      <c r="C55" s="2" t="s">
        <v>218</v>
      </c>
      <c r="D55" s="2" t="s">
        <v>219</v>
      </c>
      <c r="E55" s="2" t="s">
        <v>14</v>
      </c>
      <c r="F55" s="2" t="s">
        <v>15</v>
      </c>
      <c r="G55" s="2" t="s">
        <v>220</v>
      </c>
      <c r="H55" s="2" t="s">
        <v>41</v>
      </c>
      <c r="I55" s="2" t="str">
        <f>IFERROR(__xludf.DUMMYFUNCTION("GOOGLETRANSLATE(C55,""fr"",""en"")"),"Very incompetent! Do not want to take the lead too much to work so they do not find you solutions, it looks like they are making us a favor when it is we customers .... Impossible to ensure a car alone at them if we do not give it all the insurance we hav"&amp;"e. No respect for the customer, even they are laughing at us. I don't recommend everything!")</f>
        <v>Very incompetent! Do not want to take the lead too much to work so they do not find you solutions, it looks like they are making us a favor when it is we customers .... Impossible to ensure a car alone at them if we do not give it all the insurance we have. No respect for the customer, even they are laughing at us. I don't recommend everything!</v>
      </c>
    </row>
    <row r="56" ht="15.75" customHeight="1">
      <c r="A56" s="2">
        <v>5.0</v>
      </c>
      <c r="B56" s="2" t="s">
        <v>221</v>
      </c>
      <c r="C56" s="2" t="s">
        <v>222</v>
      </c>
      <c r="D56" s="2" t="s">
        <v>25</v>
      </c>
      <c r="E56" s="2" t="s">
        <v>14</v>
      </c>
      <c r="F56" s="2" t="s">
        <v>15</v>
      </c>
      <c r="G56" s="2" t="s">
        <v>223</v>
      </c>
      <c r="H56" s="2" t="s">
        <v>224</v>
      </c>
      <c r="I56" s="2" t="str">
        <f>IFERROR(__xludf.DUMMYFUNCTION("GOOGLETRANSLATE(C56,""fr"",""en"")"),"The best insurance I have ever had.
100% satisfied")</f>
        <v>The best insurance I have ever had.
100% satisfied</v>
      </c>
    </row>
    <row r="57" ht="15.75" customHeight="1">
      <c r="A57" s="2">
        <v>5.0</v>
      </c>
      <c r="B57" s="2" t="s">
        <v>225</v>
      </c>
      <c r="C57" s="2" t="s">
        <v>226</v>
      </c>
      <c r="D57" s="2" t="s">
        <v>107</v>
      </c>
      <c r="E57" s="2" t="s">
        <v>45</v>
      </c>
      <c r="F57" s="2" t="s">
        <v>15</v>
      </c>
      <c r="G57" s="2" t="s">
        <v>227</v>
      </c>
      <c r="H57" s="2" t="s">
        <v>120</v>
      </c>
      <c r="I57" s="2" t="str">
        <f>IFERROR(__xludf.DUMMYFUNCTION("GOOGLETRANSLATE(C57,""fr"",""en"")"),"Hello I wanted to give my opinion on your Emeline employee whom I find very competent is very friendly it is nice to have people like that on the phone Regards Mr. Perez")</f>
        <v>Hello I wanted to give my opinion on your Emeline employee whom I find very competent is very friendly it is nice to have people like that on the phone Regards Mr. Perez</v>
      </c>
    </row>
    <row r="58" ht="15.75" customHeight="1">
      <c r="A58" s="2">
        <v>3.0</v>
      </c>
      <c r="B58" s="2" t="s">
        <v>228</v>
      </c>
      <c r="C58" s="2" t="s">
        <v>229</v>
      </c>
      <c r="D58" s="2" t="s">
        <v>39</v>
      </c>
      <c r="E58" s="2" t="s">
        <v>14</v>
      </c>
      <c r="F58" s="2" t="s">
        <v>15</v>
      </c>
      <c r="G58" s="2" t="s">
        <v>230</v>
      </c>
      <c r="H58" s="2" t="s">
        <v>101</v>
      </c>
      <c r="I58" s="2" t="str">
        <f>IFERROR(__xludf.DUMMYFUNCTION("GOOGLETRANSLATE(C58,""fr"",""en"")"),"I am satisfied with my insurance. But having not yet had claims, I am waiting to see at that time to find out what Direct Insurance is worth :-)")</f>
        <v>I am satisfied with my insurance. But having not yet had claims, I am waiting to see at that time to find out what Direct Insurance is worth :-)</v>
      </c>
    </row>
    <row r="59" ht="15.75" customHeight="1">
      <c r="A59" s="2">
        <v>1.0</v>
      </c>
      <c r="B59" s="2" t="s">
        <v>231</v>
      </c>
      <c r="C59" s="2" t="s">
        <v>232</v>
      </c>
      <c r="D59" s="2" t="s">
        <v>219</v>
      </c>
      <c r="E59" s="2" t="s">
        <v>233</v>
      </c>
      <c r="F59" s="2" t="s">
        <v>15</v>
      </c>
      <c r="G59" s="2" t="s">
        <v>234</v>
      </c>
      <c r="H59" s="2" t="s">
        <v>64</v>
      </c>
      <c r="I59" s="2" t="str">
        <f>IFERROR(__xludf.DUMMYFUNCTION("GOOGLETRANSLATE(C59,""fr"",""en"")"),"Operated with very rare cancer in September 2020 and under treatment since I was summoned by an expert doctor in May 2021 who declared me able to resume my work full time and those since December 2020 or 3 months after an operation which lasted 7 hours an"&amp;"d against medical opinion of my oncologist because of the many side effects of my treatment
So I received in July a letter stipulating that they stopped paying the services!
I asked for a counter expertise and the ... second surprise 320 euros to pay!
"&amp;"All this must be denounced !!
Scandalous practice
")</f>
        <v>Operated with very rare cancer in September 2020 and under treatment since I was summoned by an expert doctor in May 2021 who declared me able to resume my work full time and those since December 2020 or 3 months after an operation which lasted 7 hours and against medical opinion of my oncologist because of the many side effects of my treatment
So I received in July a letter stipulating that they stopped paying the services!
I asked for a counter expertise and the ... second surprise 320 euros to pay!
All this must be denounced !!
Scandalous practice
</v>
      </c>
    </row>
    <row r="60" ht="15.75" customHeight="1">
      <c r="A60" s="2">
        <v>5.0</v>
      </c>
      <c r="B60" s="2" t="s">
        <v>235</v>
      </c>
      <c r="C60" s="2" t="s">
        <v>236</v>
      </c>
      <c r="D60" s="2" t="s">
        <v>39</v>
      </c>
      <c r="E60" s="2" t="s">
        <v>50</v>
      </c>
      <c r="F60" s="2" t="s">
        <v>15</v>
      </c>
      <c r="G60" s="2" t="s">
        <v>237</v>
      </c>
      <c r="H60" s="2" t="s">
        <v>238</v>
      </c>
      <c r="I60" s="2" t="str">
        <f>IFERROR(__xludf.DUMMYFUNCTION("GOOGLETRANSLATE(C60,""fr"",""en"")"),"I am satisfied with the service and the prices offered
No problem for the request for a quote more difficulties in filling out the satisfaction sheet
Nothing more to add")</f>
        <v>I am satisfied with the service and the prices offered
No problem for the request for a quote more difficulties in filling out the satisfaction sheet
Nothing more to add</v>
      </c>
    </row>
    <row r="61" ht="15.75" customHeight="1">
      <c r="A61" s="2">
        <v>1.0</v>
      </c>
      <c r="B61" s="2" t="s">
        <v>239</v>
      </c>
      <c r="C61" s="2" t="s">
        <v>240</v>
      </c>
      <c r="D61" s="2" t="s">
        <v>241</v>
      </c>
      <c r="E61" s="2" t="s">
        <v>233</v>
      </c>
      <c r="F61" s="2" t="s">
        <v>15</v>
      </c>
      <c r="G61" s="2" t="s">
        <v>242</v>
      </c>
      <c r="H61" s="2" t="s">
        <v>17</v>
      </c>
      <c r="I61" s="2" t="str">
        <f>IFERROR(__xludf.DUMMYFUNCTION("GOOGLETRANSLATE(C61,""fr"",""en"")"),"Like all mutuals, to collect the premiums no problem, for reimbursement this is complicated.
Change during the contract of the condition of reimbursement of allowances linked to a loss of salary.
Half treatment was enough, now you need an more administr"&amp;"ative decree.
I naively thought that half treatment was justified with half a treatment on a pay sheet. Recently it has not been enough for the MGP.")</f>
        <v>Like all mutuals, to collect the premiums no problem, for reimbursement this is complicated.
Change during the contract of the condition of reimbursement of allowances linked to a loss of salary.
Half treatment was enough, now you need an more administrative decree.
I naively thought that half treatment was justified with half a treatment on a pay sheet. Recently it has not been enough for the MGP.</v>
      </c>
    </row>
    <row r="62" ht="15.75" customHeight="1">
      <c r="A62" s="2">
        <v>5.0</v>
      </c>
      <c r="B62" s="2" t="s">
        <v>243</v>
      </c>
      <c r="C62" s="2" t="s">
        <v>244</v>
      </c>
      <c r="D62" s="2" t="s">
        <v>25</v>
      </c>
      <c r="E62" s="2" t="s">
        <v>14</v>
      </c>
      <c r="F62" s="2" t="s">
        <v>15</v>
      </c>
      <c r="G62" s="2" t="s">
        <v>245</v>
      </c>
      <c r="H62" s="2" t="s">
        <v>113</v>
      </c>
      <c r="I62" s="2" t="str">
        <f>IFERROR(__xludf.DUMMYFUNCTION("GOOGLETRANSLATE(C62,""fr"",""en"")"),"Until now everything is excellent, I really appreciate the effort of this company to adapt to the market actually for the least positioned")</f>
        <v>Until now everything is excellent, I really appreciate the effort of this company to adapt to the market actually for the least positioned</v>
      </c>
    </row>
    <row r="63" ht="15.75" customHeight="1">
      <c r="A63" s="2">
        <v>1.0</v>
      </c>
      <c r="B63" s="2" t="s">
        <v>246</v>
      </c>
      <c r="C63" s="2" t="s">
        <v>247</v>
      </c>
      <c r="D63" s="2" t="s">
        <v>55</v>
      </c>
      <c r="E63" s="2" t="s">
        <v>14</v>
      </c>
      <c r="F63" s="2" t="s">
        <v>15</v>
      </c>
      <c r="G63" s="2" t="s">
        <v>248</v>
      </c>
      <c r="H63" s="2" t="s">
        <v>249</v>
      </c>
      <c r="I63" s="2" t="str">
        <f>IFERROR(__xludf.DUMMYFUNCTION("GOOGLETRANSLATE(C63,""fr"",""en"")"),"Avoid at all costs
Trip without any care and without any reason
Response from the sales service we stop your contract as you can stop it always paid my contributions never had an accident
Thank you for not going back to me in the comments below because"&amp;" no solution was found and above all no reason has been communicated to me")</f>
        <v>Avoid at all costs
Trip without any care and without any reason
Response from the sales service we stop your contract as you can stop it always paid my contributions never had an accident
Thank you for not going back to me in the comments below because no solution was found and above all no reason has been communicated to me</v>
      </c>
    </row>
    <row r="64" ht="15.75" customHeight="1">
      <c r="A64" s="2">
        <v>1.0</v>
      </c>
      <c r="B64" s="2" t="s">
        <v>250</v>
      </c>
      <c r="C64" s="2" t="s">
        <v>251</v>
      </c>
      <c r="D64" s="2" t="s">
        <v>13</v>
      </c>
      <c r="E64" s="2" t="s">
        <v>14</v>
      </c>
      <c r="F64" s="2" t="s">
        <v>15</v>
      </c>
      <c r="G64" s="2" t="s">
        <v>252</v>
      </c>
      <c r="H64" s="2" t="s">
        <v>253</v>
      </c>
      <c r="I64" s="2" t="str">
        <f>IFERROR(__xludf.DUMMYFUNCTION("GOOGLETRANSLATE(C64,""fr"",""en"")"),"Very old customers of the agricultural credit and pacifica I am scandalized by the customer service of Pacifica Privas who after having transmitted a false digitized and proven by the impossibility of providing an accounting document of termination.
Zlor"&amp;"s that I never asked for a termination, Pacifica pretended that I would have terminated my contract by providing me with a featured copy of termination.
And while I dispute and prove the false provided by Pacifica. In the reclaiming the accounting docume"&amp;"nt of this termination which necessarily is provided. With a refund of too much taken.
Pacifica does not repunde Pad and covers the false established by an adviser from the Credit Agricole de Ruoms
This advisor had transmitted all my bank accounts to th"&amp;"e same date to a third party that I was able to proven.
The Legal Service of Credit Agricole presented me then apologies
In this Delit covered by Pacifica Proven, it is found that all advisers can intervene on customer accounts. Without security for Cre"&amp;"dit Agricole and Pacifica customers and Privas customer service refuses to answer the Righteous. Reclamations by covering the sudden delits by customers
This service refuses to provide the situation of insured requested legally")</f>
        <v>Very old customers of the agricultural credit and pacifica I am scandalized by the customer service of Pacifica Privas who after having transmitted a false digitized and proven by the impossibility of providing an accounting document of termination.
Zlors that I never asked for a termination, Pacifica pretended that I would have terminated my contract by providing me with a featured copy of termination.
And while I dispute and prove the false provided by Pacifica. In the reclaiming the accounting document of this termination which necessarily is provided. With a refund of too much taken.
Pacifica does not repunde Pad and covers the false established by an adviser from the Credit Agricole de Ruoms
This advisor had transmitted all my bank accounts to the same date to a third party that I was able to proven.
The Legal Service of Credit Agricole presented me then apologies
In this Delit covered by Pacifica Proven, it is found that all advisers can intervene on customer accounts. Without security for Credit Agricole and Pacifica customers and Privas customer service refuses to answer the Righteous. Reclamations by covering the sudden delits by customers
This service refuses to provide the situation of insured requested legally</v>
      </c>
    </row>
    <row r="65" ht="15.75" customHeight="1">
      <c r="A65" s="2">
        <v>5.0</v>
      </c>
      <c r="B65" s="2" t="s">
        <v>254</v>
      </c>
      <c r="C65" s="2" t="s">
        <v>255</v>
      </c>
      <c r="D65" s="2" t="s">
        <v>13</v>
      </c>
      <c r="E65" s="2" t="s">
        <v>50</v>
      </c>
      <c r="F65" s="2" t="s">
        <v>15</v>
      </c>
      <c r="G65" s="2" t="s">
        <v>256</v>
      </c>
      <c r="H65" s="2" t="s">
        <v>84</v>
      </c>
      <c r="I65" s="2" t="str">
        <f>IFERROR(__xludf.DUMMYFUNCTION("GOOGLETRANSLATE(C65,""fr"",""en"")"),"Following a violent thunderstorm, lightning damaged the outdoor air conditioning unit.
I was able to quickly report this incident to a Pacifica advisor.
A week after sending the repair bill, the Pacifica M group compensated.
I am therefore satisfied.")</f>
        <v>Following a violent thunderstorm, lightning damaged the outdoor air conditioning unit.
I was able to quickly report this incident to a Pacifica advisor.
A week after sending the repair bill, the Pacifica M group compensated.
I am therefore satisfied.</v>
      </c>
    </row>
    <row r="66" ht="15.75" customHeight="1">
      <c r="A66" s="2">
        <v>1.0</v>
      </c>
      <c r="B66" s="2" t="s">
        <v>257</v>
      </c>
      <c r="C66" s="2" t="s">
        <v>258</v>
      </c>
      <c r="D66" s="2" t="s">
        <v>259</v>
      </c>
      <c r="E66" s="2" t="s">
        <v>50</v>
      </c>
      <c r="F66" s="2" t="s">
        <v>15</v>
      </c>
      <c r="G66" s="2" t="s">
        <v>260</v>
      </c>
      <c r="H66" s="2" t="s">
        <v>159</v>
      </c>
      <c r="I66" s="2" t="str">
        <f>IFERROR(__xludf.DUMMYFUNCTION("GOOGLETRANSLATE(C66,""fr"",""en"")"),"A Macif agency advisor forces me to accept a direct debit to ensure 3 months a seasonal rental. Having however provided the inventory of exit to agency 29, as well as by email, the Macif continued to take me the following month, without wanting to reimbur"&amp;"se me.")</f>
        <v>A Macif agency advisor forces me to accept a direct debit to ensure 3 months a seasonal rental. Having however provided the inventory of exit to agency 29, as well as by email, the Macif continued to take me the following month, without wanting to reimburse me.</v>
      </c>
    </row>
    <row r="67" ht="15.75" customHeight="1">
      <c r="A67" s="2">
        <v>1.0</v>
      </c>
      <c r="B67" s="2" t="s">
        <v>261</v>
      </c>
      <c r="C67" s="2" t="s">
        <v>262</v>
      </c>
      <c r="D67" s="2" t="s">
        <v>25</v>
      </c>
      <c r="E67" s="2" t="s">
        <v>14</v>
      </c>
      <c r="F67" s="2" t="s">
        <v>15</v>
      </c>
      <c r="G67" s="2" t="s">
        <v>263</v>
      </c>
      <c r="H67" s="2" t="s">
        <v>113</v>
      </c>
      <c r="I67" s="2" t="str">
        <f>IFERROR(__xludf.DUMMYFUNCTION("GOOGLETRANSLATE(C67,""fr"",""en"")"),"Hello, I do not recommend this insurer. The 2nd year of my contract, the olive tree increased my contract to me without warning more than 20%. I had to fight to pay the same amount as the 1st year. The 3rd year The olive tree terminates the contract witho"&amp;"ut any proof and refuses to give me the explanation (I have no penalty or anything). In short to flee")</f>
        <v>Hello, I do not recommend this insurer. The 2nd year of my contract, the olive tree increased my contract to me without warning more than 20%. I had to fight to pay the same amount as the 1st year. The 3rd year The olive tree terminates the contract without any proof and refuses to give me the explanation (I have no penalty or anything). In short to flee</v>
      </c>
    </row>
    <row r="68" ht="15.75" customHeight="1">
      <c r="A68" s="2">
        <v>4.0</v>
      </c>
      <c r="B68" s="2" t="s">
        <v>264</v>
      </c>
      <c r="C68" s="2" t="s">
        <v>265</v>
      </c>
      <c r="D68" s="2" t="s">
        <v>25</v>
      </c>
      <c r="E68" s="2" t="s">
        <v>14</v>
      </c>
      <c r="F68" s="2" t="s">
        <v>15</v>
      </c>
      <c r="G68" s="2" t="s">
        <v>266</v>
      </c>
      <c r="H68" s="2" t="s">
        <v>27</v>
      </c>
      <c r="I68" s="2" t="str">
        <f>IFERROR(__xludf.DUMMYFUNCTION("GOOGLETRANSLATE(C68,""fr"",""en"")"),"I am satisfied with the speed of the procedure even if it would have been increased if the online form had not dysfunctioned.
The prices are competitive.")</f>
        <v>I am satisfied with the speed of the procedure even if it would have been increased if the online form had not dysfunctioned.
The prices are competitive.</v>
      </c>
    </row>
    <row r="69" ht="15.75" customHeight="1">
      <c r="A69" s="2">
        <v>3.0</v>
      </c>
      <c r="B69" s="2" t="s">
        <v>267</v>
      </c>
      <c r="C69" s="2" t="s">
        <v>268</v>
      </c>
      <c r="D69" s="2" t="s">
        <v>39</v>
      </c>
      <c r="E69" s="2" t="s">
        <v>14</v>
      </c>
      <c r="F69" s="2" t="s">
        <v>15</v>
      </c>
      <c r="G69" s="2" t="s">
        <v>242</v>
      </c>
      <c r="H69" s="2" t="s">
        <v>17</v>
      </c>
      <c r="I69" s="2" t="str">
        <f>IFERROR(__xludf.DUMMYFUNCTION("GOOGLETRANSLATE(C69,""fr"",""en"")"),"Attractive call price but when we add some comfort and safety options, the price is almost doubled .....
Registration for the contract is rather fast")</f>
        <v>Attractive call price but when we add some comfort and safety options, the price is almost doubled .....
Registration for the contract is rather fast</v>
      </c>
    </row>
    <row r="70" ht="15.75" customHeight="1">
      <c r="A70" s="2">
        <v>4.0</v>
      </c>
      <c r="B70" s="2" t="s">
        <v>269</v>
      </c>
      <c r="C70" s="2" t="s">
        <v>270</v>
      </c>
      <c r="D70" s="2" t="s">
        <v>25</v>
      </c>
      <c r="E70" s="2" t="s">
        <v>14</v>
      </c>
      <c r="F70" s="2" t="s">
        <v>15</v>
      </c>
      <c r="G70" s="2" t="s">
        <v>134</v>
      </c>
      <c r="H70" s="2" t="s">
        <v>101</v>
      </c>
      <c r="I70" s="2" t="str">
        <f>IFERROR(__xludf.DUMMYFUNCTION("GOOGLETRANSLATE(C70,""fr"",""en"")"),"I am satisfied, reactive insurance and listening to its customers. The prices are reasonable and within everyone's reach. I recommend this insurance.")</f>
        <v>I am satisfied, reactive insurance and listening to its customers. The prices are reasonable and within everyone's reach. I recommend this insurance.</v>
      </c>
    </row>
    <row r="71" ht="15.75" customHeight="1">
      <c r="A71" s="2">
        <v>1.0</v>
      </c>
      <c r="B71" s="2" t="s">
        <v>271</v>
      </c>
      <c r="C71" s="2" t="s">
        <v>272</v>
      </c>
      <c r="D71" s="2" t="s">
        <v>39</v>
      </c>
      <c r="E71" s="2" t="s">
        <v>14</v>
      </c>
      <c r="F71" s="2" t="s">
        <v>15</v>
      </c>
      <c r="G71" s="2" t="s">
        <v>104</v>
      </c>
      <c r="H71" s="2" t="s">
        <v>84</v>
      </c>
      <c r="I71" s="2" t="str">
        <f>IFERROR(__xludf.DUMMYFUNCTION("GOOGLETRANSLATE(C71,""fr"",""en"")"),"3 cars insured at home, 1 residential quote ready to be signed. and payment cash in the year.
I modify a contract to add the ice of ice; For the declaration I remain honest, the broken ice occurred before the modification of the contract .... Da still un"&amp;"locks my file (cool) but, ends up reminding me ..... once the windshield has been changed (So ​​this one, it is beautiful), telling me that it is not ultimately possible and, that I will have to settle the amount directly!
No possible negotiations, I am "&amp;"told that I made a false statement.
A lot of year insured with them (more than 5 years) with 1 non -responsible accident.
  I terminated my 3 contracts within an hour and paid Carglass (around € 600). DA, very little for me, cheap but in the end, not as"&amp;"sured!")</f>
        <v>3 cars insured at home, 1 residential quote ready to be signed. and payment cash in the year.
I modify a contract to add the ice of ice; For the declaration I remain honest, the broken ice occurred before the modification of the contract .... Da still unlocks my file (cool) but, ends up reminding me ..... once the windshield has been changed (So ​​this one, it is beautiful), telling me that it is not ultimately possible and, that I will have to settle the amount directly!
No possible negotiations, I am told that I made a false statement.
A lot of year insured with them (more than 5 years) with 1 non -responsible accident.
  I terminated my 3 contracts within an hour and paid Carglass (around € 600). DA, very little for me, cheap but in the end, not assured!</v>
      </c>
    </row>
    <row r="72" ht="15.75" customHeight="1">
      <c r="A72" s="2">
        <v>3.0</v>
      </c>
      <c r="B72" s="2" t="s">
        <v>273</v>
      </c>
      <c r="C72" s="2" t="s">
        <v>274</v>
      </c>
      <c r="D72" s="2" t="s">
        <v>39</v>
      </c>
      <c r="E72" s="2" t="s">
        <v>14</v>
      </c>
      <c r="F72" s="2" t="s">
        <v>15</v>
      </c>
      <c r="G72" s="2" t="s">
        <v>275</v>
      </c>
      <c r="H72" s="2" t="s">
        <v>113</v>
      </c>
      <c r="I72" s="2" t="str">
        <f>IFERROR(__xludf.DUMMYFUNCTION("GOOGLETRANSLATE(C72,""fr"",""en"")"),"Not easy to have an online advisor on the site (often no agent)
On the phone for home liability home insurance C Complicated
To download this certificate is not available")</f>
        <v>Not easy to have an online advisor on the site (often no agent)
On the phone for home liability home insurance C Complicated
To download this certificate is not available</v>
      </c>
    </row>
    <row r="73" ht="15.75" customHeight="1">
      <c r="A73" s="2">
        <v>4.0</v>
      </c>
      <c r="B73" s="2" t="s">
        <v>276</v>
      </c>
      <c r="C73" s="2" t="s">
        <v>277</v>
      </c>
      <c r="D73" s="2" t="s">
        <v>39</v>
      </c>
      <c r="E73" s="2" t="s">
        <v>14</v>
      </c>
      <c r="F73" s="2" t="s">
        <v>15</v>
      </c>
      <c r="G73" s="2" t="s">
        <v>278</v>
      </c>
      <c r="H73" s="2" t="s">
        <v>84</v>
      </c>
      <c r="I73" s="2" t="str">
        <f>IFERROR(__xludf.DUMMYFUNCTION("GOOGLETRANSLATE(C73,""fr"",""en"")"),"Overall happy, the prices are competitive even if I don't like having options everywhere. And the deductible each time a little")</f>
        <v>Overall happy, the prices are competitive even if I don't like having options everywhere. And the deductible each time a little</v>
      </c>
    </row>
    <row r="74" ht="15.75" customHeight="1">
      <c r="A74" s="2">
        <v>2.0</v>
      </c>
      <c r="B74" s="2" t="s">
        <v>279</v>
      </c>
      <c r="C74" s="2" t="s">
        <v>280</v>
      </c>
      <c r="D74" s="2" t="s">
        <v>25</v>
      </c>
      <c r="E74" s="2" t="s">
        <v>14</v>
      </c>
      <c r="F74" s="2" t="s">
        <v>15</v>
      </c>
      <c r="G74" s="2" t="s">
        <v>158</v>
      </c>
      <c r="H74" s="2" t="s">
        <v>159</v>
      </c>
      <c r="I74" s="2" t="str">
        <f>IFERROR(__xludf.DUMMYFUNCTION("GOOGLETRANSLATE(C74,""fr"",""en"")"),"Very very bad insurer, waiting times for very long repair and finds pretexts for maintenance of the sunroof to reduce the repair bill (I do not recommend it)")</f>
        <v>Very very bad insurer, waiting times for very long repair and finds pretexts for maintenance of the sunroof to reduce the repair bill (I do not recommend it)</v>
      </c>
    </row>
    <row r="75" ht="15.75" customHeight="1">
      <c r="A75" s="2">
        <v>4.0</v>
      </c>
      <c r="B75" s="2" t="s">
        <v>281</v>
      </c>
      <c r="C75" s="2" t="s">
        <v>282</v>
      </c>
      <c r="D75" s="2" t="s">
        <v>35</v>
      </c>
      <c r="E75" s="2" t="s">
        <v>31</v>
      </c>
      <c r="F75" s="2" t="s">
        <v>15</v>
      </c>
      <c r="G75" s="2" t="s">
        <v>283</v>
      </c>
      <c r="H75" s="2" t="s">
        <v>17</v>
      </c>
      <c r="I75" s="2" t="str">
        <f>IFERROR(__xludf.DUMMYFUNCTION("GOOGLETRANSLATE(C75,""fr"",""en"")"),"I am satisfied with the service The price that will have been able to make sure I am on Sunday what I find very well I have a quad to insure and I also think of coming to AMV")</f>
        <v>I am satisfied with the service The price that will have been able to make sure I am on Sunday what I find very well I have a quad to insure and I also think of coming to AMV</v>
      </c>
    </row>
    <row r="76" ht="15.75" customHeight="1">
      <c r="A76" s="2">
        <v>4.0</v>
      </c>
      <c r="B76" s="2" t="s">
        <v>284</v>
      </c>
      <c r="C76" s="2" t="s">
        <v>285</v>
      </c>
      <c r="D76" s="2" t="s">
        <v>25</v>
      </c>
      <c r="E76" s="2" t="s">
        <v>14</v>
      </c>
      <c r="F76" s="2" t="s">
        <v>15</v>
      </c>
      <c r="G76" s="2" t="s">
        <v>286</v>
      </c>
      <c r="H76" s="2" t="s">
        <v>27</v>
      </c>
      <c r="I76" s="2" t="str">
        <f>IFERROR(__xludf.DUMMYFUNCTION("GOOGLETRANSLATE(C76,""fr"",""en"")"),"I am satisfied with the service, very beautiful, everything was very well explained. I recommend the olive assurance that I did not know before.")</f>
        <v>I am satisfied with the service, very beautiful, everything was very well explained. I recommend the olive assurance that I did not know before.</v>
      </c>
    </row>
    <row r="77" ht="15.75" customHeight="1">
      <c r="A77" s="2">
        <v>1.0</v>
      </c>
      <c r="B77" s="2" t="s">
        <v>287</v>
      </c>
      <c r="C77" s="2" t="s">
        <v>288</v>
      </c>
      <c r="D77" s="2" t="s">
        <v>67</v>
      </c>
      <c r="E77" s="2" t="s">
        <v>14</v>
      </c>
      <c r="F77" s="2" t="s">
        <v>15</v>
      </c>
      <c r="G77" s="2" t="s">
        <v>289</v>
      </c>
      <c r="H77" s="2" t="s">
        <v>290</v>
      </c>
      <c r="I77" s="2" t="str">
        <f>IFERROR(__xludf.DUMMYFUNCTION("GOOGLETRANSLATE(C77,""fr"",""en"")")," Insured for 15 years for my cars, a catastrophic telephone service always unreachable, impossible to have them on the phone ... and blocks the numbers when we try to call them .. a shame and a scandal, moreover the advisers more In addition aggressive, n"&amp;"ot commercial at 11 am at 11am. He has cleaning in this insurance, I think of leaving this insurance !!!!!")</f>
        <v> Insured for 15 years for my cars, a catastrophic telephone service always unreachable, impossible to have them on the phone ... and blocks the numbers when we try to call them .. a shame and a scandal, moreover the advisers more In addition aggressive, not commercial at 11 am at 11am. He has cleaning in this insurance, I think of leaving this insurance !!!!!</v>
      </c>
    </row>
    <row r="78" ht="15.75" customHeight="1">
      <c r="A78" s="2">
        <v>1.0</v>
      </c>
      <c r="B78" s="2" t="s">
        <v>291</v>
      </c>
      <c r="C78" s="2" t="s">
        <v>292</v>
      </c>
      <c r="D78" s="2" t="s">
        <v>293</v>
      </c>
      <c r="E78" s="2" t="s">
        <v>45</v>
      </c>
      <c r="F78" s="2" t="s">
        <v>15</v>
      </c>
      <c r="G78" s="2" t="s">
        <v>294</v>
      </c>
      <c r="H78" s="2" t="s">
        <v>295</v>
      </c>
      <c r="I78" s="2" t="str">
        <f>IFERROR(__xludf.DUMMYFUNCTION("GOOGLETRANSLATE(C78,""fr"",""en"")"),"Perfect for walking around and having an answer by threatening to have 300 group contracts at home. No followed in the complaint files (said by a telephone advisor) and forgets total of taking into account reimbursements of the individual over -controller")</f>
        <v>Perfect for walking around and having an answer by threatening to have 300 group contracts at home. No followed in the complaint files (said by a telephone advisor) and forgets total of taking into account reimbursements of the individual over -controller</v>
      </c>
    </row>
    <row r="79" ht="15.75" customHeight="1">
      <c r="A79" s="2">
        <v>5.0</v>
      </c>
      <c r="B79" s="2" t="s">
        <v>296</v>
      </c>
      <c r="C79" s="2" t="s">
        <v>297</v>
      </c>
      <c r="D79" s="2" t="s">
        <v>25</v>
      </c>
      <c r="E79" s="2" t="s">
        <v>14</v>
      </c>
      <c r="F79" s="2" t="s">
        <v>15</v>
      </c>
      <c r="G79" s="2" t="s">
        <v>194</v>
      </c>
      <c r="H79" s="2" t="s">
        <v>77</v>
      </c>
      <c r="I79" s="2" t="str">
        <f>IFERROR(__xludf.DUMMYFUNCTION("GOOGLETRANSLATE(C79,""fr"",""en"")"),"Satisfied. All the proposals made meet my expectations. I will recommend everyone around me wanting to subscribe to vehicle insurance to contact you.")</f>
        <v>Satisfied. All the proposals made meet my expectations. I will recommend everyone around me wanting to subscribe to vehicle insurance to contact you.</v>
      </c>
    </row>
    <row r="80" ht="15.75" customHeight="1">
      <c r="A80" s="2">
        <v>3.0</v>
      </c>
      <c r="B80" s="2" t="s">
        <v>298</v>
      </c>
      <c r="C80" s="2" t="s">
        <v>299</v>
      </c>
      <c r="D80" s="2" t="s">
        <v>241</v>
      </c>
      <c r="E80" s="2" t="s">
        <v>233</v>
      </c>
      <c r="F80" s="2" t="s">
        <v>15</v>
      </c>
      <c r="G80" s="2" t="s">
        <v>149</v>
      </c>
      <c r="H80" s="2" t="s">
        <v>84</v>
      </c>
      <c r="I80" s="2" t="str">
        <f>IFERROR(__xludf.DUMMYFUNCTION("GOOGLETRANSLATE(C80,""fr"",""en"")"),"Just a small downside regarding the loss of salary guarantee.
It would be appropriate to request a salary slip from members each year in order to reassess the amount of this guarantee to avoid any surprise if necessary.
I have just learned that in the c"&amp;"onditions of the loss of salary guarantee, I am supposed to send a salary sheet each year. No one informed me when subscribing. Worse still, I never did it and no one asked me ...
")</f>
        <v>Just a small downside regarding the loss of salary guarantee.
It would be appropriate to request a salary slip from members each year in order to reassess the amount of this guarantee to avoid any surprise if necessary.
I have just learned that in the conditions of the loss of salary guarantee, I am supposed to send a salary sheet each year. No one informed me when subscribing. Worse still, I never did it and no one asked me ...
</v>
      </c>
    </row>
    <row r="81" ht="15.75" customHeight="1">
      <c r="A81" s="2">
        <v>3.0</v>
      </c>
      <c r="B81" s="2" t="s">
        <v>300</v>
      </c>
      <c r="C81" s="2" t="s">
        <v>301</v>
      </c>
      <c r="D81" s="2" t="s">
        <v>25</v>
      </c>
      <c r="E81" s="2" t="s">
        <v>14</v>
      </c>
      <c r="F81" s="2" t="s">
        <v>15</v>
      </c>
      <c r="G81" s="2" t="s">
        <v>302</v>
      </c>
      <c r="H81" s="2" t="s">
        <v>109</v>
      </c>
      <c r="I81" s="2" t="str">
        <f>IFERROR(__xludf.DUMMYFUNCTION("GOOGLETRANSLATE(C81,""fr"",""en"")"),"Very good explanations thank you listening is very important after having several people always very calm the results are very satisfactory
")</f>
        <v>Very good explanations thank you listening is very important after having several people always very calm the results are very satisfactory
</v>
      </c>
    </row>
    <row r="82" ht="15.75" customHeight="1">
      <c r="A82" s="2">
        <v>5.0</v>
      </c>
      <c r="B82" s="2" t="s">
        <v>303</v>
      </c>
      <c r="C82" s="2" t="s">
        <v>304</v>
      </c>
      <c r="D82" s="2" t="s">
        <v>30</v>
      </c>
      <c r="E82" s="2" t="s">
        <v>31</v>
      </c>
      <c r="F82" s="2" t="s">
        <v>15</v>
      </c>
      <c r="G82" s="2" t="s">
        <v>305</v>
      </c>
      <c r="H82" s="2" t="s">
        <v>27</v>
      </c>
      <c r="I82" s="2" t="str">
        <f>IFERROR(__xludf.DUMMYFUNCTION("GOOGLETRANSLATE(C82,""fr"",""en"")"),"Very well I recommend this insurance I think it is the cheapest the most reliable depending on the model thank you very much good evening cordially thank you")</f>
        <v>Very well I recommend this insurance I think it is the cheapest the most reliable depending on the model thank you very much good evening cordially thank you</v>
      </c>
    </row>
    <row r="83" ht="15.75" customHeight="1">
      <c r="A83" s="2">
        <v>2.0</v>
      </c>
      <c r="B83" s="2" t="s">
        <v>306</v>
      </c>
      <c r="C83" s="2" t="s">
        <v>307</v>
      </c>
      <c r="D83" s="2" t="s">
        <v>39</v>
      </c>
      <c r="E83" s="2" t="s">
        <v>14</v>
      </c>
      <c r="F83" s="2" t="s">
        <v>15</v>
      </c>
      <c r="G83" s="2" t="s">
        <v>308</v>
      </c>
      <c r="H83" s="2" t="s">
        <v>309</v>
      </c>
      <c r="I83" s="2" t="str">
        <f>IFERROR(__xludf.DUMMYFUNCTION("GOOGLETRANSLATE(C83,""fr"",""en"")"),"The insurer increased to me without reason the prices of 30% each year by accepting only the annual payment hence the reason for my termination.")</f>
        <v>The insurer increased to me without reason the prices of 30% each year by accepting only the annual payment hence the reason for my termination.</v>
      </c>
    </row>
    <row r="84" ht="15.75" customHeight="1">
      <c r="A84" s="2">
        <v>5.0</v>
      </c>
      <c r="B84" s="2" t="s">
        <v>310</v>
      </c>
      <c r="C84" s="2" t="s">
        <v>311</v>
      </c>
      <c r="D84" s="2" t="s">
        <v>39</v>
      </c>
      <c r="E84" s="2" t="s">
        <v>14</v>
      </c>
      <c r="F84" s="2" t="s">
        <v>15</v>
      </c>
      <c r="G84" s="2" t="s">
        <v>312</v>
      </c>
      <c r="H84" s="2" t="s">
        <v>27</v>
      </c>
      <c r="I84" s="2" t="str">
        <f>IFERROR(__xludf.DUMMYFUNCTION("GOOGLETRANSLATE(C84,""fr"",""en"")"),"I am satisfied with the products offer by Direct Insurance Compare for competition there is no photo. My entourage had already spoken to me that's why I turned to them.")</f>
        <v>I am satisfied with the products offer by Direct Insurance Compare for competition there is no photo. My entourage had already spoken to me that's why I turned to them.</v>
      </c>
    </row>
    <row r="85" ht="15.75" customHeight="1">
      <c r="A85" s="2">
        <v>2.0</v>
      </c>
      <c r="B85" s="2" t="s">
        <v>313</v>
      </c>
      <c r="C85" s="2" t="s">
        <v>314</v>
      </c>
      <c r="D85" s="2" t="s">
        <v>315</v>
      </c>
      <c r="E85" s="2" t="s">
        <v>50</v>
      </c>
      <c r="F85" s="2" t="s">
        <v>15</v>
      </c>
      <c r="G85" s="2" t="s">
        <v>316</v>
      </c>
      <c r="H85" s="2" t="s">
        <v>317</v>
      </c>
      <c r="I85" s="2" t="str">
        <f>IFERROR(__xludf.DUMMYFUNCTION("GOOGLETRANSLATE(C85,""fr"",""en"")"),"Disaster sinister according to insurance damage work.
On the side of the Crédit Mutuel duty of advice and assistance of the zero client. Declaration of claims on an online or telephone platform or interlocutors are unable to answer questions and tell y"&amp;"ou if your claim can be supported by your guarantees.
Left for yourself for the searches, is more important when it requires counter expertise.
Disaster managers who make a different discourse from that of the mandated expert to see the damage. You have"&amp;" to cry to get the expert reports, when you want to give them to you.
We did our best and followed the advice of our various ACM interlocutors so that our disaster is processed correctly, we managed alone despite that legal assistance is backed by our co"&amp;"ntract so that we are finally told that we are terminated because we did not make sure to protect our house. Letter of termination which is more brutal we tell you that we owe you outside ""for a balanced management of activities"".
Zero advice. Zero h"&amp;"elps. Zero compensation. And zero interest.
A shame. To flee if you are not an insurance expert, and again ...")</f>
        <v>Disaster sinister according to insurance damage work.
On the side of the Crédit Mutuel duty of advice and assistance of the zero client. Declaration of claims on an online or telephone platform or interlocutors are unable to answer questions and tell you if your claim can be supported by your guarantees.
Left for yourself for the searches, is more important when it requires counter expertise.
Disaster managers who make a different discourse from that of the mandated expert to see the damage. You have to cry to get the expert reports, when you want to give them to you.
We did our best and followed the advice of our various ACM interlocutors so that our disaster is processed correctly, we managed alone despite that legal assistance is backed by our contract so that we are finally told that we are terminated because we did not make sure to protect our house. Letter of termination which is more brutal we tell you that we owe you outside "for a balanced management of activities".
Zero advice. Zero helps. Zero compensation. And zero interest.
A shame. To flee if you are not an insurance expert, and again ...</v>
      </c>
    </row>
    <row r="86" ht="15.75" customHeight="1">
      <c r="A86" s="2">
        <v>3.0</v>
      </c>
      <c r="B86" s="2" t="s">
        <v>318</v>
      </c>
      <c r="C86" s="2" t="s">
        <v>319</v>
      </c>
      <c r="D86" s="2" t="s">
        <v>39</v>
      </c>
      <c r="E86" s="2" t="s">
        <v>14</v>
      </c>
      <c r="F86" s="2" t="s">
        <v>15</v>
      </c>
      <c r="G86" s="2" t="s">
        <v>320</v>
      </c>
      <c r="H86" s="2" t="s">
        <v>27</v>
      </c>
      <c r="I86" s="2" t="str">
        <f>IFERROR(__xludf.DUMMYFUNCTION("GOOGLETRANSLATE(C86,""fr"",""en"")"),"Simple and practical, I am really satisfied with the service offered online. I would advise my loved ones to be assured at direct insurance
BRAVO BRAVO")</f>
        <v>Simple and practical, I am really satisfied with the service offered online. I would advise my loved ones to be assured at direct insurance
BRAVO BRAVO</v>
      </c>
    </row>
    <row r="87" ht="15.75" customHeight="1">
      <c r="A87" s="2">
        <v>2.0</v>
      </c>
      <c r="B87" s="2" t="s">
        <v>321</v>
      </c>
      <c r="C87" s="2" t="s">
        <v>322</v>
      </c>
      <c r="D87" s="2" t="s">
        <v>323</v>
      </c>
      <c r="E87" s="2" t="s">
        <v>45</v>
      </c>
      <c r="F87" s="2" t="s">
        <v>15</v>
      </c>
      <c r="G87" s="2" t="s">
        <v>324</v>
      </c>
      <c r="H87" s="2" t="s">
        <v>325</v>
      </c>
      <c r="I87" s="2" t="str">
        <f>IFERROR(__xludf.DUMMYFUNCTION("GOOGLETRANSLATE(C87,""fr"",""en"")"),"Hello,
For my part, I was provided for many years at MGEN first through my mother and then directly via Mgen Filia (private MGEN subsidiary). I have always been satisfied overall. However, I ask to terminate my contract for loss of employment and departu"&amp;"re abroad, I was told twice on the phone not to worry that I could terminate my contract at any time and that my notice n 'was that two months and in the end I am informed that, since I carry the contract, I have a notice of 4 months with no exception tha"&amp;"t applies to my case! I also contacted the mutual insurance company in time and expected January on purpose to terminate my contract in March. I indicated the situation in my registered letter. For the moment I am waiting. I would lose otherwise 90 € (for"&amp;" someone without a source of income it is not negligible especially since I have to take another insurance for the foreigner!)")</f>
        <v>Hello,
For my part, I was provided for many years at MGEN first through my mother and then directly via Mgen Filia (private MGEN subsidiary). I have always been satisfied overall. However, I ask to terminate my contract for loss of employment and departure abroad, I was told twice on the phone not to worry that I could terminate my contract at any time and that my notice n 'was that two months and in the end I am informed that, since I carry the contract, I have a notice of 4 months with no exception that applies to my case! I also contacted the mutual insurance company in time and expected January on purpose to terminate my contract in March. I indicated the situation in my registered letter. For the moment I am waiting. I would lose otherwise 90 € (for someone without a source of income it is not negligible especially since I have to take another insurance for the foreigner!)</v>
      </c>
    </row>
    <row r="88" ht="15.75" customHeight="1">
      <c r="A88" s="2">
        <v>1.0</v>
      </c>
      <c r="B88" s="2" t="s">
        <v>326</v>
      </c>
      <c r="C88" s="2" t="s">
        <v>327</v>
      </c>
      <c r="D88" s="2" t="s">
        <v>328</v>
      </c>
      <c r="E88" s="2" t="s">
        <v>96</v>
      </c>
      <c r="F88" s="2" t="s">
        <v>15</v>
      </c>
      <c r="G88" s="2" t="s">
        <v>329</v>
      </c>
      <c r="H88" s="2" t="s">
        <v>330</v>
      </c>
      <c r="I88" s="2" t="str">
        <f>IFERROR(__xludf.DUMMYFUNCTION("GOOGLETRANSLATE(C88,""fr"",""en"")"),"To avoid file gere since 2016 first compensation in December 2016 then for the continuation the contract would not be valid. The litigation service manages the file but no response for months")</f>
        <v>To avoid file gere since 2016 first compensation in December 2016 then for the continuation the contract would not be valid. The litigation service manages the file but no response for months</v>
      </c>
    </row>
    <row r="89" ht="15.75" customHeight="1">
      <c r="A89" s="2">
        <v>5.0</v>
      </c>
      <c r="B89" s="2" t="s">
        <v>331</v>
      </c>
      <c r="C89" s="2" t="s">
        <v>332</v>
      </c>
      <c r="D89" s="2" t="s">
        <v>25</v>
      </c>
      <c r="E89" s="2" t="s">
        <v>14</v>
      </c>
      <c r="F89" s="2" t="s">
        <v>15</v>
      </c>
      <c r="G89" s="2" t="s">
        <v>333</v>
      </c>
      <c r="H89" s="2" t="s">
        <v>64</v>
      </c>
      <c r="I89" s="2" t="str">
        <f>IFERROR(__xludf.DUMMYFUNCTION("GOOGLETRANSLATE(C89,""fr"",""en"")"),"Perfect
fast and complete service
Electronic signature ideal to manage remotely and in particular for a speed of service and execution of the contract")</f>
        <v>Perfect
fast and complete service
Electronic signature ideal to manage remotely and in particular for a speed of service and execution of the contract</v>
      </c>
    </row>
    <row r="90" ht="15.75" customHeight="1">
      <c r="A90" s="2">
        <v>2.0</v>
      </c>
      <c r="B90" s="2" t="s">
        <v>334</v>
      </c>
      <c r="C90" s="2" t="s">
        <v>335</v>
      </c>
      <c r="D90" s="2" t="s">
        <v>107</v>
      </c>
      <c r="E90" s="2" t="s">
        <v>45</v>
      </c>
      <c r="F90" s="2" t="s">
        <v>15</v>
      </c>
      <c r="G90" s="2" t="s">
        <v>336</v>
      </c>
      <c r="H90" s="2" t="s">
        <v>73</v>
      </c>
      <c r="I90" s="2" t="str">
        <f>IFERROR(__xludf.DUMMYFUNCTION("GOOGLETRANSLATE(C90,""fr"",""en"")"),"Having health problems I need to send them quotes I was called I could not answer and impossible to remind them, no response to my emails I am very disappointed")</f>
        <v>Having health problems I need to send them quotes I was called I could not answer and impossible to remind them, no response to my emails I am very disappointed</v>
      </c>
    </row>
    <row r="91" ht="15.75" customHeight="1">
      <c r="A91" s="2">
        <v>1.0</v>
      </c>
      <c r="B91" s="2" t="s">
        <v>337</v>
      </c>
      <c r="C91" s="2" t="s">
        <v>338</v>
      </c>
      <c r="D91" s="2" t="s">
        <v>339</v>
      </c>
      <c r="E91" s="2" t="s">
        <v>45</v>
      </c>
      <c r="F91" s="2" t="s">
        <v>15</v>
      </c>
      <c r="G91" s="2" t="s">
        <v>340</v>
      </c>
      <c r="H91" s="2" t="s">
        <v>27</v>
      </c>
      <c r="I91" s="2" t="str">
        <f>IFERROR(__xludf.DUMMYFUNCTION("GOOGLETRANSLATE(C91,""fr"",""en"")"),"Absolutely lamentable customer service!
Documents filed on the platform do not arrive in the services
No competent person can be attached, and even no person short, it's astounding ...
 ")</f>
        <v>Absolutely lamentable customer service!
Documents filed on the platform do not arrive in the services
No competent person can be attached, and even no person short, it's astounding ...
 </v>
      </c>
    </row>
    <row r="92" ht="15.75" customHeight="1">
      <c r="A92" s="2">
        <v>4.0</v>
      </c>
      <c r="B92" s="2" t="s">
        <v>341</v>
      </c>
      <c r="C92" s="2" t="s">
        <v>342</v>
      </c>
      <c r="D92" s="2" t="s">
        <v>241</v>
      </c>
      <c r="E92" s="2" t="s">
        <v>233</v>
      </c>
      <c r="F92" s="2" t="s">
        <v>15</v>
      </c>
      <c r="G92" s="2" t="s">
        <v>343</v>
      </c>
      <c r="H92" s="2" t="s">
        <v>84</v>
      </c>
      <c r="I92" s="2" t="str">
        <f>IFERROR(__xludf.DUMMYFUNCTION("GOOGLETRANSLATE(C92,""fr"",""en"")"),"Hello
I must say that my experience with the MGP is old
My last call bought taken into account by a very human and very kind interlocutor.
Only negative point for profit recovery loss salary and bonus, long. Regards MDE Trovato Sylvie")</f>
        <v>Hello
I must say that my experience with the MGP is old
My last call bought taken into account by a very human and very kind interlocutor.
Only negative point for profit recovery loss salary and bonus, long. Regards MDE Trovato Sylvie</v>
      </c>
    </row>
    <row r="93" ht="15.75" customHeight="1">
      <c r="A93" s="2">
        <v>1.0</v>
      </c>
      <c r="B93" s="2" t="s">
        <v>344</v>
      </c>
      <c r="C93" s="2" t="s">
        <v>345</v>
      </c>
      <c r="D93" s="2" t="s">
        <v>346</v>
      </c>
      <c r="E93" s="2" t="s">
        <v>347</v>
      </c>
      <c r="F93" s="2" t="s">
        <v>15</v>
      </c>
      <c r="G93" s="2" t="s">
        <v>348</v>
      </c>
      <c r="H93" s="2" t="s">
        <v>77</v>
      </c>
      <c r="I93" s="2" t="str">
        <f>IFERROR(__xludf.DUMMYFUNCTION("GOOGLETRANSLATE(C93,""fr"",""en"")"),"Hello, I went around all the opinions before committing to ""La Rolls des insurers"", so I will go my way and put aside rather than go to them.
Thank you for all these very precious opinions")</f>
        <v>Hello, I went around all the opinions before committing to "La Rolls des insurers", so I will go my way and put aside rather than go to them.
Thank you for all these very precious opinions</v>
      </c>
    </row>
    <row r="94" ht="15.75" customHeight="1">
      <c r="A94" s="2">
        <v>5.0</v>
      </c>
      <c r="B94" s="2" t="s">
        <v>349</v>
      </c>
      <c r="C94" s="2" t="s">
        <v>350</v>
      </c>
      <c r="D94" s="2" t="s">
        <v>25</v>
      </c>
      <c r="E94" s="2" t="s">
        <v>14</v>
      </c>
      <c r="F94" s="2" t="s">
        <v>15</v>
      </c>
      <c r="G94" s="2" t="s">
        <v>351</v>
      </c>
      <c r="H94" s="2" t="s">
        <v>120</v>
      </c>
      <c r="I94" s="2" t="str">
        <f>IFERROR(__xludf.DUMMYFUNCTION("GOOGLETRANSLATE(C94,""fr"",""en"")"),"Hello,
I am satisfied with the olive service. My subscription was fast and clear. I thank the advisers of the Olivier Insurance. Thank you.")</f>
        <v>Hello,
I am satisfied with the olive service. My subscription was fast and clear. I thank the advisers of the Olivier Insurance. Thank you.</v>
      </c>
    </row>
    <row r="95" ht="15.75" customHeight="1">
      <c r="A95" s="2">
        <v>4.0</v>
      </c>
      <c r="B95" s="2" t="s">
        <v>352</v>
      </c>
      <c r="C95" s="2" t="s">
        <v>353</v>
      </c>
      <c r="D95" s="2" t="s">
        <v>25</v>
      </c>
      <c r="E95" s="2" t="s">
        <v>14</v>
      </c>
      <c r="F95" s="2" t="s">
        <v>15</v>
      </c>
      <c r="G95" s="2" t="s">
        <v>354</v>
      </c>
      <c r="H95" s="2" t="s">
        <v>77</v>
      </c>
      <c r="I95" s="2" t="str">
        <f>IFERROR(__xludf.DUMMYFUNCTION("GOOGLETRANSLATE(C95,""fr"",""en"")"),"Very good for the customer telephone service
the digital interface and the proposed formulas which are personalized
speed and efficiency
loyalty")</f>
        <v>Very good for the customer telephone service
the digital interface and the proposed formulas which are personalized
speed and efficiency
loyalty</v>
      </c>
    </row>
    <row r="96" ht="15.75" customHeight="1">
      <c r="A96" s="2">
        <v>2.0</v>
      </c>
      <c r="B96" s="2" t="s">
        <v>355</v>
      </c>
      <c r="C96" s="2" t="s">
        <v>356</v>
      </c>
      <c r="D96" s="2" t="s">
        <v>39</v>
      </c>
      <c r="E96" s="2" t="s">
        <v>14</v>
      </c>
      <c r="F96" s="2" t="s">
        <v>15</v>
      </c>
      <c r="G96" s="2" t="s">
        <v>188</v>
      </c>
      <c r="H96" s="2" t="s">
        <v>77</v>
      </c>
      <c r="I96" s="2" t="str">
        <f>IFERROR(__xludf.DUMMYFUNCTION("GOOGLETRANSLATE(C96,""fr"",""en"")"),"I am satisfied with the service
I am not satisfied with the price
The application is very good, simple and easy practical
I would like better prices and for my scooter too")</f>
        <v>I am satisfied with the service
I am not satisfied with the price
The application is very good, simple and easy practical
I would like better prices and for my scooter too</v>
      </c>
    </row>
    <row r="97" ht="15.75" customHeight="1">
      <c r="A97" s="2">
        <v>3.0</v>
      </c>
      <c r="B97" s="2" t="s">
        <v>357</v>
      </c>
      <c r="C97" s="2" t="s">
        <v>358</v>
      </c>
      <c r="D97" s="2" t="s">
        <v>25</v>
      </c>
      <c r="E97" s="2" t="s">
        <v>14</v>
      </c>
      <c r="F97" s="2" t="s">
        <v>15</v>
      </c>
      <c r="G97" s="2" t="s">
        <v>100</v>
      </c>
      <c r="H97" s="2" t="s">
        <v>101</v>
      </c>
      <c r="I97" s="2" t="str">
        <f>IFERROR(__xludf.DUMMYFUNCTION("GOOGLETRANSLATE(C97,""fr"",""en"")"),"I am the main driver of my vehicle, owner of my vehicle, I paid for the year of insurance, but everything is in the name of my husband. I have no customer account, I do not receive any email, no letter, no notification .. I do not understand. Even my emai"&amp;"l address I cannot modify it and I must formulate this notice with my husband's email address.")</f>
        <v>I am the main driver of my vehicle, owner of my vehicle, I paid for the year of insurance, but everything is in the name of my husband. I have no customer account, I do not receive any email, no letter, no notification .. I do not understand. Even my email address I cannot modify it and I must formulate this notice with my husband's email address.</v>
      </c>
    </row>
    <row r="98" ht="15.75" customHeight="1">
      <c r="A98" s="2">
        <v>1.0</v>
      </c>
      <c r="B98" s="2" t="s">
        <v>359</v>
      </c>
      <c r="C98" s="2" t="s">
        <v>360</v>
      </c>
      <c r="D98" s="2" t="s">
        <v>361</v>
      </c>
      <c r="E98" s="2" t="s">
        <v>14</v>
      </c>
      <c r="F98" s="2" t="s">
        <v>15</v>
      </c>
      <c r="G98" s="2" t="s">
        <v>362</v>
      </c>
      <c r="H98" s="2" t="s">
        <v>216</v>
      </c>
      <c r="I98" s="2" t="str">
        <f>IFERROR(__xludf.DUMMYFUNCTION("GOOGLETRANSLATE(C98,""fr"",""en"")"),"Hello, very disappointed with this insurance, as long as everything is fine (no claim) we pay, we pay .... and expensive! And for years!
On the other hand during an accident, the maif scales, no expertise, nothing!
Currently I am looking for a new insur"&amp;"er.")</f>
        <v>Hello, very disappointed with this insurance, as long as everything is fine (no claim) we pay, we pay .... and expensive! And for years!
On the other hand during an accident, the maif scales, no expertise, nothing!
Currently I am looking for a new insurer.</v>
      </c>
    </row>
    <row r="99" ht="15.75" customHeight="1">
      <c r="A99" s="2">
        <v>3.0</v>
      </c>
      <c r="B99" s="2" t="s">
        <v>363</v>
      </c>
      <c r="C99" s="2" t="s">
        <v>364</v>
      </c>
      <c r="D99" s="2" t="s">
        <v>107</v>
      </c>
      <c r="E99" s="2" t="s">
        <v>45</v>
      </c>
      <c r="F99" s="2" t="s">
        <v>15</v>
      </c>
      <c r="G99" s="2" t="s">
        <v>365</v>
      </c>
      <c r="H99" s="2" t="s">
        <v>124</v>
      </c>
      <c r="I99" s="2" t="str">
        <f>IFERROR(__xludf.DUMMYFUNCTION("GOOGLETRANSLATE(C99,""fr"",""en"")"),"Catastrophic customer service, telephone contacts are desperate, the emails ineffective. One has the impression of being faced with a wall impossible to communicate and be reimbursed")</f>
        <v>Catastrophic customer service, telephone contacts are desperate, the emails ineffective. One has the impression of being faced with a wall impossible to communicate and be reimbursed</v>
      </c>
    </row>
    <row r="100" ht="15.75" customHeight="1">
      <c r="A100" s="2">
        <v>2.0</v>
      </c>
      <c r="B100" s="2" t="s">
        <v>366</v>
      </c>
      <c r="C100" s="2" t="s">
        <v>367</v>
      </c>
      <c r="D100" s="2" t="s">
        <v>123</v>
      </c>
      <c r="E100" s="2" t="s">
        <v>45</v>
      </c>
      <c r="F100" s="2" t="s">
        <v>15</v>
      </c>
      <c r="G100" s="2" t="s">
        <v>348</v>
      </c>
      <c r="H100" s="2" t="s">
        <v>77</v>
      </c>
      <c r="I100" s="2" t="str">
        <f>IFERROR(__xludf.DUMMYFUNCTION("GOOGLETRANSLATE(C100,""fr"",""en"")"),"For 1 week I have to be remembered, yesterday still 1:30 on the phone and someone must contact me (management service). It is to believe that they are all on vacation. It is really a deplorable customer service.
I regret having changed mutual.")</f>
        <v>For 1 week I have to be remembered, yesterday still 1:30 on the phone and someone must contact me (management service). It is to believe that they are all on vacation. It is really a deplorable customer service.
I regret having changed mutual.</v>
      </c>
    </row>
    <row r="101" ht="15.75" customHeight="1">
      <c r="A101" s="2">
        <v>2.0</v>
      </c>
      <c r="B101" s="2" t="s">
        <v>368</v>
      </c>
      <c r="C101" s="2" t="s">
        <v>369</v>
      </c>
      <c r="D101" s="2" t="s">
        <v>25</v>
      </c>
      <c r="E101" s="2" t="s">
        <v>14</v>
      </c>
      <c r="F101" s="2" t="s">
        <v>15</v>
      </c>
      <c r="G101" s="2" t="s">
        <v>370</v>
      </c>
      <c r="H101" s="2" t="s">
        <v>371</v>
      </c>
      <c r="I101" s="2" t="str">
        <f>IFERROR(__xludf.DUMMYFUNCTION("GOOGLETRANSLATE(C101,""fr"",""en"")"),"Attractive and interesting price. However, customer service is catastrophic.")</f>
        <v>Attractive and interesting price. However, customer service is catastrophic.</v>
      </c>
    </row>
    <row r="102" ht="15.75" customHeight="1">
      <c r="A102" s="2">
        <v>3.0</v>
      </c>
      <c r="B102" s="2" t="s">
        <v>372</v>
      </c>
      <c r="C102" s="2" t="s">
        <v>373</v>
      </c>
      <c r="D102" s="2" t="s">
        <v>162</v>
      </c>
      <c r="E102" s="2" t="s">
        <v>45</v>
      </c>
      <c r="F102" s="2" t="s">
        <v>15</v>
      </c>
      <c r="G102" s="2" t="s">
        <v>374</v>
      </c>
      <c r="H102" s="2" t="s">
        <v>375</v>
      </c>
      <c r="I102" s="2" t="str">
        <f>IFERROR(__xludf.DUMMYFUNCTION("GOOGLETRANSLATE(C102,""fr"",""en"")"),"Quick and efficient response no waiting for communication and more a very pleasant interlocutor who responded to all my requests in a very little conversation time")</f>
        <v>Quick and efficient response no waiting for communication and more a very pleasant interlocutor who responded to all my requests in a very little conversation time</v>
      </c>
    </row>
    <row r="103" ht="15.75" customHeight="1">
      <c r="A103" s="2">
        <v>5.0</v>
      </c>
      <c r="B103" s="2" t="s">
        <v>376</v>
      </c>
      <c r="C103" s="2" t="s">
        <v>377</v>
      </c>
      <c r="D103" s="2" t="s">
        <v>39</v>
      </c>
      <c r="E103" s="2" t="s">
        <v>14</v>
      </c>
      <c r="F103" s="2" t="s">
        <v>15</v>
      </c>
      <c r="G103" s="2" t="s">
        <v>378</v>
      </c>
      <c r="H103" s="2" t="s">
        <v>109</v>
      </c>
      <c r="I103" s="2" t="str">
        <f>IFERROR(__xludf.DUMMYFUNCTION("GOOGLETRANSLATE(C103,""fr"",""en"")"),"I am satisfied with the quality/price service.
This is why I am re -withered for my new car. Calls with customer service are satisfactory, I came across quality advisers.
Continue like that !")</f>
        <v>I am satisfied with the quality/price service.
This is why I am re -withered for my new car. Calls with customer service are satisfactory, I came across quality advisers.
Continue like that !</v>
      </c>
    </row>
    <row r="104" ht="15.75" customHeight="1">
      <c r="A104" s="2">
        <v>4.0</v>
      </c>
      <c r="B104" s="2" t="s">
        <v>379</v>
      </c>
      <c r="C104" s="2" t="s">
        <v>380</v>
      </c>
      <c r="D104" s="2" t="s">
        <v>107</v>
      </c>
      <c r="E104" s="2" t="s">
        <v>45</v>
      </c>
      <c r="F104" s="2" t="s">
        <v>15</v>
      </c>
      <c r="G104" s="2" t="s">
        <v>381</v>
      </c>
      <c r="H104" s="2" t="s">
        <v>84</v>
      </c>
      <c r="I104" s="2" t="str">
        <f>IFERROR(__xludf.DUMMYFUNCTION("GOOGLETRANSLATE(C104,""fr"",""en"")"),"I contacted you because I couldn't create my customer account, and I had a very good contact with Daouda on a question.
I'm waiting for your return to correct this little problem")</f>
        <v>I contacted you because I couldn't create my customer account, and I had a very good contact with Daouda on a question.
I'm waiting for your return to correct this little problem</v>
      </c>
    </row>
    <row r="105" ht="15.75" customHeight="1">
      <c r="A105" s="2">
        <v>1.0</v>
      </c>
      <c r="B105" s="2" t="s">
        <v>382</v>
      </c>
      <c r="C105" s="2" t="s">
        <v>383</v>
      </c>
      <c r="D105" s="2" t="s">
        <v>39</v>
      </c>
      <c r="E105" s="2" t="s">
        <v>14</v>
      </c>
      <c r="F105" s="2" t="s">
        <v>15</v>
      </c>
      <c r="G105" s="2" t="s">
        <v>384</v>
      </c>
      <c r="H105" s="2" t="s">
        <v>249</v>
      </c>
      <c r="I105" s="2" t="str">
        <f>IFERROR(__xludf.DUMMYFUNCTION("GOOGLETRANSLATE(C105,""fr"",""en"")"),"It's sad, the ""drive box"" forces to drive like a grandpa, do not try to insert yourself on a fast track starting from 0kmh (as it happens on the short insertion pathways) otherwise you accelerate too much or do not Never go, do not try to double a littl"&amp;"e quickly, otherwise you make ""tight turns"", hold your safety distances twice, you have to brake very slowly so as not to have too strong deceleration. Only the speed pace of speed looks at the point.
And beware, 1 fault is 10% or 25% on 20km, I drive "&amp;"everything well square, all my passenger tell me that I do too much and I only arrive at a maximum of 70% which corresponds to 20% reduction only, given the price of the insurance I would hope to touch the maximum 40%, because yes, per month, the 500km I "&amp;"do them without any worries, it is necessary to do less than 16km per day to take advantage of it.")</f>
        <v>It's sad, the "drive box" forces to drive like a grandpa, do not try to insert yourself on a fast track starting from 0kmh (as it happens on the short insertion pathways) otherwise you accelerate too much or do not Never go, do not try to double a little quickly, otherwise you make "tight turns", hold your safety distances twice, you have to brake very slowly so as not to have too strong deceleration. Only the speed pace of speed looks at the point.
And beware, 1 fault is 10% or 25% on 20km, I drive everything well square, all my passenger tell me that I do too much and I only arrive at a maximum of 70% which corresponds to 20% reduction only, given the price of the insurance I would hope to touch the maximum 40%, because yes, per month, the 500km I do them without any worries, it is necessary to do less than 16km per day to take advantage of it.</v>
      </c>
    </row>
    <row r="106" ht="15.75" customHeight="1">
      <c r="A106" s="2">
        <v>4.0</v>
      </c>
      <c r="B106" s="2" t="s">
        <v>385</v>
      </c>
      <c r="C106" s="2" t="s">
        <v>386</v>
      </c>
      <c r="D106" s="2" t="s">
        <v>20</v>
      </c>
      <c r="E106" s="2" t="s">
        <v>14</v>
      </c>
      <c r="F106" s="2" t="s">
        <v>15</v>
      </c>
      <c r="G106" s="2" t="s">
        <v>387</v>
      </c>
      <c r="H106" s="2" t="s">
        <v>388</v>
      </c>
      <c r="I106" s="2" t="str">
        <f>IFERROR(__xludf.DUMMYFUNCTION("GOOGLETRANSLATE(C106,""fr"",""en"")"),"Très bien très compétent impliqués et soutenant hhhhhhhhhhhhhhhhhhhhhhhhhhhhhhhhhhhhhhhhhhhhhhhhhhhhhhhhhhhhhhhhhhhhhhhhhhhhhhhhhhhhhhhhhhhhhhhhhhhhhhhhhhhhhhhhhhhhhhhhhhhhhhhhhhhhhhhhhhhhhhhhhhhhhhhhhhhhhhhhhhhhhhhhhhhhhhhhhhhhhhhhhhhhhhhhhhhhhhhhhhhhhhh"&amp;"hhhhhhhhhhhhhhhhhhhhhhhhhhhhhhhhhhhhhhhhhhhhhhhhhhhhhhhhhhhhhh")</f>
        <v>Très bien très compétent impliqués et soutenant hhhhhhhhhhhhhhhhhhhhhhhhhhhhhhhhhhhhhhhhhhhhhhhhhhhhhhhhhhhhhhhhhhhhhhhhhhhhhhhhhhhhhhhhhhhhhhhhhhhhhhhhhhhhhhhhhhhhhhhhhhhhhhhhhhhhhhhhhhhhhhhhhhhhhhhhhhhhhhhhhhhhhhhhhhhhhhhhhhhhhhhhhhhhhhhhhhhhhhhhhhhhhhhhhhhhhhhhhhhhhhhhhhhhhhhhhhhhhhhhhhhhhhhhhhhhhhhhhhhhhhhhhhhhh</v>
      </c>
    </row>
    <row r="107" ht="15.75" customHeight="1">
      <c r="A107" s="2">
        <v>2.0</v>
      </c>
      <c r="B107" s="2" t="s">
        <v>389</v>
      </c>
      <c r="C107" s="2" t="s">
        <v>390</v>
      </c>
      <c r="D107" s="2" t="s">
        <v>391</v>
      </c>
      <c r="E107" s="2" t="s">
        <v>347</v>
      </c>
      <c r="F107" s="2" t="s">
        <v>15</v>
      </c>
      <c r="G107" s="2" t="s">
        <v>392</v>
      </c>
      <c r="H107" s="2" t="s">
        <v>238</v>
      </c>
      <c r="I107" s="2" t="str">
        <f>IFERROR(__xludf.DUMMYFUNCTION("GOOGLETRANSLATE(C107,""fr"",""en"")"),"First time that I take insurance is good I am disappointed. Do not take care of the anterior diseases saying. So I pay insurance for nothing at all. And in addition to its does not want to terminate my contract and hang up on the nose without wanting to s"&amp;"atisfy my request.")</f>
        <v>First time that I take insurance is good I am disappointed. Do not take care of the anterior diseases saying. So I pay insurance for nothing at all. And in addition to its does not want to terminate my contract and hang up on the nose without wanting to satisfy my request.</v>
      </c>
    </row>
    <row r="108" ht="15.75" customHeight="1">
      <c r="A108" s="2">
        <v>2.0</v>
      </c>
      <c r="B108" s="2" t="s">
        <v>393</v>
      </c>
      <c r="C108" s="2" t="s">
        <v>394</v>
      </c>
      <c r="D108" s="2" t="s">
        <v>39</v>
      </c>
      <c r="E108" s="2" t="s">
        <v>14</v>
      </c>
      <c r="F108" s="2" t="s">
        <v>15</v>
      </c>
      <c r="G108" s="2" t="s">
        <v>395</v>
      </c>
      <c r="H108" s="2" t="s">
        <v>202</v>
      </c>
      <c r="I108" s="2" t="str">
        <f>IFERROR(__xludf.DUMMYFUNCTION("GOOGLETRANSLATE(C108,""fr"",""en"")"),"Assurance that will seem superb until you need it and C is the disaster! Insurance to flee absolutely")</f>
        <v>Assurance that will seem superb until you need it and C is the disaster! Insurance to flee absolutely</v>
      </c>
    </row>
    <row r="109" ht="15.75" customHeight="1">
      <c r="A109" s="2">
        <v>1.0</v>
      </c>
      <c r="B109" s="2" t="s">
        <v>396</v>
      </c>
      <c r="C109" s="2" t="s">
        <v>397</v>
      </c>
      <c r="D109" s="2" t="s">
        <v>398</v>
      </c>
      <c r="E109" s="2" t="s">
        <v>45</v>
      </c>
      <c r="F109" s="2" t="s">
        <v>15</v>
      </c>
      <c r="G109" s="2" t="s">
        <v>399</v>
      </c>
      <c r="H109" s="2" t="s">
        <v>198</v>
      </c>
      <c r="I109" s="2" t="str">
        <f>IFERROR(__xludf.DUMMYFUNCTION("GOOGLETRANSLATE(C109,""fr"",""en"")"),"I add to the long list of insatored insured persons by this mutual. In general, high contributions for low reimbursements, and never very clear exchanges with the advisers.
As for termination, incredible bad faith! After having sent to RAR and by mail to"&amp;" the customer area a request to terminate the contract, I receive 3 weeks later a new schedule mentioning the contributions to be paid for the coming year, for an option associated with the same contract. Explanation of the advisor, in a condescending ton"&amp;"e: ""We cannot terminate this option if you have not explicitly quoted, you know some insured care!"" Everything is good for keeping members.")</f>
        <v>I add to the long list of insatored insured persons by this mutual. In general, high contributions for low reimbursements, and never very clear exchanges with the advisers.
As for termination, incredible bad faith! After having sent to RAR and by mail to the customer area a request to terminate the contract, I receive 3 weeks later a new schedule mentioning the contributions to be paid for the coming year, for an option associated with the same contract. Explanation of the advisor, in a condescending tone: "We cannot terminate this option if you have not explicitly quoted, you know some insured care!" Everything is good for keeping members.</v>
      </c>
    </row>
    <row r="110" ht="15.75" customHeight="1">
      <c r="A110" s="2">
        <v>2.0</v>
      </c>
      <c r="B110" s="2" t="s">
        <v>400</v>
      </c>
      <c r="C110" s="2" t="s">
        <v>401</v>
      </c>
      <c r="D110" s="2" t="s">
        <v>44</v>
      </c>
      <c r="E110" s="2" t="s">
        <v>45</v>
      </c>
      <c r="F110" s="2" t="s">
        <v>15</v>
      </c>
      <c r="G110" s="2" t="s">
        <v>402</v>
      </c>
      <c r="H110" s="2" t="s">
        <v>27</v>
      </c>
      <c r="I110" s="2" t="str">
        <f>IFERROR(__xludf.DUMMYFUNCTION("GOOGLETRANSLATE(C110,""fr"",""en"")"),"A first year in satisfactory Cegema and a disaster. . I wait for reimbursements of November 30! Reclamation .. Take into account Q9 days ago and we have this ptrter 2 months of waiting. Even Axa who made me take the contract with them does not manage to j"&amp;"oin them .. very bad reputation at the moment ...")</f>
        <v>A first year in satisfactory Cegema and a disaster. . I wait for reimbursements of November 30! Reclamation .. Take into account Q9 days ago and we have this ptrter 2 months of waiting. Even Axa who made me take the contract with them does not manage to join them .. very bad reputation at the moment ...</v>
      </c>
    </row>
    <row r="111" ht="15.75" customHeight="1">
      <c r="A111" s="2">
        <v>4.0</v>
      </c>
      <c r="B111" s="2" t="s">
        <v>403</v>
      </c>
      <c r="C111" s="2" t="s">
        <v>404</v>
      </c>
      <c r="D111" s="2" t="s">
        <v>30</v>
      </c>
      <c r="E111" s="2" t="s">
        <v>31</v>
      </c>
      <c r="F111" s="2" t="s">
        <v>15</v>
      </c>
      <c r="G111" s="2" t="s">
        <v>101</v>
      </c>
      <c r="H111" s="2" t="s">
        <v>101</v>
      </c>
      <c r="I111" s="2" t="str">
        <f>IFERROR(__xludf.DUMMYFUNCTION("GOOGLETRANSLATE(C111,""fr"",""en"")"),"Prices suit me
The site is understandable
To be confirmed with the advisers for complete satisfaction of the request made
The answers are fast")</f>
        <v>Prices suit me
The site is understandable
To be confirmed with the advisers for complete satisfaction of the request made
The answers are fast</v>
      </c>
    </row>
    <row r="112" ht="15.75" customHeight="1">
      <c r="A112" s="2">
        <v>3.0</v>
      </c>
      <c r="B112" s="2" t="s">
        <v>405</v>
      </c>
      <c r="C112" s="2" t="s">
        <v>406</v>
      </c>
      <c r="D112" s="2" t="s">
        <v>39</v>
      </c>
      <c r="E112" s="2" t="s">
        <v>14</v>
      </c>
      <c r="F112" s="2" t="s">
        <v>15</v>
      </c>
      <c r="G112" s="2" t="s">
        <v>407</v>
      </c>
      <c r="H112" s="2" t="s">
        <v>73</v>
      </c>
      <c r="I112" s="2" t="str">
        <f>IFERROR(__xludf.DUMMYFUNCTION("GOOGLETRANSLATE(C112,""fr"",""en"")"),"I am pleasantly surprised at the prices charged, a huge difference compared to Sogessur, in the medium term a replacement of my current vehicle is planned")</f>
        <v>I am pleasantly surprised at the prices charged, a huge difference compared to Sogessur, in the medium term a replacement of my current vehicle is planned</v>
      </c>
    </row>
    <row r="113" ht="15.75" customHeight="1">
      <c r="A113" s="2">
        <v>4.0</v>
      </c>
      <c r="B113" s="2" t="s">
        <v>408</v>
      </c>
      <c r="C113" s="2" t="s">
        <v>409</v>
      </c>
      <c r="D113" s="2" t="s">
        <v>25</v>
      </c>
      <c r="E113" s="2" t="s">
        <v>14</v>
      </c>
      <c r="F113" s="2" t="s">
        <v>15</v>
      </c>
      <c r="G113" s="2" t="s">
        <v>410</v>
      </c>
      <c r="H113" s="2" t="s">
        <v>101</v>
      </c>
      <c r="I113" s="2" t="str">
        <f>IFERROR(__xludf.DUMMYFUNCTION("GOOGLETRANSLATE(C113,""fr"",""en"")"),"Very good car insurance, interesting price level but franchise are unfortunately to be expected in the event of a disaster (ice bream etc ...). The advisers are considerate and at your disposal it is a feat in this profession in the face of competitors. B"&amp;"ravo to this insurance which is at the top apart from the given negative point.")</f>
        <v>Very good car insurance, interesting price level but franchise are unfortunately to be expected in the event of a disaster (ice bream etc ...). The advisers are considerate and at your disposal it is a feat in this profession in the face of competitors. Bravo to this insurance which is at the top apart from the given negative point.</v>
      </c>
    </row>
    <row r="114" ht="15.75" customHeight="1">
      <c r="A114" s="2">
        <v>1.0</v>
      </c>
      <c r="B114" s="2" t="s">
        <v>411</v>
      </c>
      <c r="C114" s="2" t="s">
        <v>412</v>
      </c>
      <c r="D114" s="2" t="s">
        <v>39</v>
      </c>
      <c r="E114" s="2" t="s">
        <v>14</v>
      </c>
      <c r="F114" s="2" t="s">
        <v>15</v>
      </c>
      <c r="G114" s="2" t="s">
        <v>413</v>
      </c>
      <c r="H114" s="2" t="s">
        <v>414</v>
      </c>
      <c r="I114" s="2" t="str">
        <f>IFERROR(__xludf.DUMMYFUNCTION("GOOGLETRANSLATE(C114,""fr"",""en"")"),"Hello,
Accident arrived in January 2017 and to date, I am still not reimbursed for the € 350 that I had to move forward, because the partner garage was not busy enough to repair my vehicle, suddenly I had to go to a Garage of the Citroën network and ad"&amp;"vance the costs…
Yet things are a priori simple and clear, vehicle stopped, driver outside the vehicle, accident in a station/washing tunnel that did not work, the water did not come out, result the rollers have rollers Dry turned and broke the passeng"&amp;"er rear view mirror, the manager recognizes his wrongs and made an observation ...
It's up to you to make an opinion on the quality and services of this insurance ...
")</f>
        <v>Hello,
Accident arrived in January 2017 and to date, I am still not reimbursed for the € 350 that I had to move forward, because the partner garage was not busy enough to repair my vehicle, suddenly I had to go to a Garage of the Citroën network and advance the costs…
Yet things are a priori simple and clear, vehicle stopped, driver outside the vehicle, accident in a station/washing tunnel that did not work, the water did not come out, result the rollers have rollers Dry turned and broke the passenger rear view mirror, the manager recognizes his wrongs and made an observation ...
It's up to you to make an opinion on the quality and services of this insurance ...
</v>
      </c>
    </row>
    <row r="115" ht="15.75" customHeight="1">
      <c r="A115" s="2">
        <v>1.0</v>
      </c>
      <c r="B115" s="2" t="s">
        <v>415</v>
      </c>
      <c r="C115" s="2" t="s">
        <v>416</v>
      </c>
      <c r="D115" s="2" t="s">
        <v>44</v>
      </c>
      <c r="E115" s="2" t="s">
        <v>45</v>
      </c>
      <c r="F115" s="2" t="s">
        <v>15</v>
      </c>
      <c r="G115" s="2" t="s">
        <v>417</v>
      </c>
      <c r="H115" s="2" t="s">
        <v>113</v>
      </c>
      <c r="I115" s="2" t="str">
        <f>IFERROR(__xludf.DUMMYFUNCTION("GOOGLETRANSLATE(C115,""fr"",""en"")"),"To flee is a disaster, unreachable on the phone, unmanageable website, no response to emails, more news from the seller advisor, an unreachable agency saturated, what a desolation. It is 10:18 a.m. since 9 a.m. this morning I try to reach them is a shame.")</f>
        <v>To flee is a disaster, unreachable on the phone, unmanageable website, no response to emails, more news from the seller advisor, an unreachable agency saturated, what a desolation. It is 10:18 a.m. since 9 a.m. this morning I try to reach them is a shame.</v>
      </c>
    </row>
    <row r="116" ht="15.75" customHeight="1">
      <c r="A116" s="2">
        <v>5.0</v>
      </c>
      <c r="B116" s="2" t="s">
        <v>418</v>
      </c>
      <c r="C116" s="2" t="s">
        <v>419</v>
      </c>
      <c r="D116" s="2" t="s">
        <v>39</v>
      </c>
      <c r="E116" s="2" t="s">
        <v>14</v>
      </c>
      <c r="F116" s="2" t="s">
        <v>15</v>
      </c>
      <c r="G116" s="2" t="s">
        <v>420</v>
      </c>
      <c r="H116" s="2" t="s">
        <v>27</v>
      </c>
      <c r="I116" s="2" t="str">
        <f>IFERROR(__xludf.DUMMYFUNCTION("GOOGLETRANSLATE(C116,""fr"",""en"")"),"I am very satisfied with the service and the home insurance, it is insurance that is reliable
It is insurance that has very reliable prices and I will recommend those around me")</f>
        <v>I am very satisfied with the service and the home insurance, it is insurance that is reliable
It is insurance that has very reliable prices and I will recommend those around me</v>
      </c>
    </row>
    <row r="117" ht="15.75" customHeight="1">
      <c r="A117" s="2">
        <v>2.0</v>
      </c>
      <c r="B117" s="2" t="s">
        <v>421</v>
      </c>
      <c r="C117" s="2" t="s">
        <v>422</v>
      </c>
      <c r="D117" s="2" t="s">
        <v>25</v>
      </c>
      <c r="E117" s="2" t="s">
        <v>14</v>
      </c>
      <c r="F117" s="2" t="s">
        <v>15</v>
      </c>
      <c r="G117" s="2" t="s">
        <v>423</v>
      </c>
      <c r="H117" s="2" t="s">
        <v>424</v>
      </c>
      <c r="I117" s="2" t="str">
        <f>IFERROR(__xludf.DUMMYFUNCTION("GOOGLETRANSLATE(C117,""fr"",""en"")"),"Worse insurance of the world, they make the honey on the phone but the day you have a problem, there is no one left! I was the victim of an accident and they were of no help, they manage to pay no compensation, no replacement vehicle (they always find a p"&amp;"retext to shirk) and almost 13 months Afterwards, I still haven't obtained repair ... if they are so inexpensive, we quickly understand why!")</f>
        <v>Worse insurance of the world, they make the honey on the phone but the day you have a problem, there is no one left! I was the victim of an accident and they were of no help, they manage to pay no compensation, no replacement vehicle (they always find a pretext to shirk) and almost 13 months Afterwards, I still haven't obtained repair ... if they are so inexpensive, we quickly understand why!</v>
      </c>
    </row>
    <row r="118" ht="15.75" customHeight="1">
      <c r="A118" s="2">
        <v>4.0</v>
      </c>
      <c r="B118" s="2" t="s">
        <v>425</v>
      </c>
      <c r="C118" s="2" t="s">
        <v>426</v>
      </c>
      <c r="D118" s="2" t="s">
        <v>25</v>
      </c>
      <c r="E118" s="2" t="s">
        <v>14</v>
      </c>
      <c r="F118" s="2" t="s">
        <v>15</v>
      </c>
      <c r="G118" s="2" t="s">
        <v>302</v>
      </c>
      <c r="H118" s="2" t="s">
        <v>109</v>
      </c>
      <c r="I118" s="2" t="str">
        <f>IFERROR(__xludf.DUMMYFUNCTION("GOOGLETRANSLATE(C118,""fr"",""en"")"),"I am very satisfied with the prices it suits me simple and quick I go in orally recommended it to my friends thank you for your understanding good evening")</f>
        <v>I am very satisfied with the prices it suits me simple and quick I go in orally recommended it to my friends thank you for your understanding good evening</v>
      </c>
    </row>
    <row r="119" ht="15.75" customHeight="1">
      <c r="A119" s="2">
        <v>1.0</v>
      </c>
      <c r="B119" s="2" t="s">
        <v>427</v>
      </c>
      <c r="C119" s="2" t="s">
        <v>428</v>
      </c>
      <c r="D119" s="2" t="s">
        <v>315</v>
      </c>
      <c r="E119" s="2" t="s">
        <v>429</v>
      </c>
      <c r="F119" s="2" t="s">
        <v>15</v>
      </c>
      <c r="G119" s="2" t="s">
        <v>430</v>
      </c>
      <c r="H119" s="2" t="s">
        <v>431</v>
      </c>
      <c r="I119" s="2" t="str">
        <f>IFERROR(__xludf.DUMMYFUNCTION("GOOGLETRANSLATE(C119,""fr"",""en"")"),"See message from July 30, 2019
Do not let yourself be done .... I am decided. I left them 15 days to review their positioning on my disability which they classified at a functional rate of 15 % (so as not to compensate well obviously) with 1 minute of au"&amp;"scultation! Today they have 7 days left and I attack them in demand for damages.
On the lawyers I contacted all want to represent me and confirm a success rate!
I think it's worth fighting. Do not let go and don't let yourself go if you think you are le"&amp;"d.
")</f>
        <v>See message from July 30, 2019
Do not let yourself be done .... I am decided. I left them 15 days to review their positioning on my disability which they classified at a functional rate of 15 % (so as not to compensate well obviously) with 1 minute of auscultation! Today they have 7 days left and I attack them in demand for damages.
On the lawyers I contacted all want to represent me and confirm a success rate!
I think it's worth fighting. Do not let go and don't let yourself go if you think you are led.
</v>
      </c>
    </row>
    <row r="120" ht="15.75" customHeight="1">
      <c r="A120" s="2">
        <v>2.0</v>
      </c>
      <c r="B120" s="2" t="s">
        <v>432</v>
      </c>
      <c r="C120" s="2" t="s">
        <v>433</v>
      </c>
      <c r="D120" s="2" t="s">
        <v>434</v>
      </c>
      <c r="E120" s="2" t="s">
        <v>233</v>
      </c>
      <c r="F120" s="2" t="s">
        <v>15</v>
      </c>
      <c r="G120" s="2" t="s">
        <v>435</v>
      </c>
      <c r="H120" s="2" t="s">
        <v>238</v>
      </c>
      <c r="I120" s="2" t="str">
        <f>IFERROR(__xludf.DUMMYFUNCTION("GOOGLETRANSLATE(C120,""fr"",""en"")"),"I cannot provide a social security number, I just want information in order to know the procedure to stop the payment of a complementary, I am hung on the nose! I find it inadmissible.")</f>
        <v>I cannot provide a social security number, I just want information in order to know the procedure to stop the payment of a complementary, I am hung on the nose! I find it inadmissible.</v>
      </c>
    </row>
    <row r="121" ht="15.75" customHeight="1">
      <c r="A121" s="2">
        <v>2.0</v>
      </c>
      <c r="B121" s="2" t="s">
        <v>436</v>
      </c>
      <c r="C121" s="2" t="s">
        <v>437</v>
      </c>
      <c r="D121" s="2" t="s">
        <v>20</v>
      </c>
      <c r="E121" s="2" t="s">
        <v>14</v>
      </c>
      <c r="F121" s="2" t="s">
        <v>15</v>
      </c>
      <c r="G121" s="2" t="s">
        <v>438</v>
      </c>
      <c r="H121" s="2" t="s">
        <v>41</v>
      </c>
      <c r="I121" s="2" t="str">
        <f>IFERROR(__xludf.DUMMYFUNCTION("GOOGLETRANSLATE(C121,""fr"",""en"")"),"12 years of loyalty, no accident. And after the death of my spouse I had an accident. There were 8000th of fresh and suddenly the Maaf turned me away because I cost them too much! Long live loyalty!")</f>
        <v>12 years of loyalty, no accident. And after the death of my spouse I had an accident. There were 8000th of fresh and suddenly the Maaf turned me away because I cost them too much! Long live loyalty!</v>
      </c>
    </row>
    <row r="122" ht="15.75" customHeight="1">
      <c r="A122" s="2">
        <v>2.0</v>
      </c>
      <c r="B122" s="2" t="s">
        <v>439</v>
      </c>
      <c r="C122" s="2" t="s">
        <v>440</v>
      </c>
      <c r="D122" s="2" t="s">
        <v>49</v>
      </c>
      <c r="E122" s="2" t="s">
        <v>14</v>
      </c>
      <c r="F122" s="2" t="s">
        <v>15</v>
      </c>
      <c r="G122" s="2" t="s">
        <v>101</v>
      </c>
      <c r="H122" s="2" t="s">
        <v>101</v>
      </c>
      <c r="I122" s="2" t="str">
        <f>IFERROR(__xludf.DUMMYFUNCTION("GOOGLETRANSLATE(C122,""fr"",""en"")"),"After two small claims over two years I receive before the deadline a letter of termination of my contract all risks ,, I have always been good driver ,,, when it comes to paying it goes but as soon as they have to intervene For a disaster we are ejecting"&amp;" ,,,,")</f>
        <v>After two small claims over two years I receive before the deadline a letter of termination of my contract all risks ,, I have always been good driver ,,, when it comes to paying it goes but as soon as they have to intervene For a disaster we are ejecting ,,,,</v>
      </c>
    </row>
    <row r="123" ht="15.75" customHeight="1">
      <c r="A123" s="2">
        <v>4.0</v>
      </c>
      <c r="B123" s="2" t="s">
        <v>441</v>
      </c>
      <c r="C123" s="2" t="s">
        <v>442</v>
      </c>
      <c r="D123" s="2" t="s">
        <v>39</v>
      </c>
      <c r="E123" s="2" t="s">
        <v>14</v>
      </c>
      <c r="F123" s="2" t="s">
        <v>15</v>
      </c>
      <c r="G123" s="2" t="s">
        <v>443</v>
      </c>
      <c r="H123" s="2" t="s">
        <v>27</v>
      </c>
      <c r="I123" s="2" t="str">
        <f>IFERROR(__xludf.DUMMYFUNCTION("GOOGLETRANSLATE(C123,""fr"",""en"")"),"I am satisfied with the service and the quality offered, I have never had a problem so far. You are responsive and I thank you. Cordially.")</f>
        <v>I am satisfied with the service and the quality offered, I have never had a problem so far. You are responsive and I thank you. Cordially.</v>
      </c>
    </row>
    <row r="124" ht="15.75" customHeight="1">
      <c r="A124" s="2">
        <v>5.0</v>
      </c>
      <c r="B124" s="2" t="s">
        <v>444</v>
      </c>
      <c r="C124" s="2" t="s">
        <v>445</v>
      </c>
      <c r="D124" s="2" t="s">
        <v>25</v>
      </c>
      <c r="E124" s="2" t="s">
        <v>14</v>
      </c>
      <c r="F124" s="2" t="s">
        <v>15</v>
      </c>
      <c r="G124" s="2" t="s">
        <v>173</v>
      </c>
      <c r="H124" s="2" t="s">
        <v>64</v>
      </c>
      <c r="I124" s="2" t="str">
        <f>IFERROR(__xludf.DUMMYFUNCTION("GOOGLETRANSLATE(C124,""fr"",""en"")"),"Good company Dassurance just damage these 36th file fees but otherwise nothing to say the people who manage are very friendly I recommend")</f>
        <v>Good company Dassurance just damage these 36th file fees but otherwise nothing to say the people who manage are very friendly I recommend</v>
      </c>
    </row>
    <row r="125" ht="15.75" customHeight="1">
      <c r="A125" s="2">
        <v>2.0</v>
      </c>
      <c r="B125" s="2" t="s">
        <v>446</v>
      </c>
      <c r="C125" s="2" t="s">
        <v>447</v>
      </c>
      <c r="D125" s="2" t="s">
        <v>20</v>
      </c>
      <c r="E125" s="2" t="s">
        <v>14</v>
      </c>
      <c r="F125" s="2" t="s">
        <v>15</v>
      </c>
      <c r="G125" s="2" t="s">
        <v>448</v>
      </c>
      <c r="H125" s="2" t="s">
        <v>325</v>
      </c>
      <c r="I125" s="2" t="str">
        <f>IFERROR(__xludf.DUMMYFUNCTION("GOOGLETRANSLATE(C125,""fr"",""en"")"),"Dear, very expensive, too expensive but it's normal, it must be paid for the TV advertising.
Besides, you must avoid all the products that are looped on TV")</f>
        <v>Dear, very expensive, too expensive but it's normal, it must be paid for the TV advertising.
Besides, you must avoid all the products that are looped on TV</v>
      </c>
    </row>
    <row r="126" ht="15.75" customHeight="1">
      <c r="A126" s="2">
        <v>2.0</v>
      </c>
      <c r="B126" s="2" t="s">
        <v>449</v>
      </c>
      <c r="C126" s="2" t="s">
        <v>450</v>
      </c>
      <c r="D126" s="2" t="s">
        <v>30</v>
      </c>
      <c r="E126" s="2" t="s">
        <v>31</v>
      </c>
      <c r="F126" s="2" t="s">
        <v>15</v>
      </c>
      <c r="G126" s="2" t="s">
        <v>46</v>
      </c>
      <c r="H126" s="2" t="s">
        <v>41</v>
      </c>
      <c r="I126" s="2" t="str">
        <f>IFERROR(__xludf.DUMMYFUNCTION("GOOGLETRANSLATE(C126,""fr"",""en"")"),"I received a recommended in January 2018 with a formal notice to pay my subscription. Excluding I have already paid by credit card in Nov 2017. And since impossible to have it by email and phone. It is better to pay a little more expensive and have contac"&amp;"t on site. I fear having a disaster with them.")</f>
        <v>I received a recommended in January 2018 with a formal notice to pay my subscription. Excluding I have already paid by credit card in Nov 2017. And since impossible to have it by email and phone. It is better to pay a little more expensive and have contact on site. I fear having a disaster with them.</v>
      </c>
    </row>
    <row r="127" ht="15.75" customHeight="1">
      <c r="A127" s="2">
        <v>5.0</v>
      </c>
      <c r="B127" s="2" t="s">
        <v>451</v>
      </c>
      <c r="C127" s="2" t="s">
        <v>452</v>
      </c>
      <c r="D127" s="2" t="s">
        <v>30</v>
      </c>
      <c r="E127" s="2" t="s">
        <v>31</v>
      </c>
      <c r="F127" s="2" t="s">
        <v>15</v>
      </c>
      <c r="G127" s="2" t="s">
        <v>453</v>
      </c>
      <c r="H127" s="2" t="s">
        <v>101</v>
      </c>
      <c r="I127" s="2" t="str">
        <f>IFERROR(__xludf.DUMMYFUNCTION("GOOGLETRANSLATE(C127,""fr"",""en"")"),"Super I recommend good quick and serious insurance fast insurance quote received quickly Qje recommended to all bikers to good asurance")</f>
        <v>Super I recommend good quick and serious insurance fast insurance quote received quickly Qje recommended to all bikers to good asurance</v>
      </c>
    </row>
    <row r="128" ht="15.75" customHeight="1">
      <c r="A128" s="2">
        <v>5.0</v>
      </c>
      <c r="B128" s="2" t="s">
        <v>454</v>
      </c>
      <c r="C128" s="2" t="s">
        <v>455</v>
      </c>
      <c r="D128" s="2" t="s">
        <v>30</v>
      </c>
      <c r="E128" s="2" t="s">
        <v>31</v>
      </c>
      <c r="F128" s="2" t="s">
        <v>15</v>
      </c>
      <c r="G128" s="2" t="s">
        <v>456</v>
      </c>
      <c r="H128" s="2" t="s">
        <v>113</v>
      </c>
      <c r="I128" s="2" t="str">
        <f>IFERROR(__xludf.DUMMYFUNCTION("GOOGLETRANSLATE(C128,""fr"",""en"")"),"Excellent responsiveness that led us to take this insurance.
A cover that corresponds to the needs of bikers.
A competitive and correct price.
")</f>
        <v>Excellent responsiveness that led us to take this insurance.
A cover that corresponds to the needs of bikers.
A competitive and correct price.
</v>
      </c>
    </row>
    <row r="129" ht="15.75" customHeight="1">
      <c r="A129" s="2">
        <v>1.0</v>
      </c>
      <c r="B129" s="2" t="s">
        <v>457</v>
      </c>
      <c r="C129" s="2" t="s">
        <v>458</v>
      </c>
      <c r="D129" s="2" t="s">
        <v>44</v>
      </c>
      <c r="E129" s="2" t="s">
        <v>45</v>
      </c>
      <c r="F129" s="2" t="s">
        <v>15</v>
      </c>
      <c r="G129" s="2" t="s">
        <v>348</v>
      </c>
      <c r="H129" s="2" t="s">
        <v>77</v>
      </c>
      <c r="I129" s="2" t="str">
        <f>IFERROR(__xludf.DUMMYFUNCTION("GOOGLETRANSLATE(C129,""fr"",""en"")"),"Since February 1 Cegema has been pre -led my monthly payment but has reimbursed me only 2 medication invoices not reimbursed by the Secu, I have been waiting for weeks for physiotherapy, osteopathy and scanner reimbursements I still have no response to my"&amp;" dental quote sent by me in February and by the broker in early April
The reimbursements were made following a registered letter that I had sent")</f>
        <v>Since February 1 Cegema has been pre -led my monthly payment but has reimbursed me only 2 medication invoices not reimbursed by the Secu, I have been waiting for weeks for physiotherapy, osteopathy and scanner reimbursements I still have no response to my dental quote sent by me in February and by the broker in early April
The reimbursements were made following a registered letter that I had sent</v>
      </c>
    </row>
    <row r="130" ht="15.75" customHeight="1">
      <c r="A130" s="2">
        <v>4.0</v>
      </c>
      <c r="B130" s="2" t="s">
        <v>459</v>
      </c>
      <c r="C130" s="2" t="s">
        <v>460</v>
      </c>
      <c r="D130" s="2" t="s">
        <v>39</v>
      </c>
      <c r="E130" s="2" t="s">
        <v>14</v>
      </c>
      <c r="F130" s="2" t="s">
        <v>15</v>
      </c>
      <c r="G130" s="2" t="s">
        <v>417</v>
      </c>
      <c r="H130" s="2" t="s">
        <v>113</v>
      </c>
      <c r="I130" s="2" t="str">
        <f>IFERROR(__xludf.DUMMYFUNCTION("GOOGLETRANSLATE(C130,""fr"",""en"")"),"I am so far satisfied with the services, I very rarely need insurance, but for once, having a claim currently, I would be quickly fixed on the effectiveness of my contract.")</f>
        <v>I am so far satisfied with the services, I very rarely need insurance, but for once, having a claim currently, I would be quickly fixed on the effectiveness of my contract.</v>
      </c>
    </row>
    <row r="131" ht="15.75" customHeight="1">
      <c r="A131" s="2">
        <v>1.0</v>
      </c>
      <c r="B131" s="2" t="s">
        <v>461</v>
      </c>
      <c r="C131" s="2" t="s">
        <v>462</v>
      </c>
      <c r="D131" s="2" t="s">
        <v>361</v>
      </c>
      <c r="E131" s="2" t="s">
        <v>14</v>
      </c>
      <c r="F131" s="2" t="s">
        <v>15</v>
      </c>
      <c r="G131" s="2" t="s">
        <v>463</v>
      </c>
      <c r="H131" s="2" t="s">
        <v>212</v>
      </c>
      <c r="I131" s="2" t="str">
        <f>IFERROR(__xludf.DUMMYFUNCTION("GOOGLETRANSLATE(C131,""fr"",""en"")"),"I took any risk car insurance, a person voluntarily sunk my car on a roundabout and fled. I made a declaration to the gendarmerie (violence with weapon) but the maif does not take into account my testimony and considers me as responsible for the accident "&amp;"because I have no witness or the name or plate of the driver at the 'Origin of the accident.
Even insured correctly, the MAIF has no confidence in its members and insinuated that I could have made a false statement to the gendarmerie.")</f>
        <v>I took any risk car insurance, a person voluntarily sunk my car on a roundabout and fled. I made a declaration to the gendarmerie (violence with weapon) but the maif does not take into account my testimony and considers me as responsible for the accident because I have no witness or the name or plate of the driver at the 'Origin of the accident.
Even insured correctly, the MAIF has no confidence in its members and insinuated that I could have made a false statement to the gendarmerie.</v>
      </c>
    </row>
    <row r="132" ht="15.75" customHeight="1">
      <c r="A132" s="2">
        <v>3.0</v>
      </c>
      <c r="B132" s="2" t="s">
        <v>464</v>
      </c>
      <c r="C132" s="2" t="s">
        <v>465</v>
      </c>
      <c r="D132" s="2" t="s">
        <v>466</v>
      </c>
      <c r="E132" s="2" t="s">
        <v>96</v>
      </c>
      <c r="F132" s="2" t="s">
        <v>15</v>
      </c>
      <c r="G132" s="2" t="s">
        <v>467</v>
      </c>
      <c r="H132" s="2" t="s">
        <v>77</v>
      </c>
      <c r="I132" s="2" t="str">
        <f>IFERROR(__xludf.DUMMYFUNCTION("GOOGLETRANSLATE(C132,""fr"",""en"")"),"We have life insurance at Sogecap and it's been 20 days since the file is ready and even left (May 2621) .... icing on the cake they have been so-called since Friday June 11, 21, ( as well as Monday 14, so) I can only contact them by phone ?? I think I wi"&amp;"ll have to find another way")</f>
        <v>We have life insurance at Sogecap and it's been 20 days since the file is ready and even left (May 2621) .... icing on the cake they have been so-called since Friday June 11, 21, ( as well as Monday 14, so) I can only contact them by phone ?? I think I will have to find another way</v>
      </c>
    </row>
    <row r="133" ht="15.75" customHeight="1">
      <c r="A133" s="2">
        <v>5.0</v>
      </c>
      <c r="B133" s="2" t="s">
        <v>468</v>
      </c>
      <c r="C133" s="2" t="s">
        <v>469</v>
      </c>
      <c r="D133" s="2" t="s">
        <v>25</v>
      </c>
      <c r="E133" s="2" t="s">
        <v>14</v>
      </c>
      <c r="F133" s="2" t="s">
        <v>15</v>
      </c>
      <c r="G133" s="2" t="s">
        <v>453</v>
      </c>
      <c r="H133" s="2" t="s">
        <v>101</v>
      </c>
      <c r="I133" s="2" t="str">
        <f>IFERROR(__xludf.DUMMYFUNCTION("GOOGLETRANSLATE(C133,""fr"",""en"")"),"I am satisfied with the service and the prices offered
In my eyes, the value for money is exert
Especially for young drivers like me")</f>
        <v>I am satisfied with the service and the prices offered
In my eyes, the value for money is exert
Especially for young drivers like me</v>
      </c>
    </row>
    <row r="134" ht="15.75" customHeight="1">
      <c r="A134" s="2">
        <v>1.0</v>
      </c>
      <c r="B134" s="2" t="s">
        <v>470</v>
      </c>
      <c r="C134" s="2" t="s">
        <v>471</v>
      </c>
      <c r="D134" s="2" t="s">
        <v>339</v>
      </c>
      <c r="E134" s="2" t="s">
        <v>45</v>
      </c>
      <c r="F134" s="2" t="s">
        <v>15</v>
      </c>
      <c r="G134" s="2" t="s">
        <v>472</v>
      </c>
      <c r="H134" s="2" t="s">
        <v>424</v>
      </c>
      <c r="I134" s="2" t="str">
        <f>IFERROR(__xludf.DUMMYFUNCTION("GOOGLETRANSLATE(C134,""fr"",""en"")"),"Mutual contemptuous his members. Do not answer questions from his members difficult to reach both by phone and by Internet just good to reach contributions. relationship with his members, impossible
")</f>
        <v>Mutual contemptuous his members. Do not answer questions from his members difficult to reach both by phone and by Internet just good to reach contributions. relationship with his members, impossible
</v>
      </c>
    </row>
    <row r="135" ht="15.75" customHeight="1">
      <c r="A135" s="2">
        <v>1.0</v>
      </c>
      <c r="B135" s="2" t="s">
        <v>473</v>
      </c>
      <c r="C135" s="2" t="s">
        <v>474</v>
      </c>
      <c r="D135" s="2" t="s">
        <v>137</v>
      </c>
      <c r="E135" s="2" t="s">
        <v>45</v>
      </c>
      <c r="F135" s="2" t="s">
        <v>15</v>
      </c>
      <c r="G135" s="2" t="s">
        <v>475</v>
      </c>
      <c r="H135" s="2" t="s">
        <v>476</v>
      </c>
      <c r="I135" s="2" t="str">
        <f>IFERROR(__xludf.DUMMYFUNCTION("GOOGLETRANSLATE(C135,""fr"",""en"")"),"I sent an ""urgent"" email to the business management department on 01/21/2017, because my son was hospitalized, I still haven't had an answer. My wife called, the advisor who did not know how to answer our questions ... I am really disappointed with cust"&amp;"omer service.
When you have health concerns, we would like to have a reactive mutual and it is not at all the case !!")</f>
        <v>I sent an "urgent" email to the business management department on 01/21/2017, because my son was hospitalized, I still haven't had an answer. My wife called, the advisor who did not know how to answer our questions ... I am really disappointed with customer service.
When you have health concerns, we would like to have a reactive mutual and it is not at all the case !!</v>
      </c>
    </row>
    <row r="136" ht="15.75" customHeight="1">
      <c r="A136" s="2">
        <v>3.0</v>
      </c>
      <c r="B136" s="2" t="s">
        <v>477</v>
      </c>
      <c r="C136" s="2" t="s">
        <v>478</v>
      </c>
      <c r="D136" s="2" t="s">
        <v>39</v>
      </c>
      <c r="E136" s="2" t="s">
        <v>14</v>
      </c>
      <c r="F136" s="2" t="s">
        <v>15</v>
      </c>
      <c r="G136" s="2" t="s">
        <v>479</v>
      </c>
      <c r="H136" s="2" t="s">
        <v>109</v>
      </c>
      <c r="I136" s="2" t="str">
        <f>IFERROR(__xludf.DUMMYFUNCTION("GOOGLETRANSLATE(C136,""fr"",""en"")"),"Satisfied with the speed of subscription, the clarity of the questions requested, on the other hand the CGV clauses are very long and not very clear to understand.")</f>
        <v>Satisfied with the speed of subscription, the clarity of the questions requested, on the other hand the CGV clauses are very long and not very clear to understand.</v>
      </c>
    </row>
    <row r="137" ht="15.75" customHeight="1">
      <c r="A137" s="2">
        <v>1.0</v>
      </c>
      <c r="B137" s="2" t="s">
        <v>480</v>
      </c>
      <c r="C137" s="2" t="s">
        <v>481</v>
      </c>
      <c r="D137" s="2" t="s">
        <v>315</v>
      </c>
      <c r="E137" s="2" t="s">
        <v>50</v>
      </c>
      <c r="F137" s="2" t="s">
        <v>15</v>
      </c>
      <c r="G137" s="2" t="s">
        <v>482</v>
      </c>
      <c r="H137" s="2" t="s">
        <v>41</v>
      </c>
      <c r="I137" s="2" t="str">
        <f>IFERROR(__xludf.DUMMYFUNCTION("GOOGLETRANSLATE(C137,""fr"",""en"")"),"After several years and contracts with them ... I wonder if we can call it insurance ?? They clearly ask their experts to minimize the amount of damage and exclude a maximum of their claims and beware of you if you request compensation they apply a ""mino"&amp;"r"" rate of origin ... a term to reimburse you the minimum possible.")</f>
        <v>After several years and contracts with them ... I wonder if we can call it insurance ?? They clearly ask their experts to minimize the amount of damage and exclude a maximum of their claims and beware of you if you request compensation they apply a "minor" rate of origin ... a term to reimburse you the minimum possible.</v>
      </c>
    </row>
    <row r="138" ht="15.75" customHeight="1">
      <c r="A138" s="2">
        <v>5.0</v>
      </c>
      <c r="B138" s="2" t="s">
        <v>483</v>
      </c>
      <c r="C138" s="2" t="s">
        <v>484</v>
      </c>
      <c r="D138" s="2" t="s">
        <v>39</v>
      </c>
      <c r="E138" s="2" t="s">
        <v>14</v>
      </c>
      <c r="F138" s="2" t="s">
        <v>15</v>
      </c>
      <c r="G138" s="2" t="s">
        <v>485</v>
      </c>
      <c r="H138" s="2" t="s">
        <v>17</v>
      </c>
      <c r="I138" s="2" t="str">
        <f>IFERROR(__xludf.DUMMYFUNCTION("GOOGLETRANSLATE(C138,""fr"",""en"")"),"Perfect in all points the prices are correct and the speed for the management of my request and really great I do not regret my choice. Thank you")</f>
        <v>Perfect in all points the prices are correct and the speed for the management of my request and really great I do not regret my choice. Thank you</v>
      </c>
    </row>
    <row r="139" ht="15.75" customHeight="1">
      <c r="A139" s="2">
        <v>4.0</v>
      </c>
      <c r="B139" s="2" t="s">
        <v>486</v>
      </c>
      <c r="C139" s="2" t="s">
        <v>487</v>
      </c>
      <c r="D139" s="2" t="s">
        <v>39</v>
      </c>
      <c r="E139" s="2" t="s">
        <v>14</v>
      </c>
      <c r="F139" s="2" t="s">
        <v>15</v>
      </c>
      <c r="G139" s="2" t="s">
        <v>488</v>
      </c>
      <c r="H139" s="2" t="s">
        <v>109</v>
      </c>
      <c r="I139" s="2" t="str">
        <f>IFERROR(__xludf.DUMMYFUNCTION("GOOGLETRANSLATE(C139,""fr"",""en"")"),"I am satisfied but a rebate would have been welcome because of the COVVI-19 which immobilized the car for several months in 2020, and which says no trip called no sinister")</f>
        <v>I am satisfied but a rebate would have been welcome because of the COVVI-19 which immobilized the car for several months in 2020, and which says no trip called no sinister</v>
      </c>
    </row>
    <row r="140" ht="15.75" customHeight="1">
      <c r="A140" s="2">
        <v>3.0</v>
      </c>
      <c r="B140" s="2" t="s">
        <v>489</v>
      </c>
      <c r="C140" s="2" t="s">
        <v>490</v>
      </c>
      <c r="D140" s="2" t="s">
        <v>398</v>
      </c>
      <c r="E140" s="2" t="s">
        <v>45</v>
      </c>
      <c r="F140" s="2" t="s">
        <v>15</v>
      </c>
      <c r="G140" s="2" t="s">
        <v>491</v>
      </c>
      <c r="H140" s="2" t="s">
        <v>476</v>
      </c>
      <c r="I140" s="2" t="str">
        <f>IFERROR(__xludf.DUMMYFUNCTION("GOOGLETRANSLATE(C140,""fr"",""en"")"),"Do not take a mutual harmony once the contract signed we have that branches they no longer answer on the phone so more information they are bars")</f>
        <v>Do not take a mutual harmony once the contract signed we have that branches they no longer answer on the phone so more information they are bars</v>
      </c>
    </row>
    <row r="141" ht="15.75" customHeight="1">
      <c r="A141" s="2">
        <v>3.0</v>
      </c>
      <c r="B141" s="2" t="s">
        <v>492</v>
      </c>
      <c r="C141" s="2" t="s">
        <v>493</v>
      </c>
      <c r="D141" s="2" t="s">
        <v>25</v>
      </c>
      <c r="E141" s="2" t="s">
        <v>14</v>
      </c>
      <c r="F141" s="2" t="s">
        <v>15</v>
      </c>
      <c r="G141" s="2" t="s">
        <v>494</v>
      </c>
      <c r="H141" s="2" t="s">
        <v>120</v>
      </c>
      <c r="I141" s="2" t="str">
        <f>IFERROR(__xludf.DUMMYFUNCTION("GOOGLETRANSLATE(C141,""fr"",""en"")"),"Prices suit me, the cheapest on insurance comparators. Easy and simple. Speed ​​to subscribe to car insurance. Everything is going well.")</f>
        <v>Prices suit me, the cheapest on insurance comparators. Easy and simple. Speed ​​to subscribe to car insurance. Everything is going well.</v>
      </c>
    </row>
    <row r="142" ht="15.75" customHeight="1">
      <c r="A142" s="2">
        <v>1.0</v>
      </c>
      <c r="B142" s="2" t="s">
        <v>495</v>
      </c>
      <c r="C142" s="2" t="s">
        <v>496</v>
      </c>
      <c r="D142" s="2" t="s">
        <v>323</v>
      </c>
      <c r="E142" s="2" t="s">
        <v>45</v>
      </c>
      <c r="F142" s="2" t="s">
        <v>15</v>
      </c>
      <c r="G142" s="2" t="s">
        <v>497</v>
      </c>
      <c r="H142" s="2" t="s">
        <v>101</v>
      </c>
      <c r="I142" s="2" t="str">
        <f>IFERROR(__xludf.DUMMYFUNCTION("GOOGLETRANSLATE(C142,""fr"",""en"")"),"Young teacher, I had almost no repayment requests and I was happy to contribute in solidarity.
Today with a family life, small requests accumulate (dental care, specialized medicines, ophthalmos, glasses, etc.).
Each almost reimbursement request is reje"&amp;"cted despite sending all the necessary supporting documents. Without sending several messages, no chance of being reimbursed or having the slightest explanation on a rejection.
It is a long fight for each refund request. If wasting time doesn't scare you"&amp;", go for it.
Like all comments, I note that the price ratio/quality of service is extremely disappointing.")</f>
        <v>Young teacher, I had almost no repayment requests and I was happy to contribute in solidarity.
Today with a family life, small requests accumulate (dental care, specialized medicines, ophthalmos, glasses, etc.).
Each almost reimbursement request is rejected despite sending all the necessary supporting documents. Without sending several messages, no chance of being reimbursed or having the slightest explanation on a rejection.
It is a long fight for each refund request. If wasting time doesn't scare you, go for it.
Like all comments, I note that the price ratio/quality of service is extremely disappointing.</v>
      </c>
    </row>
    <row r="143" ht="15.75" customHeight="1">
      <c r="A143" s="2">
        <v>1.0</v>
      </c>
      <c r="B143" s="2" t="s">
        <v>498</v>
      </c>
      <c r="C143" s="2" t="s">
        <v>499</v>
      </c>
      <c r="D143" s="2" t="s">
        <v>162</v>
      </c>
      <c r="E143" s="2" t="s">
        <v>45</v>
      </c>
      <c r="F143" s="2" t="s">
        <v>15</v>
      </c>
      <c r="G143" s="2" t="s">
        <v>500</v>
      </c>
      <c r="H143" s="2" t="s">
        <v>41</v>
      </c>
      <c r="I143" s="2" t="str">
        <f>IFERROR(__xludf.DUMMYFUNCTION("GOOGLETRANSLATE(C143,""fr"",""en"")"),"Rigidity of the exchanges with the customer, to subscribe hyper fast, you are refourgled for an additional product without your agreement, on the other hand once a customer, especially do not derogate from their procedures.
Very bad communication and tot"&amp;"al inertia on the expected responses.")</f>
        <v>Rigidity of the exchanges with the customer, to subscribe hyper fast, you are refourgled for an additional product without your agreement, on the other hand once a customer, especially do not derogate from their procedures.
Very bad communication and total inertia on the expected responses.</v>
      </c>
    </row>
    <row r="144" ht="15.75" customHeight="1">
      <c r="A144" s="2">
        <v>2.0</v>
      </c>
      <c r="B144" s="2" t="s">
        <v>501</v>
      </c>
      <c r="C144" s="2" t="s">
        <v>502</v>
      </c>
      <c r="D144" s="2" t="s">
        <v>39</v>
      </c>
      <c r="E144" s="2" t="s">
        <v>14</v>
      </c>
      <c r="F144" s="2" t="s">
        <v>15</v>
      </c>
      <c r="G144" s="2" t="s">
        <v>503</v>
      </c>
      <c r="H144" s="2" t="s">
        <v>504</v>
      </c>
      <c r="I144" s="2" t="str">
        <f>IFERROR(__xludf.DUMMYFUNCTION("GOOGLETRANSLATE(C144,""fr"",""en"")"),"Following a claim that occurred in a commercial area, my son stopped at a stop is struck by a vehicle all over the right side (above wheel and then rear carrier and drinking portiere) the person telling us not having seen us Because looked on his right .."&amp;". Direct insurance announces him 100% liability !!! he would have said a bad box !! What is the sketch of the accident and the observations for then !!!")</f>
        <v>Following a claim that occurred in a commercial area, my son stopped at a stop is struck by a vehicle all over the right side (above wheel and then rear carrier and drinking portiere) the person telling us not having seen us Because looked on his right ... Direct insurance announces him 100% liability !!! he would have said a bad box !! What is the sketch of the accident and the observations for then !!!</v>
      </c>
    </row>
    <row r="145" ht="15.75" customHeight="1">
      <c r="A145" s="2">
        <v>5.0</v>
      </c>
      <c r="B145" s="2" t="s">
        <v>505</v>
      </c>
      <c r="C145" s="2" t="s">
        <v>506</v>
      </c>
      <c r="D145" s="2" t="s">
        <v>39</v>
      </c>
      <c r="E145" s="2" t="s">
        <v>14</v>
      </c>
      <c r="F145" s="2" t="s">
        <v>15</v>
      </c>
      <c r="G145" s="2" t="s">
        <v>507</v>
      </c>
      <c r="H145" s="2" t="s">
        <v>77</v>
      </c>
      <c r="I145" s="2" t="str">
        <f>IFERROR(__xludf.DUMMYFUNCTION("GOOGLETRANSLATE(C145,""fr"",""en"")"),"Simple and quick, more than suitable prices
very satisfied to be part of customers
always listening and very professional
Movement planned soon and always insured at Direct Insurance")</f>
        <v>Simple and quick, more than suitable prices
very satisfied to be part of customers
always listening and very professional
Movement planned soon and always insured at Direct Insurance</v>
      </c>
    </row>
    <row r="146" ht="15.75" customHeight="1">
      <c r="A146" s="2">
        <v>5.0</v>
      </c>
      <c r="B146" s="2" t="s">
        <v>508</v>
      </c>
      <c r="C146" s="2" t="s">
        <v>509</v>
      </c>
      <c r="D146" s="2" t="s">
        <v>25</v>
      </c>
      <c r="E146" s="2" t="s">
        <v>14</v>
      </c>
      <c r="F146" s="2" t="s">
        <v>15</v>
      </c>
      <c r="G146" s="2" t="s">
        <v>510</v>
      </c>
      <c r="H146" s="2" t="s">
        <v>101</v>
      </c>
      <c r="I146" s="2" t="str">
        <f>IFERROR(__xludf.DUMMYFUNCTION("GOOGLETRANSLATE(C146,""fr"",""en"")"),"I am completely satisfied, the prices suit me, the insurance site is very easy to use, the speed to finalize the contract is very appreciable.")</f>
        <v>I am completely satisfied, the prices suit me, the insurance site is very easy to use, the speed to finalize the contract is very appreciable.</v>
      </c>
    </row>
    <row r="147" ht="15.75" customHeight="1">
      <c r="A147" s="2">
        <v>4.0</v>
      </c>
      <c r="B147" s="2" t="s">
        <v>511</v>
      </c>
      <c r="C147" s="2" t="s">
        <v>512</v>
      </c>
      <c r="D147" s="2" t="s">
        <v>241</v>
      </c>
      <c r="E147" s="2" t="s">
        <v>45</v>
      </c>
      <c r="F147" s="2" t="s">
        <v>15</v>
      </c>
      <c r="G147" s="2" t="s">
        <v>109</v>
      </c>
      <c r="H147" s="2" t="s">
        <v>109</v>
      </c>
      <c r="I147" s="2" t="str">
        <f>IFERROR(__xludf.DUMMYFUNCTION("GOOGLETRANSLATE(C147,""fr"",""en"")"),"Hello,
Unless I am mistaken, I've been at the MGP for 19 years and for the moment I am satisfied, so why change a winning relationship.")</f>
        <v>Hello,
Unless I am mistaken, I've been at the MGP for 19 years and for the moment I am satisfied, so why change a winning relationship.</v>
      </c>
    </row>
    <row r="148" ht="15.75" customHeight="1">
      <c r="A148" s="2">
        <v>4.0</v>
      </c>
      <c r="B148" s="2" t="s">
        <v>513</v>
      </c>
      <c r="C148" s="2" t="s">
        <v>514</v>
      </c>
      <c r="D148" s="2" t="s">
        <v>39</v>
      </c>
      <c r="E148" s="2" t="s">
        <v>14</v>
      </c>
      <c r="F148" s="2" t="s">
        <v>15</v>
      </c>
      <c r="G148" s="2" t="s">
        <v>515</v>
      </c>
      <c r="H148" s="2" t="s">
        <v>109</v>
      </c>
      <c r="I148" s="2" t="str">
        <f>IFERROR(__xludf.DUMMYFUNCTION("GOOGLETRANSLATE(C148,""fr"",""en"")"),"To date I have not found a better price levels. Too bad that day you will not be able to ensure truck trucks and do not make pros insurance.")</f>
        <v>To date I have not found a better price levels. Too bad that day you will not be able to ensure truck trucks and do not make pros insurance.</v>
      </c>
    </row>
    <row r="149" ht="15.75" customHeight="1">
      <c r="A149" s="2">
        <v>1.0</v>
      </c>
      <c r="B149" s="2" t="s">
        <v>516</v>
      </c>
      <c r="C149" s="2" t="s">
        <v>517</v>
      </c>
      <c r="D149" s="2" t="s">
        <v>39</v>
      </c>
      <c r="E149" s="2" t="s">
        <v>14</v>
      </c>
      <c r="F149" s="2" t="s">
        <v>15</v>
      </c>
      <c r="G149" s="2" t="s">
        <v>278</v>
      </c>
      <c r="H149" s="2" t="s">
        <v>84</v>
      </c>
      <c r="I149" s="2" t="str">
        <f>IFERROR(__xludf.DUMMYFUNCTION("GOOGLETRANSLATE(C149,""fr"",""en"")"),"I deplore the care of our file following the death of my brother: termination of the contract and call for the litigation service 5 months later ... without any letter in the meantime.
I do not recommend this insurance maybe cheaper but without monitorin"&amp;"g if death")</f>
        <v>I deplore the care of our file following the death of my brother: termination of the contract and call for the litigation service 5 months later ... without any letter in the meantime.
I do not recommend this insurance maybe cheaper but without monitoring if death</v>
      </c>
    </row>
    <row r="150" ht="15.75" customHeight="1">
      <c r="A150" s="2">
        <v>5.0</v>
      </c>
      <c r="B150" s="2" t="s">
        <v>518</v>
      </c>
      <c r="C150" s="2" t="s">
        <v>519</v>
      </c>
      <c r="D150" s="2" t="s">
        <v>25</v>
      </c>
      <c r="E150" s="2" t="s">
        <v>14</v>
      </c>
      <c r="F150" s="2" t="s">
        <v>15</v>
      </c>
      <c r="G150" s="2" t="s">
        <v>520</v>
      </c>
      <c r="H150" s="2" t="s">
        <v>113</v>
      </c>
      <c r="I150" s="2" t="str">
        <f>IFERROR(__xludf.DUMMYFUNCTION("GOOGLETRANSLATE(C150,""fr"",""en"")"),"Very satisfied with the service and the responsiveness of professionals, a very affordable price compared to other insurers who I believe benefits from the small citizens.")</f>
        <v>Very satisfied with the service and the responsiveness of professionals, a very affordable price compared to other insurers who I believe benefits from the small citizens.</v>
      </c>
    </row>
    <row r="151" ht="15.75" customHeight="1">
      <c r="A151" s="2">
        <v>4.0</v>
      </c>
      <c r="B151" s="2" t="s">
        <v>521</v>
      </c>
      <c r="C151" s="2" t="s">
        <v>522</v>
      </c>
      <c r="D151" s="2" t="s">
        <v>39</v>
      </c>
      <c r="E151" s="2" t="s">
        <v>14</v>
      </c>
      <c r="F151" s="2" t="s">
        <v>15</v>
      </c>
      <c r="G151" s="2" t="s">
        <v>523</v>
      </c>
      <c r="H151" s="2" t="s">
        <v>84</v>
      </c>
      <c r="I151" s="2" t="str">
        <f>IFERROR(__xludf.DUMMYFUNCTION("GOOGLETRANSLATE(C151,""fr"",""en"")"),"I am satisfied with the quality and speed of the service.
I would recommend direct insurance to all my friends and loved ones without any hesitation.
In addition I will bring together all my insurance at Direct Insurance")</f>
        <v>I am satisfied with the quality and speed of the service.
I would recommend direct insurance to all my friends and loved ones without any hesitation.
In addition I will bring together all my insurance at Direct Insurance</v>
      </c>
    </row>
    <row r="152" ht="15.75" customHeight="1">
      <c r="A152" s="2">
        <v>5.0</v>
      </c>
      <c r="B152" s="2" t="s">
        <v>524</v>
      </c>
      <c r="C152" s="2" t="s">
        <v>525</v>
      </c>
      <c r="D152" s="2" t="s">
        <v>25</v>
      </c>
      <c r="E152" s="2" t="s">
        <v>14</v>
      </c>
      <c r="F152" s="2" t="s">
        <v>15</v>
      </c>
      <c r="G152" s="2" t="s">
        <v>526</v>
      </c>
      <c r="H152" s="2" t="s">
        <v>113</v>
      </c>
      <c r="I152" s="2" t="str">
        <f>IFERROR(__xludf.DUMMYFUNCTION("GOOGLETRANSLATE(C152,""fr"",""en"")"),"I am satisfied with the service, the prices suit me, the service is fast and effective, I was insured very quickly, I recommend the Olivier Asurance")</f>
        <v>I am satisfied with the service, the prices suit me, the service is fast and effective, I was insured very quickly, I recommend the Olivier Asurance</v>
      </c>
    </row>
    <row r="153" ht="15.75" customHeight="1">
      <c r="A153" s="2">
        <v>4.0</v>
      </c>
      <c r="B153" s="2" t="s">
        <v>527</v>
      </c>
      <c r="C153" s="2" t="s">
        <v>528</v>
      </c>
      <c r="D153" s="2" t="s">
        <v>25</v>
      </c>
      <c r="E153" s="2" t="s">
        <v>14</v>
      </c>
      <c r="F153" s="2" t="s">
        <v>15</v>
      </c>
      <c r="G153" s="2" t="s">
        <v>529</v>
      </c>
      <c r="H153" s="2" t="s">
        <v>77</v>
      </c>
      <c r="I153" s="2" t="str">
        <f>IFERROR(__xludf.DUMMYFUNCTION("GOOGLETRANSLATE(C153,""fr"",""en"")"),"Good explanation on the phone pleasant person who took the time.
We ensured our two vehicles all of follows we will see for the housing contract thereafter.")</f>
        <v>Good explanation on the phone pleasant person who took the time.
We ensured our two vehicles all of follows we will see for the housing contract thereafter.</v>
      </c>
    </row>
    <row r="154" ht="15.75" customHeight="1">
      <c r="A154" s="2">
        <v>5.0</v>
      </c>
      <c r="B154" s="2" t="s">
        <v>530</v>
      </c>
      <c r="C154" s="2" t="s">
        <v>531</v>
      </c>
      <c r="D154" s="2" t="s">
        <v>25</v>
      </c>
      <c r="E154" s="2" t="s">
        <v>14</v>
      </c>
      <c r="F154" s="2" t="s">
        <v>15</v>
      </c>
      <c r="G154" s="2" t="s">
        <v>532</v>
      </c>
      <c r="H154" s="2" t="s">
        <v>120</v>
      </c>
      <c r="I154" s="2" t="str">
        <f>IFERROR(__xludf.DUMMYFUNCTION("GOOGLETRANSLATE(C154,""fr"",""en"")"),"I am satisfied with the very affordable prices for a person who has been driving for over 10 years without history. I recommend the olive assurance for drivers like me who do not have any anteced someone and who want to have suitable insurance without bre"&amp;"aking the bank")</f>
        <v>I am satisfied with the very affordable prices for a person who has been driving for over 10 years without history. I recommend the olive assurance for drivers like me who do not have any anteced someone and who want to have suitable insurance without breaking the bank</v>
      </c>
    </row>
    <row r="155" ht="15.75" customHeight="1">
      <c r="A155" s="2">
        <v>5.0</v>
      </c>
      <c r="B155" s="2" t="s">
        <v>533</v>
      </c>
      <c r="C155" s="2" t="s">
        <v>534</v>
      </c>
      <c r="D155" s="2" t="s">
        <v>25</v>
      </c>
      <c r="E155" s="2" t="s">
        <v>14</v>
      </c>
      <c r="F155" s="2" t="s">
        <v>15</v>
      </c>
      <c r="G155" s="2" t="s">
        <v>535</v>
      </c>
      <c r="H155" s="2" t="s">
        <v>120</v>
      </c>
      <c r="I155" s="2" t="str">
        <f>IFERROR(__xludf.DUMMYFUNCTION("GOOGLETRANSLATE(C155,""fr"",""en"")"),"I am satisfied with the service. The prices are correct. To recommend without hesitation.
It is very simple and very practical with electronic signature.")</f>
        <v>I am satisfied with the service. The prices are correct. To recommend without hesitation.
It is very simple and very practical with electronic signature.</v>
      </c>
    </row>
    <row r="156" ht="15.75" customHeight="1">
      <c r="A156" s="2">
        <v>1.0</v>
      </c>
      <c r="B156" s="2" t="s">
        <v>536</v>
      </c>
      <c r="C156" s="2" t="s">
        <v>537</v>
      </c>
      <c r="D156" s="2" t="s">
        <v>123</v>
      </c>
      <c r="E156" s="2" t="s">
        <v>45</v>
      </c>
      <c r="F156" s="2" t="s">
        <v>15</v>
      </c>
      <c r="G156" s="2" t="s">
        <v>538</v>
      </c>
      <c r="H156" s="2" t="s">
        <v>539</v>
      </c>
      <c r="I156" s="2" t="str">
        <f>IFERROR(__xludf.DUMMYFUNCTION("GOOGLETRANSLATE(C156,""fr"",""en"")"),"Health contract number A12624814 Since October 9, 2018, the CPAM from Vesoul to Retransmis at Rédéica AG2R a health count in the amount of 55.50 euros to date, after four emails and a registered letter received on 26 11 2018 all sent Through me, I have no"&amp;" response from this insurance which does not deserve this name for this fact, I always expect the reimbursement of this care covered by this company.
I strongly advise against this organization which does not even bother to respond to my requests")</f>
        <v>Health contract number A12624814 Since October 9, 2018, the CPAM from Vesoul to Retransmis at Rédéica AG2R a health count in the amount of 55.50 euros to date, after four emails and a registered letter received on 26 11 2018 all sent Through me, I have no response from this insurance which does not deserve this name for this fact, I always expect the reimbursement of this care covered by this company.
I strongly advise against this organization which does not even bother to respond to my requests</v>
      </c>
    </row>
    <row r="157" ht="15.75" customHeight="1">
      <c r="A157" s="2">
        <v>1.0</v>
      </c>
      <c r="B157" s="2" t="s">
        <v>540</v>
      </c>
      <c r="C157" s="2" t="s">
        <v>541</v>
      </c>
      <c r="D157" s="2" t="s">
        <v>241</v>
      </c>
      <c r="E157" s="2" t="s">
        <v>45</v>
      </c>
      <c r="F157" s="2" t="s">
        <v>15</v>
      </c>
      <c r="G157" s="2" t="s">
        <v>542</v>
      </c>
      <c r="H157" s="2" t="s">
        <v>543</v>
      </c>
      <c r="I157" s="2" t="str">
        <f>IFERROR(__xludf.DUMMYFUNCTION("GOOGLETRANSLATE(C157,""fr"",""en"")"),"Hello, I have been a member of the MGP for 20 years and in activity in activity. I am not satisfied with the MGP and the lack of clarity concerning withdrawals and reimbursements. I have made several complaints on the web, the question is marked as treate"&amp;"d but I have no answer. Advisors by phone know nothing. An advisor asked me to recall on a later date in order to have another advised. I made a request for reimbursement of TV costs over 4 days of hospitalization (maternity of my wife) not resolved (it i"&amp;"s noted resolved on the site but I have no refund and no answer despite my requests). I terminated my traditional range on January 31, 2019 and I had a direct debit of 67.75 euros on February 5, 2019 and I am still not reimbursed. Department of 219.38 eur"&amp;"os on March 5, 2019 without explanation. I made a telephone request on 03/13/2019 by phone to an advisor concerning these samples. The advisor could not answer me. I still do not have an answer and the question on my release account ""during treatment"". "&amp;"I spend my time making complaints. I think I can terminate as soon as possible.")</f>
        <v>Hello, I have been a member of the MGP for 20 years and in activity in activity. I am not satisfied with the MGP and the lack of clarity concerning withdrawals and reimbursements. I have made several complaints on the web, the question is marked as treated but I have no answer. Advisors by phone know nothing. An advisor asked me to recall on a later date in order to have another advised. I made a request for reimbursement of TV costs over 4 days of hospitalization (maternity of my wife) not resolved (it is noted resolved on the site but I have no refund and no answer despite my requests). I terminated my traditional range on January 31, 2019 and I had a direct debit of 67.75 euros on February 5, 2019 and I am still not reimbursed. Department of 219.38 euros on March 5, 2019 without explanation. I made a telephone request on 03/13/2019 by phone to an advisor concerning these samples. The advisor could not answer me. I still do not have an answer and the question on my release account "during treatment". I spend my time making complaints. I think I can terminate as soon as possible.</v>
      </c>
    </row>
    <row r="158" ht="15.75" customHeight="1">
      <c r="A158" s="2">
        <v>5.0</v>
      </c>
      <c r="B158" s="2" t="s">
        <v>544</v>
      </c>
      <c r="C158" s="2" t="s">
        <v>545</v>
      </c>
      <c r="D158" s="2" t="s">
        <v>25</v>
      </c>
      <c r="E158" s="2" t="s">
        <v>14</v>
      </c>
      <c r="F158" s="2" t="s">
        <v>15</v>
      </c>
      <c r="G158" s="2" t="s">
        <v>546</v>
      </c>
      <c r="H158" s="2" t="s">
        <v>17</v>
      </c>
      <c r="I158" s="2" t="str">
        <f>IFERROR(__xludf.DUMMYFUNCTION("GOOGLETRANSLATE(C158,""fr"",""en"")"),"I am satisfied with all the services provided.
delighted with the person who is busy with me very friendly and smiling on the phone
fast and simple")</f>
        <v>I am satisfied with all the services provided.
delighted with the person who is busy with me very friendly and smiling on the phone
fast and simple</v>
      </c>
    </row>
    <row r="159" ht="15.75" customHeight="1">
      <c r="A159" s="2">
        <v>1.0</v>
      </c>
      <c r="B159" s="2" t="s">
        <v>547</v>
      </c>
      <c r="C159" s="2" t="s">
        <v>548</v>
      </c>
      <c r="D159" s="2" t="s">
        <v>87</v>
      </c>
      <c r="E159" s="2" t="s">
        <v>14</v>
      </c>
      <c r="F159" s="2" t="s">
        <v>15</v>
      </c>
      <c r="G159" s="2" t="s">
        <v>549</v>
      </c>
      <c r="H159" s="2" t="s">
        <v>550</v>
      </c>
      <c r="I159" s="2" t="str">
        <f>IFERROR(__xludf.DUMMYFUNCTION("GOOGLETRANSLATE(C159,""fr"",""en"")"),"Flee insurance impossible to reach a responsible person I sent my gray card too late I was resilled since not possible to have a new contract on the other hand I cannot receive the reimbursement of the annual subscription that I had paid in fact he his dr"&amp;"aw for it is my advice")</f>
        <v>Flee insurance impossible to reach a responsible person I sent my gray card too late I was resilled since not possible to have a new contract on the other hand I cannot receive the reimbursement of the annual subscription that I had paid in fact he his draw for it is my advice</v>
      </c>
    </row>
    <row r="160" ht="15.75" customHeight="1">
      <c r="A160" s="2">
        <v>3.0</v>
      </c>
      <c r="B160" s="2" t="s">
        <v>551</v>
      </c>
      <c r="C160" s="2" t="s">
        <v>552</v>
      </c>
      <c r="D160" s="2" t="s">
        <v>30</v>
      </c>
      <c r="E160" s="2" t="s">
        <v>31</v>
      </c>
      <c r="F160" s="2" t="s">
        <v>15</v>
      </c>
      <c r="G160" s="2" t="s">
        <v>553</v>
      </c>
      <c r="H160" s="2" t="s">
        <v>101</v>
      </c>
      <c r="I160" s="2" t="str">
        <f>IFERROR(__xludf.DUMMYFUNCTION("GOOGLETRANSLATE(C160,""fr"",""en"")"),"The prices are a little high but the website is very well done. The obligation to put an opinion with a minimum of characters is restrictive.")</f>
        <v>The prices are a little high but the website is very well done. The obligation to put an opinion with a minimum of characters is restrictive.</v>
      </c>
    </row>
    <row r="161" ht="15.75" customHeight="1">
      <c r="A161" s="2">
        <v>2.0</v>
      </c>
      <c r="B161" s="2" t="s">
        <v>554</v>
      </c>
      <c r="C161" s="2" t="s">
        <v>555</v>
      </c>
      <c r="D161" s="2" t="s">
        <v>39</v>
      </c>
      <c r="E161" s="2" t="s">
        <v>14</v>
      </c>
      <c r="F161" s="2" t="s">
        <v>15</v>
      </c>
      <c r="G161" s="2" t="s">
        <v>556</v>
      </c>
      <c r="H161" s="2" t="s">
        <v>109</v>
      </c>
      <c r="I161" s="2" t="str">
        <f>IFERROR(__xludf.DUMMYFUNCTION("GOOGLETRANSLATE(C161,""fr"",""en"")"),"I have a disaster in progress since June 2020, I sent more than 3 emails, still not treated ...
My monthly payment has been increased, but the management of my repair never taken into account.
")</f>
        <v>I have a disaster in progress since June 2020, I sent more than 3 emails, still not treated ...
My monthly payment has been increased, but the management of my repair never taken into account.
</v>
      </c>
    </row>
    <row r="162" ht="15.75" customHeight="1">
      <c r="A162" s="2">
        <v>2.0</v>
      </c>
      <c r="B162" s="2" t="s">
        <v>557</v>
      </c>
      <c r="C162" s="2" t="s">
        <v>558</v>
      </c>
      <c r="D162" s="2" t="s">
        <v>39</v>
      </c>
      <c r="E162" s="2" t="s">
        <v>14</v>
      </c>
      <c r="F162" s="2" t="s">
        <v>15</v>
      </c>
      <c r="G162" s="2" t="s">
        <v>559</v>
      </c>
      <c r="H162" s="2" t="s">
        <v>17</v>
      </c>
      <c r="I162" s="2" t="str">
        <f>IFERROR(__xludf.DUMMYFUNCTION("GOOGLETRANSLATE(C162,""fr"",""en"")"),"The price that is proposed is: 700 but in the end I pay 900 !!!!! And I don't understand what to pay for the year is different to pay monthly")</f>
        <v>The price that is proposed is: 700 but in the end I pay 900 !!!!! And I don't understand what to pay for the year is different to pay monthly</v>
      </c>
    </row>
    <row r="163" ht="15.75" customHeight="1">
      <c r="A163" s="2">
        <v>1.0</v>
      </c>
      <c r="B163" s="2" t="s">
        <v>560</v>
      </c>
      <c r="C163" s="2" t="s">
        <v>561</v>
      </c>
      <c r="D163" s="2" t="s">
        <v>39</v>
      </c>
      <c r="E163" s="2" t="s">
        <v>14</v>
      </c>
      <c r="F163" s="2" t="s">
        <v>15</v>
      </c>
      <c r="G163" s="2" t="s">
        <v>562</v>
      </c>
      <c r="H163" s="2" t="s">
        <v>539</v>
      </c>
      <c r="I163" s="2" t="str">
        <f>IFERROR(__xludf.DUMMYFUNCTION("GOOGLETRANSLATE(C163,""fr"",""en"")"),"To avoid it is the worst assurance that I had for a small hung no responsible its train fortunately that I did not have a responsible accident")</f>
        <v>To avoid it is the worst assurance that I had for a small hung no responsible its train fortunately that I did not have a responsible accident</v>
      </c>
    </row>
    <row r="164" ht="15.75" customHeight="1">
      <c r="A164" s="2">
        <v>1.0</v>
      </c>
      <c r="B164" s="2" t="s">
        <v>563</v>
      </c>
      <c r="C164" s="2" t="s">
        <v>564</v>
      </c>
      <c r="D164" s="2" t="s">
        <v>39</v>
      </c>
      <c r="E164" s="2" t="s">
        <v>14</v>
      </c>
      <c r="F164" s="2" t="s">
        <v>15</v>
      </c>
      <c r="G164" s="2" t="s">
        <v>149</v>
      </c>
      <c r="H164" s="2" t="s">
        <v>84</v>
      </c>
      <c r="I164" s="2" t="str">
        <f>IFERROR(__xludf.DUMMYFUNCTION("GOOGLETRANSLATE(C164,""fr"",""en"")"),"A shame this insurance I must reimburse a deductible when I am not in wrong however I am assured of all risks. All his for a person who created an accident on my vehicle who park in front of my home and in the middle of the night and who took The leak, I "&amp;"intercepted the vehicle 200 meter more more a driver deposit complaint etc and the one announces me gentlemen 300th of franchise +10% of the damage and in the max SA cannot exceed 850th but you laugh a disaster This insurance")</f>
        <v>A shame this insurance I must reimburse a deductible when I am not in wrong however I am assured of all risks. All his for a person who created an accident on my vehicle who park in front of my home and in the middle of the night and who took The leak, I intercepted the vehicle 200 meter more more a driver deposit complaint etc and the one announces me gentlemen 300th of franchise +10% of the damage and in the max SA cannot exceed 850th but you laugh a disaster This insurance</v>
      </c>
    </row>
    <row r="165" ht="15.75" customHeight="1">
      <c r="A165" s="2">
        <v>1.0</v>
      </c>
      <c r="B165" s="2" t="s">
        <v>565</v>
      </c>
      <c r="C165" s="2" t="s">
        <v>566</v>
      </c>
      <c r="D165" s="2" t="s">
        <v>259</v>
      </c>
      <c r="E165" s="2" t="s">
        <v>50</v>
      </c>
      <c r="F165" s="2" t="s">
        <v>15</v>
      </c>
      <c r="G165" s="2" t="s">
        <v>567</v>
      </c>
      <c r="H165" s="2" t="s">
        <v>109</v>
      </c>
      <c r="I165" s="2" t="str">
        <f>IFERROR(__xludf.DUMMYFUNCTION("GOOGLETRANSLATE(C165,""fr"",""en"")"),"Hello,
I just called today to help my son who did not have the material time to call you, but not especially not ... especially more right to help a family member ... worse than 'A bank ... I have to let him manage without having the right to intervene w"&amp;"hen I had all the elements in hand to prove that I was his mother ... So live the sociability, that I see that you Do not have and that's the reason why it really doesn't make you want to stay in your Macif insurance ...
Cordially")</f>
        <v>Hello,
I just called today to help my son who did not have the material time to call you, but not especially not ... especially more right to help a family member ... worse than 'A bank ... I have to let him manage without having the right to intervene when I had all the elements in hand to prove that I was his mother ... So live the sociability, that I see that you Do not have and that's the reason why it really doesn't make you want to stay in your Macif insurance ...
Cordially</v>
      </c>
    </row>
    <row r="166" ht="15.75" customHeight="1">
      <c r="A166" s="2">
        <v>3.0</v>
      </c>
      <c r="B166" s="2" t="s">
        <v>568</v>
      </c>
      <c r="C166" s="2" t="s">
        <v>569</v>
      </c>
      <c r="D166" s="2" t="s">
        <v>25</v>
      </c>
      <c r="E166" s="2" t="s">
        <v>14</v>
      </c>
      <c r="F166" s="2" t="s">
        <v>15</v>
      </c>
      <c r="G166" s="2" t="s">
        <v>32</v>
      </c>
      <c r="H166" s="2" t="s">
        <v>27</v>
      </c>
      <c r="I166" s="2" t="str">
        <f>IFERROR(__xludf.DUMMYFUNCTION("GOOGLETRANSLATE(C166,""fr"",""en"")"),"I am satisfied with the livier insurance. I would recommend it to my friends and loved ones. The very friendly and professionalism advisor.")</f>
        <v>I am satisfied with the livier insurance. I would recommend it to my friends and loved ones. The very friendly and professionalism advisor.</v>
      </c>
    </row>
    <row r="167" ht="15.75" customHeight="1">
      <c r="A167" s="2">
        <v>5.0</v>
      </c>
      <c r="B167" s="2" t="s">
        <v>570</v>
      </c>
      <c r="C167" s="2" t="s">
        <v>571</v>
      </c>
      <c r="D167" s="2" t="s">
        <v>30</v>
      </c>
      <c r="E167" s="2" t="s">
        <v>31</v>
      </c>
      <c r="F167" s="2" t="s">
        <v>15</v>
      </c>
      <c r="G167" s="2" t="s">
        <v>144</v>
      </c>
      <c r="H167" s="2" t="s">
        <v>113</v>
      </c>
      <c r="I167" s="2" t="str">
        <f>IFERROR(__xludf.DUMMYFUNCTION("GOOGLETRANSLATE(C167,""fr"",""en"")"),"Easy Economic and very fast
I am entirely sastisfit of the site and its very intuitive approach
I can ride quiet now
I advise April Moto without reservation")</f>
        <v>Easy Economic and very fast
I am entirely sastisfit of the site and its very intuitive approach
I can ride quiet now
I advise April Moto without reservation</v>
      </c>
    </row>
    <row r="168" ht="15.75" customHeight="1">
      <c r="A168" s="2">
        <v>5.0</v>
      </c>
      <c r="B168" s="2" t="s">
        <v>572</v>
      </c>
      <c r="C168" s="2" t="s">
        <v>573</v>
      </c>
      <c r="D168" s="2" t="s">
        <v>25</v>
      </c>
      <c r="E168" s="2" t="s">
        <v>14</v>
      </c>
      <c r="F168" s="2" t="s">
        <v>15</v>
      </c>
      <c r="G168" s="2" t="s">
        <v>76</v>
      </c>
      <c r="H168" s="2" t="s">
        <v>77</v>
      </c>
      <c r="I168" s="2" t="str">
        <f>IFERROR(__xludf.DUMMYFUNCTION("GOOGLETRANSLATE(C168,""fr"",""en"")"),"I am satisfied with the price, it suits me, I am very happy. Thank you very much for assuring me. I am very happy with your service")</f>
        <v>I am satisfied with the price, it suits me, I am very happy. Thank you very much for assuring me. I am very happy with your service</v>
      </c>
    </row>
    <row r="169" ht="15.75" customHeight="1">
      <c r="A169" s="2">
        <v>2.0</v>
      </c>
      <c r="B169" s="2" t="s">
        <v>574</v>
      </c>
      <c r="C169" s="2" t="s">
        <v>575</v>
      </c>
      <c r="D169" s="2" t="s">
        <v>39</v>
      </c>
      <c r="E169" s="2" t="s">
        <v>14</v>
      </c>
      <c r="F169" s="2" t="s">
        <v>15</v>
      </c>
      <c r="G169" s="2" t="s">
        <v>576</v>
      </c>
      <c r="H169" s="2" t="s">
        <v>84</v>
      </c>
      <c r="I169" s="2" t="str">
        <f>IFERROR(__xludf.DUMMYFUNCTION("GOOGLETRANSLATE(C169,""fr"",""en"")"),"Very well speed fluidity easy to do very happy online service. . Small pepper problem by card but problem adjust very quickly thank you")</f>
        <v>Very well speed fluidity easy to do very happy online service. . Small pepper problem by card but problem adjust very quickly thank you</v>
      </c>
    </row>
    <row r="170" ht="15.75" customHeight="1">
      <c r="A170" s="2">
        <v>3.0</v>
      </c>
      <c r="B170" s="2" t="s">
        <v>577</v>
      </c>
      <c r="C170" s="2" t="s">
        <v>578</v>
      </c>
      <c r="D170" s="2" t="s">
        <v>39</v>
      </c>
      <c r="E170" s="2" t="s">
        <v>14</v>
      </c>
      <c r="F170" s="2" t="s">
        <v>15</v>
      </c>
      <c r="G170" s="2" t="s">
        <v>278</v>
      </c>
      <c r="H170" s="2" t="s">
        <v>84</v>
      </c>
      <c r="I170" s="2" t="str">
        <f>IFERROR(__xludf.DUMMYFUNCTION("GOOGLETRANSLATE(C170,""fr"",""en"")"),"I am happy to insure with you thank you for your service I hope soon I will reduce our ticket insurance I find your company on the internet")</f>
        <v>I am happy to insure with you thank you for your service I hope soon I will reduce our ticket insurance I find your company on the internet</v>
      </c>
    </row>
    <row r="171" ht="15.75" customHeight="1">
      <c r="A171" s="2">
        <v>5.0</v>
      </c>
      <c r="B171" s="2" t="s">
        <v>579</v>
      </c>
      <c r="C171" s="2" t="s">
        <v>580</v>
      </c>
      <c r="D171" s="2" t="s">
        <v>39</v>
      </c>
      <c r="E171" s="2" t="s">
        <v>14</v>
      </c>
      <c r="F171" s="2" t="s">
        <v>15</v>
      </c>
      <c r="G171" s="2" t="s">
        <v>80</v>
      </c>
      <c r="H171" s="2" t="s">
        <v>17</v>
      </c>
      <c r="I171" s="2" t="str">
        <f>IFERROR(__xludf.DUMMYFUNCTION("GOOGLETRANSLATE(C171,""fr"",""en"")"),"Perfect and clear explanations Correct price I recommend it to the future insurer thank you very much you are the only ones who agree to make sure you are top")</f>
        <v>Perfect and clear explanations Correct price I recommend it to the future insurer thank you very much you are the only ones who agree to make sure you are top</v>
      </c>
    </row>
    <row r="172" ht="15.75" customHeight="1">
      <c r="A172" s="2">
        <v>1.0</v>
      </c>
      <c r="B172" s="2" t="s">
        <v>581</v>
      </c>
      <c r="C172" s="2" t="s">
        <v>582</v>
      </c>
      <c r="D172" s="2" t="s">
        <v>25</v>
      </c>
      <c r="E172" s="2" t="s">
        <v>14</v>
      </c>
      <c r="F172" s="2" t="s">
        <v>15</v>
      </c>
      <c r="G172" s="2" t="s">
        <v>583</v>
      </c>
      <c r="H172" s="2" t="s">
        <v>476</v>
      </c>
      <c r="I172" s="2" t="str">
        <f>IFERROR(__xludf.DUMMYFUNCTION("GOOGLETRANSLATE(C172,""fr"",""en"")"),"We were provided for 1 year and a half with this insurer and we note that certainly, the price of insurance is attractive (and again) but these at the expense of the service! We had a disaster, we hit a wild animal. It took a week for a week to communicat"&amp;"e the garage that was going to take care of our car (fortunately that nothing was fleeing on the car!). Following this claim we paid a deductible and a year and a half later, they took 20 euros from our monthly payment for regularization (whose explanatio"&amp;"ns are ... incomprehensible, when you manage to obtain them after 20 to 30 min waiting on the phone). I think this is one of the worst insurance I did.")</f>
        <v>We were provided for 1 year and a half with this insurer and we note that certainly, the price of insurance is attractive (and again) but these at the expense of the service! We had a disaster, we hit a wild animal. It took a week for a week to communicate the garage that was going to take care of our car (fortunately that nothing was fleeing on the car!). Following this claim we paid a deductible and a year and a half later, they took 20 euros from our monthly payment for regularization (whose explanations are ... incomprehensible, when you manage to obtain them after 20 to 30 min waiting on the phone). I think this is one of the worst insurance I did.</v>
      </c>
    </row>
    <row r="173" ht="15.75" customHeight="1">
      <c r="A173" s="2">
        <v>4.0</v>
      </c>
      <c r="B173" s="2" t="s">
        <v>584</v>
      </c>
      <c r="C173" s="2" t="s">
        <v>585</v>
      </c>
      <c r="D173" s="2" t="s">
        <v>241</v>
      </c>
      <c r="E173" s="2" t="s">
        <v>45</v>
      </c>
      <c r="F173" s="2" t="s">
        <v>15</v>
      </c>
      <c r="G173" s="2" t="s">
        <v>109</v>
      </c>
      <c r="H173" s="2" t="s">
        <v>109</v>
      </c>
      <c r="I173" s="2" t="str">
        <f>IFERROR(__xludf.DUMMYFUNCTION("GOOGLETRANSLATE(C173,""fr"",""en"")"),"Hello Madam, I am very satisfied with your very well explained answer with kindness. It would be good for a MGP Ré office to open in Carcassonne.
Receive, madam, my distinguished greetings.")</f>
        <v>Hello Madam, I am very satisfied with your very well explained answer with kindness. It would be good for a MGP Ré office to open in Carcassonne.
Receive, madam, my distinguished greetings.</v>
      </c>
    </row>
    <row r="174" ht="15.75" customHeight="1">
      <c r="A174" s="2">
        <v>4.0</v>
      </c>
      <c r="B174" s="2" t="s">
        <v>586</v>
      </c>
      <c r="C174" s="2" t="s">
        <v>587</v>
      </c>
      <c r="D174" s="2" t="s">
        <v>25</v>
      </c>
      <c r="E174" s="2" t="s">
        <v>14</v>
      </c>
      <c r="F174" s="2" t="s">
        <v>15</v>
      </c>
      <c r="G174" s="2" t="s">
        <v>16</v>
      </c>
      <c r="H174" s="2" t="s">
        <v>17</v>
      </c>
      <c r="I174" s="2" t="str">
        <f>IFERROR(__xludf.DUMMYFUNCTION("GOOGLETRANSLATE(C174,""fr"",""en"")"),"I am satisfied with the service. The prices are competitive and the battery
Telephone reception is effective and fast. I have a lot of trouble doing transactions via a computer.")</f>
        <v>I am satisfied with the service. The prices are competitive and the battery
Telephone reception is effective and fast. I have a lot of trouble doing transactions via a computer.</v>
      </c>
    </row>
    <row r="175" ht="15.75" customHeight="1">
      <c r="A175" s="2">
        <v>5.0</v>
      </c>
      <c r="B175" s="2" t="s">
        <v>588</v>
      </c>
      <c r="C175" s="2" t="s">
        <v>589</v>
      </c>
      <c r="D175" s="2" t="s">
        <v>30</v>
      </c>
      <c r="E175" s="2" t="s">
        <v>31</v>
      </c>
      <c r="F175" s="2" t="s">
        <v>15</v>
      </c>
      <c r="G175" s="2" t="s">
        <v>590</v>
      </c>
      <c r="H175" s="2" t="s">
        <v>77</v>
      </c>
      <c r="I175" s="2" t="str">
        <f>IFERROR(__xludf.DUMMYFUNCTION("GOOGLETRANSLATE(C175,""fr"",""en"")"),"I am satisfied with the service offer I have so much struggling to find competent insurance here it's simple quick and inexpensive I really recommend this online service.")</f>
        <v>I am satisfied with the service offer I have so much struggling to find competent insurance here it's simple quick and inexpensive I really recommend this online service.</v>
      </c>
    </row>
    <row r="176" ht="15.75" customHeight="1">
      <c r="A176" s="2">
        <v>3.0</v>
      </c>
      <c r="B176" s="2" t="s">
        <v>591</v>
      </c>
      <c r="C176" s="2" t="s">
        <v>592</v>
      </c>
      <c r="D176" s="2" t="s">
        <v>107</v>
      </c>
      <c r="E176" s="2" t="s">
        <v>45</v>
      </c>
      <c r="F176" s="2" t="s">
        <v>15</v>
      </c>
      <c r="G176" s="2" t="s">
        <v>593</v>
      </c>
      <c r="H176" s="2" t="s">
        <v>594</v>
      </c>
      <c r="I176" s="2" t="str">
        <f>IFERROR(__xludf.DUMMYFUNCTION("GOOGLETRANSLATE(C176,""fr"",""en"")"),"I signed a contract with my partner on the 3rd of this month, our birth dates were interverted.
It is therefore impossible to use cards received.
Following telephone call they asked me to send them in email that they gave me our two social security cert"&amp;"ificates. What I have fat ... Still no news ...!")</f>
        <v>I signed a contract with my partner on the 3rd of this month, our birth dates were interverted.
It is therefore impossible to use cards received.
Following telephone call they asked me to send them in email that they gave me our two social security certificates. What I have fat ... Still no news ...!</v>
      </c>
    </row>
    <row r="177" ht="15.75" customHeight="1">
      <c r="A177" s="2">
        <v>4.0</v>
      </c>
      <c r="B177" s="2" t="s">
        <v>595</v>
      </c>
      <c r="C177" s="2" t="s">
        <v>596</v>
      </c>
      <c r="D177" s="2" t="s">
        <v>25</v>
      </c>
      <c r="E177" s="2" t="s">
        <v>14</v>
      </c>
      <c r="F177" s="2" t="s">
        <v>15</v>
      </c>
      <c r="G177" s="2" t="s">
        <v>597</v>
      </c>
      <c r="H177" s="2" t="s">
        <v>120</v>
      </c>
      <c r="I177" s="2" t="str">
        <f>IFERROR(__xludf.DUMMYFUNCTION("GOOGLETRANSLATE(C177,""fr"",""en"")"),"I am satisfied with prices although they are high for young drivers. On the other hand, the contract is quick to subscribe and is complete.")</f>
        <v>I am satisfied with prices although they are high for young drivers. On the other hand, the contract is quick to subscribe and is complete.</v>
      </c>
    </row>
    <row r="178" ht="15.75" customHeight="1">
      <c r="A178" s="2">
        <v>4.0</v>
      </c>
      <c r="B178" s="2" t="s">
        <v>598</v>
      </c>
      <c r="C178" s="2" t="s">
        <v>599</v>
      </c>
      <c r="D178" s="2" t="s">
        <v>25</v>
      </c>
      <c r="E178" s="2" t="s">
        <v>14</v>
      </c>
      <c r="F178" s="2" t="s">
        <v>15</v>
      </c>
      <c r="G178" s="2" t="s">
        <v>600</v>
      </c>
      <c r="H178" s="2" t="s">
        <v>198</v>
      </c>
      <c r="I178" s="2" t="str">
        <f>IFERROR(__xludf.DUMMYFUNCTION("GOOGLETRANSLATE(C178,""fr"",""en"")"),"I have just taken out this insurance. Advisers can easily be reached by phone. The service by email is practical to record your contact details or make a change of vehicle. The green card is sent by email while waiting for the original by mail which is ve"&amp;"ry practical")</f>
        <v>I have just taken out this insurance. Advisers can easily be reached by phone. The service by email is practical to record your contact details or make a change of vehicle. The green card is sent by email while waiting for the original by mail which is very practical</v>
      </c>
    </row>
    <row r="179" ht="15.75" customHeight="1">
      <c r="A179" s="2">
        <v>3.0</v>
      </c>
      <c r="B179" s="2" t="s">
        <v>601</v>
      </c>
      <c r="C179" s="2" t="s">
        <v>602</v>
      </c>
      <c r="D179" s="2" t="s">
        <v>30</v>
      </c>
      <c r="E179" s="2" t="s">
        <v>31</v>
      </c>
      <c r="F179" s="2" t="s">
        <v>15</v>
      </c>
      <c r="G179" s="2" t="s">
        <v>603</v>
      </c>
      <c r="H179" s="2" t="s">
        <v>185</v>
      </c>
      <c r="I179" s="2" t="str">
        <f>IFERROR(__xludf.DUMMYFUNCTION("GOOGLETRANSLATE(C179,""fr"",""en"")"),"Hello April Moto They are incompetent following a disaster (0% responsible, the expert he passed he validated the work still nothing to report on the part of April Moto who did not wish to take care of the only thing that 'I am told each time you have to "&amp;"wait messieur! But you will have to wait until when?")</f>
        <v>Hello April Moto They are incompetent following a disaster (0% responsible, the expert he passed he validated the work still nothing to report on the part of April Moto who did not wish to take care of the only thing that 'I am told each time you have to wait messieur! But you will have to wait until when?</v>
      </c>
    </row>
    <row r="180" ht="15.75" customHeight="1">
      <c r="A180" s="2">
        <v>1.0</v>
      </c>
      <c r="B180" s="2" t="s">
        <v>604</v>
      </c>
      <c r="C180" s="2" t="s">
        <v>605</v>
      </c>
      <c r="D180" s="2" t="s">
        <v>87</v>
      </c>
      <c r="E180" s="2" t="s">
        <v>14</v>
      </c>
      <c r="F180" s="2" t="s">
        <v>15</v>
      </c>
      <c r="G180" s="2" t="s">
        <v>606</v>
      </c>
      <c r="H180" s="2" t="s">
        <v>431</v>
      </c>
      <c r="I180" s="2" t="str">
        <f>IFERROR(__xludf.DUMMYFUNCTION("GOOGLETRANSLATE(C180,""fr"",""en"")"),"This is the worst auto insurance. The day September 03, 2019 You received my registered letter to the attachment or I have asked you the termination at the end of the end of September of my Auto insurance contract N 398798 in application of the provisions"&amp;" of article L113 15 1 of the insurance code (or Châtel law), for the following reason:
absence of compulsory shipment of my maturity.
And by asking you also the information statement, as soon as possible, according to article A. 121 1 of the insurance c"&amp;"ode.
In any answer you have me asks today on September 9, 2019, the formal notice for the deadline of September 05, 2019, moreover using my old address.
I ask you to proceed with the immediate cancellation of the formal notice procedure, and to take int"&amp;"o account the request for termination at the end of the end of September, and of sending information as a request by my letter Recommended for joint.
")</f>
        <v>This is the worst auto insurance. The day September 03, 2019 You received my registered letter to the attachment or I have asked you the termination at the end of the end of September of my Auto insurance contract N 398798 in application of the provisions of article L113 15 1 of the insurance code (or Châtel law), for the following reason:
absence of compulsory shipment of my maturity.
And by asking you also the information statement, as soon as possible, according to article A. 121 1 of the insurance code.
In any answer you have me asks today on September 9, 2019, the formal notice for the deadline of September 05, 2019, moreover using my old address.
I ask you to proceed with the immediate cancellation of the formal notice procedure, and to take into account the request for termination at the end of the end of September, and of sending information as a request by my letter Recommended for joint.
</v>
      </c>
    </row>
    <row r="181" ht="15.75" customHeight="1">
      <c r="A181" s="2">
        <v>2.0</v>
      </c>
      <c r="B181" s="2" t="s">
        <v>607</v>
      </c>
      <c r="C181" s="2" t="s">
        <v>608</v>
      </c>
      <c r="D181" s="2" t="s">
        <v>391</v>
      </c>
      <c r="E181" s="2" t="s">
        <v>347</v>
      </c>
      <c r="F181" s="2" t="s">
        <v>15</v>
      </c>
      <c r="G181" s="2" t="s">
        <v>609</v>
      </c>
      <c r="H181" s="2" t="s">
        <v>73</v>
      </c>
      <c r="I181" s="2" t="str">
        <f>IFERROR(__xludf.DUMMYFUNCTION("GOOGLETRANSLATE(C181,""fr"",""en"")"),"hello
I receive this day a letter from the insurer telling me that I exceeded the period of one month to be reimbursed !!
This info being written in very small under the general conditions, not indicated by the salesperson, and not clearly indicated on "&amp;"the site !!
I make a letter to the reimbursement service, hoping to have a positive response. I even waited for the end of confinement voluntarily by assuming that their services worked in slow motion !!")</f>
        <v>hello
I receive this day a letter from the insurer telling me that I exceeded the period of one month to be reimbursed !!
This info being written in very small under the general conditions, not indicated by the salesperson, and not clearly indicated on the site !!
I make a letter to the reimbursement service, hoping to have a positive response. I even waited for the end of confinement voluntarily by assuming that their services worked in slow motion !!</v>
      </c>
    </row>
    <row r="182" ht="15.75" customHeight="1">
      <c r="A182" s="2">
        <v>5.0</v>
      </c>
      <c r="B182" s="2" t="s">
        <v>610</v>
      </c>
      <c r="C182" s="2" t="s">
        <v>611</v>
      </c>
      <c r="D182" s="2" t="s">
        <v>25</v>
      </c>
      <c r="E182" s="2" t="s">
        <v>14</v>
      </c>
      <c r="F182" s="2" t="s">
        <v>15</v>
      </c>
      <c r="G182" s="2" t="s">
        <v>612</v>
      </c>
      <c r="H182" s="2" t="s">
        <v>113</v>
      </c>
      <c r="I182" s="2" t="str">
        <f>IFERROR(__xludf.DUMMYFUNCTION("GOOGLETRANSLATE(C182,""fr"",""en"")"),"I am satisfied to put in your insurance and the reception you had for my file I will advise certain assurance to my friends")</f>
        <v>I am satisfied to put in your insurance and the reception you had for my file I will advise certain assurance to my friends</v>
      </c>
    </row>
    <row r="183" ht="15.75" customHeight="1">
      <c r="A183" s="2">
        <v>1.0</v>
      </c>
      <c r="B183" s="2" t="s">
        <v>613</v>
      </c>
      <c r="C183" s="2" t="s">
        <v>614</v>
      </c>
      <c r="D183" s="2" t="s">
        <v>39</v>
      </c>
      <c r="E183" s="2" t="s">
        <v>14</v>
      </c>
      <c r="F183" s="2" t="s">
        <v>15</v>
      </c>
      <c r="G183" s="2" t="s">
        <v>424</v>
      </c>
      <c r="H183" s="2" t="s">
        <v>424</v>
      </c>
      <c r="I183" s="2" t="str">
        <f>IFERROR(__xludf.DUMMYFUNCTION("GOOGLETRANSLATE(C183,""fr"",""en"")"),"I have been asking for an Auto Insurance Bulletin and after three calls for more than 3 weeks now, even if it goes back to years nothing prevents the insurer from providing the document all the more since everything is done by internet at home and compute"&amp;"rs, deplorable service, not want to advise him at all around me")</f>
        <v>I have been asking for an Auto Insurance Bulletin and after three calls for more than 3 weeks now, even if it goes back to years nothing prevents the insurer from providing the document all the more since everything is done by internet at home and computers, deplorable service, not want to advise him at all around me</v>
      </c>
    </row>
    <row r="184" ht="15.75" customHeight="1">
      <c r="A184" s="2">
        <v>4.0</v>
      </c>
      <c r="B184" s="2" t="s">
        <v>615</v>
      </c>
      <c r="C184" s="2" t="s">
        <v>616</v>
      </c>
      <c r="D184" s="2" t="s">
        <v>25</v>
      </c>
      <c r="E184" s="2" t="s">
        <v>14</v>
      </c>
      <c r="F184" s="2" t="s">
        <v>15</v>
      </c>
      <c r="G184" s="2" t="s">
        <v>617</v>
      </c>
      <c r="H184" s="2" t="s">
        <v>27</v>
      </c>
      <c r="I184" s="2" t="str">
        <f>IFERROR(__xludf.DUMMYFUNCTION("GOOGLETRANSLATE(C184,""fr"",""en"")"),"Perfect Telephonic Service - Very nice
Good price and impeccable customer service. I am very happy with Olivier.
Maintaining I find the price for the house!")</f>
        <v>Perfect Telephonic Service - Very nice
Good price and impeccable customer service. I am very happy with Olivier.
Maintaining I find the price for the house!</v>
      </c>
    </row>
    <row r="185" ht="15.75" customHeight="1">
      <c r="A185" s="2">
        <v>1.0</v>
      </c>
      <c r="B185" s="2" t="s">
        <v>618</v>
      </c>
      <c r="C185" s="2" t="s">
        <v>619</v>
      </c>
      <c r="D185" s="2" t="s">
        <v>259</v>
      </c>
      <c r="E185" s="2" t="s">
        <v>14</v>
      </c>
      <c r="F185" s="2" t="s">
        <v>15</v>
      </c>
      <c r="G185" s="2" t="s">
        <v>620</v>
      </c>
      <c r="H185" s="2" t="s">
        <v>476</v>
      </c>
      <c r="I185" s="2" t="str">
        <f>IFERROR(__xludf.DUMMYFUNCTION("GOOGLETRANSLATE(C185,""fr"",""en"")"),"The M of Macif has nothing to do with Mutuelle.
It is a vulture insurance unable to assist his insured people in the face of an accident in life and which commits experts who have experts only the name, for example external body damage seen ""after disas"&amp;"sembly"" ...")</f>
        <v>The M of Macif has nothing to do with Mutuelle.
It is a vulture insurance unable to assist his insured people in the face of an accident in life and which commits experts who have experts only the name, for example external body damage seen "after disassembly" ...</v>
      </c>
    </row>
    <row r="186" ht="15.75" customHeight="1">
      <c r="A186" s="2">
        <v>5.0</v>
      </c>
      <c r="B186" s="2" t="s">
        <v>621</v>
      </c>
      <c r="C186" s="2" t="s">
        <v>622</v>
      </c>
      <c r="D186" s="2" t="s">
        <v>107</v>
      </c>
      <c r="E186" s="2" t="s">
        <v>45</v>
      </c>
      <c r="F186" s="2" t="s">
        <v>15</v>
      </c>
      <c r="G186" s="2" t="s">
        <v>623</v>
      </c>
      <c r="H186" s="2" t="s">
        <v>624</v>
      </c>
      <c r="I186" s="2" t="str">
        <f>IFERROR(__xludf.DUMMYFUNCTION("GOOGLETRANSLATE(C186,""fr"",""en"")"),"Very good service, and very good customer follow -up ......................................... .....................")</f>
        <v>Very good service, and very good customer follow -up ......................................... .....................</v>
      </c>
    </row>
    <row r="187" ht="15.75" customHeight="1">
      <c r="A187" s="2">
        <v>5.0</v>
      </c>
      <c r="B187" s="2" t="s">
        <v>625</v>
      </c>
      <c r="C187" s="2" t="s">
        <v>626</v>
      </c>
      <c r="D187" s="2" t="s">
        <v>25</v>
      </c>
      <c r="E187" s="2" t="s">
        <v>14</v>
      </c>
      <c r="F187" s="2" t="s">
        <v>15</v>
      </c>
      <c r="G187" s="2" t="s">
        <v>627</v>
      </c>
      <c r="H187" s="2" t="s">
        <v>101</v>
      </c>
      <c r="I187" s="2" t="str">
        <f>IFERROR(__xludf.DUMMYFUNCTION("GOOGLETRANSLATE(C187,""fr"",""en"")"),"Very attentive, the prices its affordable nothing to say frankly, I would advise my loved ones insurance. Very easy and fast in some click we have insurance")</f>
        <v>Very attentive, the prices its affordable nothing to say frankly, I would advise my loved ones insurance. Very easy and fast in some click we have insurance</v>
      </c>
    </row>
    <row r="188" ht="15.75" customHeight="1">
      <c r="A188" s="2">
        <v>1.0</v>
      </c>
      <c r="B188" s="2" t="s">
        <v>628</v>
      </c>
      <c r="C188" s="2" t="s">
        <v>629</v>
      </c>
      <c r="D188" s="2" t="s">
        <v>25</v>
      </c>
      <c r="E188" s="2" t="s">
        <v>14</v>
      </c>
      <c r="F188" s="2" t="s">
        <v>15</v>
      </c>
      <c r="G188" s="2" t="s">
        <v>630</v>
      </c>
      <c r="H188" s="2" t="s">
        <v>309</v>
      </c>
      <c r="I188" s="2" t="str">
        <f>IFERROR(__xludf.DUMMYFUNCTION("GOOGLETRANSLATE(C188,""fr"",""en"")"),"I have been a customer since July 2017 I come to have an accident with a wild boar on March 21, 2018 I call the olive tree He opens the file and I am assured to third party ++ € 1115 in the year taken care of 7 days after 5 days An official calls you and "&amp;"does not tell you about care because we can not attack the wild boar and if you are dedicated to you we must be able to reimburse the costs of your damage on the other hand in tourism there is taken.
 in charge
We provided photos there are witnesses
Th"&amp;"e place there are panels which indicates that the place and dangerous !! Olive Tree
Mr Antoine tells us that it is virtual insurance there is no agency and you are signing online to give you your credit card and pay 2 months advance and not to advise you"&amp;" when you are young to take the tourism level if you Want to be reimbursed for any accident otherwise you get you commercial staff
The services not explain or the day where you have an accident we tell you its yes its no surprise !!
All its to say the o"&amp;"live tree not elsewhere it is better it is an insurer advice not serious at value what of law")</f>
        <v>I have been a customer since July 2017 I come to have an accident with a wild boar on March 21, 2018 I call the olive tree He opens the file and I am assured to third party ++ € 1115 in the year taken care of 7 days after 5 days An official calls you and does not tell you about care because we can not attack the wild boar and if you are dedicated to you we must be able to reimburse the costs of your damage on the other hand in tourism there is taken.
 in charge
We provided photos there are witnesses
The place there are panels which indicates that the place and dangerous !! Olive Tree
Mr Antoine tells us that it is virtual insurance there is no agency and you are signing online to give you your credit card and pay 2 months advance and not to advise you when you are young to take the tourism level if you Want to be reimbursed for any accident otherwise you get you commercial staff
The services not explain or the day where you have an accident we tell you its yes its no surprise !!
All its to say the olive tree not elsewhere it is better it is an insurer advice not serious at value what of law</v>
      </c>
    </row>
    <row r="189" ht="15.75" customHeight="1">
      <c r="A189" s="2">
        <v>2.0</v>
      </c>
      <c r="B189" s="2" t="s">
        <v>631</v>
      </c>
      <c r="C189" s="2" t="s">
        <v>632</v>
      </c>
      <c r="D189" s="2" t="s">
        <v>55</v>
      </c>
      <c r="E189" s="2" t="s">
        <v>14</v>
      </c>
      <c r="F189" s="2" t="s">
        <v>15</v>
      </c>
      <c r="G189" s="2" t="s">
        <v>633</v>
      </c>
      <c r="H189" s="2" t="s">
        <v>198</v>
      </c>
      <c r="I189" s="2" t="str">
        <f>IFERROR(__xludf.DUMMYFUNCTION("GOOGLETRANSLATE(C189,""fr"",""en"")"),"Never had a sinister but I don't prefer to have it because I also insurance home and I had a disaster on the house and it was a nightmare, I will terminate everything and go to the maaf because I did Quote and prices are the same with the difference that "&amp;"there is a physical interlocutor. At Eurofil, everything from a distance from people on the phone who have nothing to do and just try to sell you things but when you need them the attitude changes, it feels like a criminal, he Give fanciful explanations j"&amp;"ust to be sure not to give you anything, they are just good to collect your contributions and that's it, if you need nothing to call them, I strongly advise against this assurance")</f>
        <v>Never had a sinister but I don't prefer to have it because I also insurance home and I had a disaster on the house and it was a nightmare, I will terminate everything and go to the maaf because I did Quote and prices are the same with the difference that there is a physical interlocutor. At Eurofil, everything from a distance from people on the phone who have nothing to do and just try to sell you things but when you need them the attitude changes, it feels like a criminal, he Give fanciful explanations just to be sure not to give you anything, they are just good to collect your contributions and that's it, if you need nothing to call them, I strongly advise against this assurance</v>
      </c>
    </row>
    <row r="190" ht="15.75" customHeight="1">
      <c r="A190" s="2">
        <v>1.0</v>
      </c>
      <c r="B190" s="2" t="s">
        <v>634</v>
      </c>
      <c r="C190" s="2" t="s">
        <v>635</v>
      </c>
      <c r="D190" s="2" t="s">
        <v>339</v>
      </c>
      <c r="E190" s="2" t="s">
        <v>45</v>
      </c>
      <c r="F190" s="2" t="s">
        <v>15</v>
      </c>
      <c r="G190" s="2" t="s">
        <v>636</v>
      </c>
      <c r="H190" s="2" t="s">
        <v>637</v>
      </c>
      <c r="I190" s="2" t="str">
        <f>IFERROR(__xludf.DUMMYFUNCTION("GOOGLETRANSLATE(C190,""fr"",""en"")"),"10 minutes of waiting at each call. Sending my file in early January and it was lost. I called several times and never any reminder ...")</f>
        <v>10 minutes of waiting at each call. Sending my file in early January and it was lost. I called several times and never any reminder ...</v>
      </c>
    </row>
    <row r="191" ht="15.75" customHeight="1">
      <c r="A191" s="2">
        <v>3.0</v>
      </c>
      <c r="B191" s="2" t="s">
        <v>638</v>
      </c>
      <c r="C191" s="2" t="s">
        <v>639</v>
      </c>
      <c r="D191" s="2" t="s">
        <v>25</v>
      </c>
      <c r="E191" s="2" t="s">
        <v>14</v>
      </c>
      <c r="F191" s="2" t="s">
        <v>15</v>
      </c>
      <c r="G191" s="2" t="s">
        <v>553</v>
      </c>
      <c r="H191" s="2" t="s">
        <v>101</v>
      </c>
      <c r="I191" s="2" t="str">
        <f>IFERROR(__xludf.DUMMYFUNCTION("GOOGLETRANSLATE(C191,""fr"",""en"")"),"I am satisfied with the discussion with my interlocutor.
On the other hand, I had difficulty activating my personal account, the ""button"" did not work! I discover insurance by internet, I hope I am not disappointed!")</f>
        <v>I am satisfied with the discussion with my interlocutor.
On the other hand, I had difficulty activating my personal account, the "button" did not work! I discover insurance by internet, I hope I am not disappointed!</v>
      </c>
    </row>
    <row r="192" ht="15.75" customHeight="1">
      <c r="A192" s="2">
        <v>5.0</v>
      </c>
      <c r="B192" s="2" t="s">
        <v>640</v>
      </c>
      <c r="C192" s="2" t="s">
        <v>641</v>
      </c>
      <c r="D192" s="2" t="s">
        <v>39</v>
      </c>
      <c r="E192" s="2" t="s">
        <v>14</v>
      </c>
      <c r="F192" s="2" t="s">
        <v>15</v>
      </c>
      <c r="G192" s="2" t="s">
        <v>642</v>
      </c>
      <c r="H192" s="2" t="s">
        <v>73</v>
      </c>
      <c r="I192" s="2" t="str">
        <f>IFERROR(__xludf.DUMMYFUNCTION("GOOGLETRANSLATE(C192,""fr"",""en"")"),"I am satisfied with the service and recommend your services to others thank you and see you very quickly and see whether or not I continue with you")</f>
        <v>I am satisfied with the service and recommend your services to others thank you and see you very quickly and see whether or not I continue with you</v>
      </c>
    </row>
    <row r="193" ht="15.75" customHeight="1">
      <c r="A193" s="2">
        <v>4.0</v>
      </c>
      <c r="B193" s="2" t="s">
        <v>643</v>
      </c>
      <c r="C193" s="2" t="s">
        <v>644</v>
      </c>
      <c r="D193" s="2" t="s">
        <v>25</v>
      </c>
      <c r="E193" s="2" t="s">
        <v>14</v>
      </c>
      <c r="F193" s="2" t="s">
        <v>15</v>
      </c>
      <c r="G193" s="2" t="s">
        <v>302</v>
      </c>
      <c r="H193" s="2" t="s">
        <v>109</v>
      </c>
      <c r="I193" s="2" t="str">
        <f>IFERROR(__xludf.DUMMYFUNCTION("GOOGLETRANSLATE(C193,""fr"",""en"")"),"Hello, I am very satisfied by the person who makes me sign the contract on the phone very kind, very. Pros.
I made a handmade pit to note my satisfaction, after the call but I put 10/10
Thanks to her :)")</f>
        <v>Hello, I am very satisfied by the person who makes me sign the contract on the phone very kind, very. Pros.
I made a handmade pit to note my satisfaction, after the call but I put 10/10
Thanks to her :)</v>
      </c>
    </row>
    <row r="194" ht="15.75" customHeight="1">
      <c r="A194" s="2">
        <v>1.0</v>
      </c>
      <c r="B194" s="2" t="s">
        <v>645</v>
      </c>
      <c r="C194" s="2" t="s">
        <v>646</v>
      </c>
      <c r="D194" s="2" t="s">
        <v>39</v>
      </c>
      <c r="E194" s="2" t="s">
        <v>14</v>
      </c>
      <c r="F194" s="2" t="s">
        <v>15</v>
      </c>
      <c r="G194" s="2" t="s">
        <v>647</v>
      </c>
      <c r="H194" s="2" t="s">
        <v>69</v>
      </c>
      <c r="I194" s="2" t="str">
        <f>IFERROR(__xludf.DUMMYFUNCTION("GOOGLETRANSLATE(C194,""fr"",""en"")"),"If I could not put stars, I would do it very quickly. Listening to you in the 1st year, after all changes as you go, even the famous discount arrival price. Drastic increase in the 2nd year without reasons (in our case, attempt from +8 to +10%), this year"&amp;" +5%. In fact, you pay later ""the discount granted"" on your ""welcome"" rate.")</f>
        <v>If I could not put stars, I would do it very quickly. Listening to you in the 1st year, after all changes as you go, even the famous discount arrival price. Drastic increase in the 2nd year without reasons (in our case, attempt from +8 to +10%), this year +5%. In fact, you pay later "the discount granted" on your "welcome" rate.</v>
      </c>
    </row>
    <row r="195" ht="15.75" customHeight="1">
      <c r="A195" s="2">
        <v>2.0</v>
      </c>
      <c r="B195" s="2" t="s">
        <v>648</v>
      </c>
      <c r="C195" s="2" t="s">
        <v>649</v>
      </c>
      <c r="D195" s="2" t="s">
        <v>39</v>
      </c>
      <c r="E195" s="2" t="s">
        <v>14</v>
      </c>
      <c r="F195" s="2" t="s">
        <v>15</v>
      </c>
      <c r="G195" s="2" t="s">
        <v>650</v>
      </c>
      <c r="H195" s="2" t="s">
        <v>309</v>
      </c>
      <c r="I195" s="2" t="str">
        <f>IFERROR(__xludf.DUMMYFUNCTION("GOOGLETRANSLATE(C195,""fr"",""en"")"),"The big black point raised is the quality of customer service. They consider that a reimbursement period of 6 months is normal on the pretext that no period is mentioned in the insurance code.")</f>
        <v>The big black point raised is the quality of customer service. They consider that a reimbursement period of 6 months is normal on the pretext that no period is mentioned in the insurance code.</v>
      </c>
    </row>
    <row r="196" ht="15.75" customHeight="1">
      <c r="A196" s="2">
        <v>1.0</v>
      </c>
      <c r="B196" s="2" t="s">
        <v>651</v>
      </c>
      <c r="C196" s="2" t="s">
        <v>652</v>
      </c>
      <c r="D196" s="2" t="s">
        <v>107</v>
      </c>
      <c r="E196" s="2" t="s">
        <v>45</v>
      </c>
      <c r="F196" s="2" t="s">
        <v>15</v>
      </c>
      <c r="G196" s="2" t="s">
        <v>653</v>
      </c>
      <c r="H196" s="2" t="s">
        <v>637</v>
      </c>
      <c r="I196" s="2" t="str">
        <f>IFERROR(__xludf.DUMMYFUNCTION("GOOGLETRANSLATE(C196,""fr"",""en"")"),"To flee very quickly! I find myself in all other opinions, no response to emails and phone. I applied for termination at the end of November. Response in mid-February, termination taken into account from 02/29/20. I am therefore taken by Néoliane and my n"&amp;"ew mutual ...")</f>
        <v>To flee very quickly! I find myself in all other opinions, no response to emails and phone. I applied for termination at the end of November. Response in mid-February, termination taken into account from 02/29/20. I am therefore taken by Néoliane and my new mutual ...</v>
      </c>
    </row>
    <row r="197" ht="15.75" customHeight="1">
      <c r="A197" s="2">
        <v>1.0</v>
      </c>
      <c r="B197" s="2" t="s">
        <v>654</v>
      </c>
      <c r="C197" s="2" t="s">
        <v>655</v>
      </c>
      <c r="D197" s="2" t="s">
        <v>219</v>
      </c>
      <c r="E197" s="2" t="s">
        <v>31</v>
      </c>
      <c r="F197" s="2" t="s">
        <v>15</v>
      </c>
      <c r="G197" s="2" t="s">
        <v>656</v>
      </c>
      <c r="H197" s="2" t="s">
        <v>22</v>
      </c>
      <c r="I197" s="2" t="str">
        <f>IFERROR(__xludf.DUMMYFUNCTION("GOOGLETRANSLATE(C197,""fr"",""en"")"),"I give my opinion on Assur good plan which is an assurance to avoid at all costs !!
Sinister not responsible on 06/11/2016, still awaiting a refund.
Nonexistent customer service, email and telephone never answer.
Here I have been in a hassle of money s"&amp;"ince, I can't even buy a vehicle back because I am not the means until the insurance has not reimbursed me.
My motorcycle was declared wreckage and the expert confirmed to me the presentation of the file and the sale of the vehicle!
It's scandalous when"&amp;" we see that insurance like that exists!
In addition she is in the list of lelinx.fr I think they must give them a lot because this assurance of nothing for her.
I am really not in order and if I still have no response by January 2017 I take a lawyer an"&amp;"d continue them in court.
That's enough to pay for Di Vent!")</f>
        <v>I give my opinion on Assur good plan which is an assurance to avoid at all costs !!
Sinister not responsible on 06/11/2016, still awaiting a refund.
Nonexistent customer service, email and telephone never answer.
Here I have been in a hassle of money since, I can't even buy a vehicle back because I am not the means until the insurance has not reimbursed me.
My motorcycle was declared wreckage and the expert confirmed to me the presentation of the file and the sale of the vehicle!
It's scandalous when we see that insurance like that exists!
In addition she is in the list of lelinx.fr I think they must give them a lot because this assurance of nothing for her.
I am really not in order and if I still have no response by January 2017 I take a lawyer and continue them in court.
That's enough to pay for Di Vent!</v>
      </c>
    </row>
    <row r="198" ht="15.75" customHeight="1">
      <c r="A198" s="2">
        <v>4.0</v>
      </c>
      <c r="B198" s="2" t="s">
        <v>657</v>
      </c>
      <c r="C198" s="2" t="s">
        <v>658</v>
      </c>
      <c r="D198" s="2" t="s">
        <v>67</v>
      </c>
      <c r="E198" s="2" t="s">
        <v>14</v>
      </c>
      <c r="F198" s="2" t="s">
        <v>15</v>
      </c>
      <c r="G198" s="2" t="s">
        <v>354</v>
      </c>
      <c r="H198" s="2" t="s">
        <v>77</v>
      </c>
      <c r="I198" s="2" t="str">
        <f>IFERROR(__xludf.DUMMYFUNCTION("GOOGLETRANSLATE(C198,""fr"",""en"")"),"I am satisfied because despite the years passing you are listening to your members. I have always had a very good service in agency and especially in Agen. Continue to consider your customers they will remain faithful to you. Thank you
")</f>
        <v>I am satisfied because despite the years passing you are listening to your members. I have always had a very good service in agency and especially in Agen. Continue to consider your customers they will remain faithful to you. Thank you
</v>
      </c>
    </row>
    <row r="199" ht="15.75" customHeight="1">
      <c r="A199" s="2">
        <v>5.0</v>
      </c>
      <c r="B199" s="2" t="s">
        <v>659</v>
      </c>
      <c r="C199" s="2" t="s">
        <v>660</v>
      </c>
      <c r="D199" s="2" t="s">
        <v>25</v>
      </c>
      <c r="E199" s="2" t="s">
        <v>14</v>
      </c>
      <c r="F199" s="2" t="s">
        <v>15</v>
      </c>
      <c r="G199" s="2" t="s">
        <v>661</v>
      </c>
      <c r="H199" s="2" t="s">
        <v>17</v>
      </c>
      <c r="I199" s="2" t="str">
        <f>IFERROR(__xludf.DUMMYFUNCTION("GOOGLETRANSLATE(C199,""fr"",""en"")"),"Much cheaper than other insurance I am sastif I just made a benefit thanks to your assurance I thank you I am happy to content you with you")</f>
        <v>Much cheaper than other insurance I am sastif I just made a benefit thanks to your assurance I thank you I am happy to content you with you</v>
      </c>
    </row>
    <row r="200" ht="15.75" customHeight="1">
      <c r="A200" s="2">
        <v>2.0</v>
      </c>
      <c r="B200" s="2" t="s">
        <v>662</v>
      </c>
      <c r="C200" s="2" t="s">
        <v>663</v>
      </c>
      <c r="D200" s="2" t="s">
        <v>39</v>
      </c>
      <c r="E200" s="2" t="s">
        <v>14</v>
      </c>
      <c r="F200" s="2" t="s">
        <v>15</v>
      </c>
      <c r="G200" s="2" t="s">
        <v>664</v>
      </c>
      <c r="H200" s="2" t="s">
        <v>77</v>
      </c>
      <c r="I200" s="2" t="str">
        <f>IFERROR(__xludf.DUMMYFUNCTION("GOOGLETRANSLATE(C200,""fr"",""en"")"),"Hello.
I am satisfied with the Direct Insurance service.
However, I believe that the prices for the services offered are too high.
Sincerely, Edgar Arakelyan.")</f>
        <v>Hello.
I am satisfied with the Direct Insurance service.
However, I believe that the prices for the services offered are too high.
Sincerely, Edgar Arakelyan.</v>
      </c>
    </row>
    <row r="201" ht="15.75" customHeight="1">
      <c r="A201" s="2">
        <v>3.0</v>
      </c>
      <c r="B201" s="2" t="s">
        <v>665</v>
      </c>
      <c r="C201" s="2" t="s">
        <v>666</v>
      </c>
      <c r="D201" s="2" t="s">
        <v>39</v>
      </c>
      <c r="E201" s="2" t="s">
        <v>14</v>
      </c>
      <c r="F201" s="2" t="s">
        <v>15</v>
      </c>
      <c r="G201" s="2" t="s">
        <v>312</v>
      </c>
      <c r="H201" s="2" t="s">
        <v>27</v>
      </c>
      <c r="I201" s="2" t="str">
        <f>IFERROR(__xludf.DUMMYFUNCTION("GOOGLETRANSLATE(C201,""fr"",""en"")"),"When we need nothing everything is fine, I had a problem on my roof on Friday at night so I phone on Saturday morning and in the week I went back and week after we give me the number of an expert who gives me to set an appointment not at 15 days? So I can"&amp;"cel everything. I called one who came the next day to replace the 5 hats")</f>
        <v>When we need nothing everything is fine, I had a problem on my roof on Friday at night so I phone on Saturday morning and in the week I went back and week after we give me the number of an expert who gives me to set an appointment not at 15 days? So I cancel everything. I called one who came the next day to replace the 5 hats</v>
      </c>
    </row>
    <row r="202" ht="15.75" customHeight="1">
      <c r="A202" s="2">
        <v>1.0</v>
      </c>
      <c r="B202" s="2" t="s">
        <v>667</v>
      </c>
      <c r="C202" s="2" t="s">
        <v>668</v>
      </c>
      <c r="D202" s="2" t="s">
        <v>39</v>
      </c>
      <c r="E202" s="2" t="s">
        <v>14</v>
      </c>
      <c r="F202" s="2" t="s">
        <v>15</v>
      </c>
      <c r="G202" s="2" t="s">
        <v>669</v>
      </c>
      <c r="H202" s="2" t="s">
        <v>27</v>
      </c>
      <c r="I202" s="2" t="str">
        <f>IFERROR(__xludf.DUMMYFUNCTION("GOOGLETRANSLATE(C202,""fr"",""en"")"),"Sorry, but the price you imposed on me does not correspond to the contract I had obtained the first time.
I would like to be able to correct this error
What should I do ?
Please keep me informed .")</f>
        <v>Sorry, but the price you imposed on me does not correspond to the contract I had obtained the first time.
I would like to be able to correct this error
What should I do ?
Please keep me informed .</v>
      </c>
    </row>
    <row r="203" ht="15.75" customHeight="1">
      <c r="A203" s="2">
        <v>1.0</v>
      </c>
      <c r="B203" s="2" t="s">
        <v>670</v>
      </c>
      <c r="C203" s="2" t="s">
        <v>671</v>
      </c>
      <c r="D203" s="2" t="s">
        <v>95</v>
      </c>
      <c r="E203" s="2" t="s">
        <v>233</v>
      </c>
      <c r="F203" s="2" t="s">
        <v>15</v>
      </c>
      <c r="G203" s="2" t="s">
        <v>672</v>
      </c>
      <c r="H203" s="2" t="s">
        <v>238</v>
      </c>
      <c r="I203" s="2" t="str">
        <f>IFERROR(__xludf.DUMMYFUNCTION("GOOGLETRANSLATE(C203,""fr"",""en"")"),"To flee !!!, having a business retirement plan, I since July 2020 have been a request for liquidation of this contract, for the moment after multiple reminders, impossible to obtain any information on the slowness of reimbursement. Impossible to reach a m"&amp;"anager, only the telephone platform. I am reduced to making a registered mail to the general management to tell them my dissatisfaction and ask for an action on their part")</f>
        <v>To flee !!!, having a business retirement plan, I since July 2020 have been a request for liquidation of this contract, for the moment after multiple reminders, impossible to obtain any information on the slowness of reimbursement. Impossible to reach a manager, only the telephone platform. I am reduced to making a registered mail to the general management to tell them my dissatisfaction and ask for an action on their part</v>
      </c>
    </row>
    <row r="204" ht="15.75" customHeight="1">
      <c r="A204" s="2">
        <v>4.0</v>
      </c>
      <c r="B204" s="2" t="s">
        <v>673</v>
      </c>
      <c r="C204" s="2" t="s">
        <v>674</v>
      </c>
      <c r="D204" s="2" t="s">
        <v>107</v>
      </c>
      <c r="E204" s="2" t="s">
        <v>45</v>
      </c>
      <c r="F204" s="2" t="s">
        <v>15</v>
      </c>
      <c r="G204" s="2" t="s">
        <v>675</v>
      </c>
      <c r="H204" s="2" t="s">
        <v>539</v>
      </c>
      <c r="I204" s="2" t="str">
        <f>IFERROR(__xludf.DUMMYFUNCTION("GOOGLETRANSLATE(C204,""fr"",""en"")"),"Very warm welcome advisor very well to advise well and well informed I have been a member since 2011 and I have always been well informed no problem meeting since I have been at Neoliane")</f>
        <v>Very warm welcome advisor very well to advise well and well informed I have been a member since 2011 and I have always been well informed no problem meeting since I have been at Neoliane</v>
      </c>
    </row>
    <row r="205" ht="15.75" customHeight="1">
      <c r="A205" s="2">
        <v>1.0</v>
      </c>
      <c r="B205" s="2" t="s">
        <v>676</v>
      </c>
      <c r="C205" s="2" t="s">
        <v>677</v>
      </c>
      <c r="D205" s="2" t="s">
        <v>55</v>
      </c>
      <c r="E205" s="2" t="s">
        <v>14</v>
      </c>
      <c r="F205" s="2" t="s">
        <v>15</v>
      </c>
      <c r="G205" s="2" t="s">
        <v>678</v>
      </c>
      <c r="H205" s="2" t="s">
        <v>476</v>
      </c>
      <c r="I205" s="2" t="str">
        <f>IFERROR(__xludf.DUMMYFUNCTION("GOOGLETRANSLATE(C205,""fr"",""en"")"),"No commercial sense. I have changed insurer to go to their homes. It is said to me we take care of the formalities with your old insurance to terminate your old contract. Fortunately after 4 months I realize that I pay two insurance Because Eurofil did no"&amp;"t take the procedures as planned. After a phone call from their home to have explanations I am gently booted by telling me that they have nothing to bring together when they are unable to send me the proof of their so -called recommended with A.R.Fuyer th"&amp;"eir service customer despises you and it gives rights that he does not.")</f>
        <v>No commercial sense. I have changed insurer to go to their homes. It is said to me we take care of the formalities with your old insurance to terminate your old contract. Fortunately after 4 months I realize that I pay two insurance Because Eurofil did not take the procedures as planned. After a phone call from their home to have explanations I am gently booted by telling me that they have nothing to bring together when they are unable to send me the proof of their so -called recommended with A.R.Fuyer their service customer despises you and it gives rights that he does not.</v>
      </c>
    </row>
    <row r="206" ht="15.75" customHeight="1">
      <c r="A206" s="2">
        <v>5.0</v>
      </c>
      <c r="B206" s="2" t="s">
        <v>679</v>
      </c>
      <c r="C206" s="2" t="s">
        <v>680</v>
      </c>
      <c r="D206" s="2" t="s">
        <v>39</v>
      </c>
      <c r="E206" s="2" t="s">
        <v>14</v>
      </c>
      <c r="F206" s="2" t="s">
        <v>15</v>
      </c>
      <c r="G206" s="2" t="s">
        <v>681</v>
      </c>
      <c r="H206" s="2" t="s">
        <v>109</v>
      </c>
      <c r="I206" s="2" t="str">
        <f>IFERROR(__xludf.DUMMYFUNCTION("GOOGLETRANSLATE(C206,""fr"",""en"")"),"Good customer service and better pricing than competition for better services. I have opted for an all -risk option and for the time being, the relationships I have with insurance are going very well.")</f>
        <v>Good customer service and better pricing than competition for better services. I have opted for an all -risk option and for the time being, the relationships I have with insurance are going very well.</v>
      </c>
    </row>
    <row r="207" ht="15.75" customHeight="1">
      <c r="A207" s="2">
        <v>5.0</v>
      </c>
      <c r="B207" s="2" t="s">
        <v>682</v>
      </c>
      <c r="C207" s="2" t="s">
        <v>683</v>
      </c>
      <c r="D207" s="2" t="s">
        <v>35</v>
      </c>
      <c r="E207" s="2" t="s">
        <v>31</v>
      </c>
      <c r="F207" s="2" t="s">
        <v>15</v>
      </c>
      <c r="G207" s="2" t="s">
        <v>684</v>
      </c>
      <c r="H207" s="2" t="s">
        <v>238</v>
      </c>
      <c r="I207" s="2" t="str">
        <f>IFERROR(__xludf.DUMMYFUNCTION("GOOGLETRANSLATE(C207,""fr"",""en"")"),"Quality report price regular exchanges I am satisfied with the services offered even if I did not have the opportunity to have needed claims for claims.")</f>
        <v>Quality report price regular exchanges I am satisfied with the services offered even if I did not have the opportunity to have needed claims for claims.</v>
      </c>
    </row>
    <row r="208" ht="15.75" customHeight="1">
      <c r="A208" s="2">
        <v>3.0</v>
      </c>
      <c r="B208" s="2" t="s">
        <v>685</v>
      </c>
      <c r="C208" s="2" t="s">
        <v>686</v>
      </c>
      <c r="D208" s="2" t="s">
        <v>361</v>
      </c>
      <c r="E208" s="2" t="s">
        <v>14</v>
      </c>
      <c r="F208" s="2" t="s">
        <v>15</v>
      </c>
      <c r="G208" s="2" t="s">
        <v>687</v>
      </c>
      <c r="H208" s="2" t="s">
        <v>688</v>
      </c>
      <c r="I208" s="2" t="str">
        <f>IFERROR(__xludf.DUMMYFUNCTION("GOOGLETRANSLATE(C208,""fr"",""en"")"),"The person who damaged my door completely recognized the facts. I do not understand why I must participate financially in the repair being already injured")</f>
        <v>The person who damaged my door completely recognized the facts. I do not understand why I must participate financially in the repair being already injured</v>
      </c>
    </row>
    <row r="209" ht="15.75" customHeight="1">
      <c r="A209" s="2">
        <v>3.0</v>
      </c>
      <c r="B209" s="2" t="s">
        <v>689</v>
      </c>
      <c r="C209" s="2" t="s">
        <v>690</v>
      </c>
      <c r="D209" s="2" t="s">
        <v>25</v>
      </c>
      <c r="E209" s="2" t="s">
        <v>14</v>
      </c>
      <c r="F209" s="2" t="s">
        <v>15</v>
      </c>
      <c r="G209" s="2" t="s">
        <v>691</v>
      </c>
      <c r="H209" s="2" t="s">
        <v>414</v>
      </c>
      <c r="I209" s="2" t="str">
        <f>IFERROR(__xludf.DUMMYFUNCTION("GOOGLETRANSLATE(C209,""fr"",""en"")"),"Inadmissible, very bad ... I have subscribed in 01/2017 and since then I have still not received my final insurance card (we are in June!) Several reminders, report of information requested on several occasions and sent .... no follow -up, no quick respon"&amp;"se ... I will leave them at the end of the 12 months over to leave with my former insurer in whom I was not so bad in fact !!")</f>
        <v>Inadmissible, very bad ... I have subscribed in 01/2017 and since then I have still not received my final insurance card (we are in June!) Several reminders, report of information requested on several occasions and sent .... no follow -up, no quick response ... I will leave them at the end of the 12 months over to leave with my former insurer in whom I was not so bad in fact !!</v>
      </c>
    </row>
    <row r="210" ht="15.75" customHeight="1">
      <c r="A210" s="2">
        <v>5.0</v>
      </c>
      <c r="B210" s="2" t="s">
        <v>692</v>
      </c>
      <c r="C210" s="2" t="s">
        <v>693</v>
      </c>
      <c r="D210" s="2" t="s">
        <v>25</v>
      </c>
      <c r="E210" s="2" t="s">
        <v>14</v>
      </c>
      <c r="F210" s="2" t="s">
        <v>15</v>
      </c>
      <c r="G210" s="2" t="s">
        <v>194</v>
      </c>
      <c r="H210" s="2" t="s">
        <v>77</v>
      </c>
      <c r="I210" s="2" t="str">
        <f>IFERROR(__xludf.DUMMYFUNCTION("GOOGLETRANSLATE(C210,""fr"",""en"")"),"I am satisfied with the return I had, I had a good exchange and the advisor I had on the phone took care to explain things to me")</f>
        <v>I am satisfied with the return I had, I had a good exchange and the advisor I had on the phone took care to explain things to me</v>
      </c>
    </row>
    <row r="211" ht="15.75" customHeight="1">
      <c r="A211" s="2">
        <v>1.0</v>
      </c>
      <c r="B211" s="2" t="s">
        <v>694</v>
      </c>
      <c r="C211" s="2" t="s">
        <v>695</v>
      </c>
      <c r="D211" s="2" t="s">
        <v>259</v>
      </c>
      <c r="E211" s="2" t="s">
        <v>14</v>
      </c>
      <c r="F211" s="2" t="s">
        <v>15</v>
      </c>
      <c r="G211" s="2" t="s">
        <v>696</v>
      </c>
      <c r="H211" s="2" t="s">
        <v>17</v>
      </c>
      <c r="I211" s="2" t="str">
        <f>IFERROR(__xludf.DUMMYFUNCTION("GOOGLETRANSLATE(C211,""fr"",""en"")"),"We pay insurance for nothing. We have our car key stolen in our house. An investigation is in court and we know the author of the facts. But for insurance this one is not considered stolen because it had the key. He does not reimburse anything. Knowing th"&amp;"at we are tourism. But where are we going ??? What is this insurance. You just pay to throw the silver through the window flee. Guignol insurance. Not serious of all")</f>
        <v>We pay insurance for nothing. We have our car key stolen in our house. An investigation is in court and we know the author of the facts. But for insurance this one is not considered stolen because it had the key. He does not reimburse anything. Knowing that we are tourism. But where are we going ??? What is this insurance. You just pay to throw the silver through the window flee. Guignol insurance. Not serious of all</v>
      </c>
    </row>
    <row r="212" ht="15.75" customHeight="1">
      <c r="A212" s="2">
        <v>5.0</v>
      </c>
      <c r="B212" s="2" t="s">
        <v>697</v>
      </c>
      <c r="C212" s="2" t="s">
        <v>698</v>
      </c>
      <c r="D212" s="2" t="s">
        <v>39</v>
      </c>
      <c r="E212" s="2" t="s">
        <v>14</v>
      </c>
      <c r="F212" s="2" t="s">
        <v>15</v>
      </c>
      <c r="G212" s="2" t="s">
        <v>699</v>
      </c>
      <c r="H212" s="2" t="s">
        <v>77</v>
      </c>
      <c r="I212" s="2" t="str">
        <f>IFERROR(__xludf.DUMMYFUNCTION("GOOGLETRANSLATE(C212,""fr"",""en"")"),"Perfect, the site is well done, it's fast and efficient.
I would have liked to talk to an advisor but the line was exceptionally unavailable.
thank you")</f>
        <v>Perfect, the site is well done, it's fast and efficient.
I would have liked to talk to an advisor but the line was exceptionally unavailable.
thank you</v>
      </c>
    </row>
    <row r="213" ht="15.75" customHeight="1">
      <c r="A213" s="2">
        <v>4.0</v>
      </c>
      <c r="B213" s="2" t="s">
        <v>700</v>
      </c>
      <c r="C213" s="2" t="s">
        <v>701</v>
      </c>
      <c r="D213" s="2" t="s">
        <v>25</v>
      </c>
      <c r="E213" s="2" t="s">
        <v>14</v>
      </c>
      <c r="F213" s="2" t="s">
        <v>15</v>
      </c>
      <c r="G213" s="2" t="s">
        <v>312</v>
      </c>
      <c r="H213" s="2" t="s">
        <v>27</v>
      </c>
      <c r="I213" s="2" t="str">
        <f>IFERROR(__xludf.DUMMYFUNCTION("GOOGLETRANSLATE(C213,""fr"",""en"")"),"I have just arrived at the Olivier Insurance, the prices are correct, however, I expect to see the services and the responsiveness of these. The offers are interesting.")</f>
        <v>I have just arrived at the Olivier Insurance, the prices are correct, however, I expect to see the services and the responsiveness of these. The offers are interesting.</v>
      </c>
    </row>
    <row r="214" ht="15.75" customHeight="1">
      <c r="A214" s="2">
        <v>2.0</v>
      </c>
      <c r="B214" s="2" t="s">
        <v>702</v>
      </c>
      <c r="C214" s="2" t="s">
        <v>703</v>
      </c>
      <c r="D214" s="2" t="s">
        <v>35</v>
      </c>
      <c r="E214" s="2" t="s">
        <v>31</v>
      </c>
      <c r="F214" s="2" t="s">
        <v>15</v>
      </c>
      <c r="G214" s="2" t="s">
        <v>704</v>
      </c>
      <c r="H214" s="2" t="s">
        <v>164</v>
      </c>
      <c r="I214" s="2" t="str">
        <f>IFERROR(__xludf.DUMMYFUNCTION("GOOGLETRANSLATE(C214,""fr"",""en"")"),"I could only give my own experience without judging beyond the results still expected. Accident of February 28, 2019, reception of the PV by Transpv on July 15, 2019. For info, I am not responsible for my accident. I am offered an advance of 1000 euros on"&amp;" the suffering endured and which I always endeavor. I am from my pocket at more than 2000 euros and am unable to resume my work as a self -employed. On the phone I am told the person who takes care of your file is on vacation. So my question how I do to l"&amp;"ive me and my wife being retired and what is more in a wheelchair?")</f>
        <v>I could only give my own experience without judging beyond the results still expected. Accident of February 28, 2019, reception of the PV by Transpv on July 15, 2019. For info, I am not responsible for my accident. I am offered an advance of 1000 euros on the suffering endured and which I always endeavor. I am from my pocket at more than 2000 euros and am unable to resume my work as a self -employed. On the phone I am told the person who takes care of your file is on vacation. So my question how I do to live me and my wife being retired and what is more in a wheelchair?</v>
      </c>
    </row>
    <row r="215" ht="15.75" customHeight="1">
      <c r="A215" s="2">
        <v>5.0</v>
      </c>
      <c r="B215" s="2" t="s">
        <v>705</v>
      </c>
      <c r="C215" s="2" t="s">
        <v>706</v>
      </c>
      <c r="D215" s="2" t="s">
        <v>39</v>
      </c>
      <c r="E215" s="2" t="s">
        <v>14</v>
      </c>
      <c r="F215" s="2" t="s">
        <v>15</v>
      </c>
      <c r="G215" s="2" t="s">
        <v>707</v>
      </c>
      <c r="H215" s="2" t="s">
        <v>17</v>
      </c>
      <c r="I215" s="2" t="str">
        <f>IFERROR(__xludf.DUMMYFUNCTION("GOOGLETRANSLATE(C215,""fr"",""en"")"),"I find the service very good
I find the service fast
I find the service effective
I find the service simple
I find the prices attractive
I hope I will be satisfied throughout the contract")</f>
        <v>I find the service very good
I find the service fast
I find the service effective
I find the service simple
I find the prices attractive
I hope I will be satisfied throughout the contract</v>
      </c>
    </row>
    <row r="216" ht="15.75" customHeight="1">
      <c r="A216" s="2">
        <v>1.0</v>
      </c>
      <c r="B216" s="2" t="s">
        <v>708</v>
      </c>
      <c r="C216" s="2" t="s">
        <v>709</v>
      </c>
      <c r="D216" s="2" t="s">
        <v>323</v>
      </c>
      <c r="E216" s="2" t="s">
        <v>45</v>
      </c>
      <c r="F216" s="2" t="s">
        <v>15</v>
      </c>
      <c r="G216" s="2" t="s">
        <v>710</v>
      </c>
      <c r="H216" s="2" t="s">
        <v>198</v>
      </c>
      <c r="I216" s="2" t="str">
        <f>IFERROR(__xludf.DUMMYFUNCTION("GOOGLETRANSLATE(C216,""fr"",""en"")"),"In the midst of a health crisis, just an email to tell me the end of my portability at 30/11/2020 while it is valid according to their commitments until 12/31/2020 and in March they had taken the commitment to make me a proposal for renewal according to t"&amp;"he provisions of the Evin law.
Since no response either to my emails or to my calls.
It is an irresponsible attitude towards a family.")</f>
        <v>In the midst of a health crisis, just an email to tell me the end of my portability at 30/11/2020 while it is valid according to their commitments until 12/31/2020 and in March they had taken the commitment to make me a proposal for renewal according to the provisions of the Evin law.
Since no response either to my emails or to my calls.
It is an irresponsible attitude towards a family.</v>
      </c>
    </row>
    <row r="217" ht="15.75" customHeight="1">
      <c r="A217" s="2">
        <v>4.0</v>
      </c>
      <c r="B217" s="2" t="s">
        <v>711</v>
      </c>
      <c r="C217" s="2" t="s">
        <v>712</v>
      </c>
      <c r="D217" s="2" t="s">
        <v>39</v>
      </c>
      <c r="E217" s="2" t="s">
        <v>14</v>
      </c>
      <c r="F217" s="2" t="s">
        <v>15</v>
      </c>
      <c r="G217" s="2" t="s">
        <v>559</v>
      </c>
      <c r="H217" s="2" t="s">
        <v>17</v>
      </c>
      <c r="I217" s="2" t="str">
        <f>IFERROR(__xludf.DUMMYFUNCTION("GOOGLETRANSLATE(C217,""fr"",""en"")"),"Price and more than competitive service at subscription.
Customer service is present and quickly answers the questions asked.
The internet procedures are very simple and quick.")</f>
        <v>Price and more than competitive service at subscription.
Customer service is present and quickly answers the questions asked.
The internet procedures are very simple and quick.</v>
      </c>
    </row>
    <row r="218" ht="15.75" customHeight="1">
      <c r="A218" s="2">
        <v>5.0</v>
      </c>
      <c r="B218" s="2" t="s">
        <v>713</v>
      </c>
      <c r="C218" s="2" t="s">
        <v>714</v>
      </c>
      <c r="D218" s="2" t="s">
        <v>30</v>
      </c>
      <c r="E218" s="2" t="s">
        <v>31</v>
      </c>
      <c r="F218" s="2" t="s">
        <v>15</v>
      </c>
      <c r="G218" s="2" t="s">
        <v>715</v>
      </c>
      <c r="H218" s="2" t="s">
        <v>17</v>
      </c>
      <c r="I218" s="2" t="str">
        <f>IFERROR(__xludf.DUMMYFUNCTION("GOOGLETRANSLATE(C218,""fr"",""en"")"),"The site is easy to use. The prices are competitive and it is relatively simple to take out motorcycle insurance.
To see in time in the event of a claim.")</f>
        <v>The site is easy to use. The prices are competitive and it is relatively simple to take out motorcycle insurance.
To see in time in the event of a claim.</v>
      </c>
    </row>
    <row r="219" ht="15.75" customHeight="1">
      <c r="A219" s="2">
        <v>4.0</v>
      </c>
      <c r="B219" s="2" t="s">
        <v>716</v>
      </c>
      <c r="C219" s="2" t="s">
        <v>717</v>
      </c>
      <c r="D219" s="2" t="s">
        <v>35</v>
      </c>
      <c r="E219" s="2" t="s">
        <v>31</v>
      </c>
      <c r="F219" s="2" t="s">
        <v>15</v>
      </c>
      <c r="G219" s="2" t="s">
        <v>718</v>
      </c>
      <c r="H219" s="2" t="s">
        <v>17</v>
      </c>
      <c r="I219" s="2" t="str">
        <f>IFERROR(__xludf.DUMMYFUNCTION("GOOGLETRANSLATE(C219,""fr"",""en"")"),"Need insurance quickly to ensure a vehicle.
Simple, easy, fast and efficient service.
Reasonable price .
I recommend .
Thank you")</f>
        <v>Need insurance quickly to ensure a vehicle.
Simple, easy, fast and efficient service.
Reasonable price .
I recommend .
Thank you</v>
      </c>
    </row>
    <row r="220" ht="15.75" customHeight="1">
      <c r="A220" s="2">
        <v>2.0</v>
      </c>
      <c r="B220" s="2" t="s">
        <v>719</v>
      </c>
      <c r="C220" s="2" t="s">
        <v>720</v>
      </c>
      <c r="D220" s="2" t="s">
        <v>67</v>
      </c>
      <c r="E220" s="2" t="s">
        <v>14</v>
      </c>
      <c r="F220" s="2" t="s">
        <v>15</v>
      </c>
      <c r="G220" s="2" t="s">
        <v>245</v>
      </c>
      <c r="H220" s="2" t="s">
        <v>113</v>
      </c>
      <c r="I220" s="2" t="str">
        <f>IFERROR(__xludf.DUMMYFUNCTION("GOOGLETRANSLATE(C220,""fr"",""en"")"),"Good insurance but do not have a non -responsible accident. Ready to anything so that you limit the costs, including putting pressure on you not to pay for guarding while your spouse is in the hospital. No help for everyday life then, cleaning, children g"&amp;"et out of it !!!
No news for months, you take a lawyer and PAF sticks an appointment with an expert before the lawyer gives you advice ... in short everything to limit your rights.
On the phone: interlocutors devoid of humanity.
In short, the opposite "&amp;"of their advertisements.")</f>
        <v>Good insurance but do not have a non -responsible accident. Ready to anything so that you limit the costs, including putting pressure on you not to pay for guarding while your spouse is in the hospital. No help for everyday life then, cleaning, children get out of it !!!
No news for months, you take a lawyer and PAF sticks an appointment with an expert before the lawyer gives you advice ... in short everything to limit your rights.
On the phone: interlocutors devoid of humanity.
In short, the opposite of their advertisements.</v>
      </c>
    </row>
    <row r="221" ht="15.75" customHeight="1">
      <c r="A221" s="2">
        <v>2.0</v>
      </c>
      <c r="B221" s="2" t="s">
        <v>721</v>
      </c>
      <c r="C221" s="2" t="s">
        <v>722</v>
      </c>
      <c r="D221" s="2" t="s">
        <v>107</v>
      </c>
      <c r="E221" s="2" t="s">
        <v>45</v>
      </c>
      <c r="F221" s="2" t="s">
        <v>15</v>
      </c>
      <c r="G221" s="2" t="s">
        <v>723</v>
      </c>
      <c r="H221" s="2" t="s">
        <v>637</v>
      </c>
      <c r="I221" s="2" t="str">
        <f>IFERROR(__xludf.DUMMYFUNCTION("GOOGLETRANSLATE(C221,""fr"",""en"")"),"Refund with a minimum period of 1 month
No response to the emails covered never sent in time so naked must advance the costs and wait for the reimbursement 2 months for my last intervention and I am not yet refunded.")</f>
        <v>Refund with a minimum period of 1 month
No response to the emails covered never sent in time so naked must advance the costs and wait for the reimbursement 2 months for my last intervention and I am not yet refunded.</v>
      </c>
    </row>
    <row r="222" ht="15.75" customHeight="1">
      <c r="A222" s="2">
        <v>5.0</v>
      </c>
      <c r="B222" s="2" t="s">
        <v>724</v>
      </c>
      <c r="C222" s="2" t="s">
        <v>725</v>
      </c>
      <c r="D222" s="2" t="s">
        <v>39</v>
      </c>
      <c r="E222" s="2" t="s">
        <v>14</v>
      </c>
      <c r="F222" s="2" t="s">
        <v>15</v>
      </c>
      <c r="G222" s="2" t="s">
        <v>453</v>
      </c>
      <c r="H222" s="2" t="s">
        <v>101</v>
      </c>
      <c r="I222" s="2" t="str">
        <f>IFERROR(__xludf.DUMMYFUNCTION("GOOGLETRANSLATE(C222,""fr"",""en"")"),"Fast, I am satisfied, I recommend this insurer.
I will take it for my new vehicles.
Quick and efficient online quote, direct insurance.")</f>
        <v>Fast, I am satisfied, I recommend this insurer.
I will take it for my new vehicles.
Quick and efficient online quote, direct insurance.</v>
      </c>
    </row>
    <row r="223" ht="15.75" customHeight="1">
      <c r="A223" s="2">
        <v>5.0</v>
      </c>
      <c r="B223" s="2" t="s">
        <v>726</v>
      </c>
      <c r="C223" s="2" t="s">
        <v>727</v>
      </c>
      <c r="D223" s="2" t="s">
        <v>25</v>
      </c>
      <c r="E223" s="2" t="s">
        <v>14</v>
      </c>
      <c r="F223" s="2" t="s">
        <v>15</v>
      </c>
      <c r="G223" s="2" t="s">
        <v>728</v>
      </c>
      <c r="H223" s="2" t="s">
        <v>27</v>
      </c>
      <c r="I223" s="2" t="str">
        <f>IFERROR(__xludf.DUMMYFUNCTION("GOOGLETRANSLATE(C223,""fr"",""en"")"),"Very simple and very fast to make a quote. But small negative point, not found a table concerning franchises or not. Otherwise nothing to complain about.")</f>
        <v>Very simple and very fast to make a quote. But small negative point, not found a table concerning franchises or not. Otherwise nothing to complain about.</v>
      </c>
    </row>
    <row r="224" ht="15.75" customHeight="1">
      <c r="A224" s="2">
        <v>1.0</v>
      </c>
      <c r="B224" s="2" t="s">
        <v>729</v>
      </c>
      <c r="C224" s="2" t="s">
        <v>730</v>
      </c>
      <c r="D224" s="2" t="s">
        <v>731</v>
      </c>
      <c r="E224" s="2" t="s">
        <v>233</v>
      </c>
      <c r="F224" s="2" t="s">
        <v>15</v>
      </c>
      <c r="G224" s="2" t="s">
        <v>732</v>
      </c>
      <c r="H224" s="2" t="s">
        <v>424</v>
      </c>
      <c r="I224" s="2" t="str">
        <f>IFERROR(__xludf.DUMMYFUNCTION("GOOGLETRANSLATE(C224,""fr"",""en"")"),"Hello,
You should know that your beneficiaries will receive the funds without justification, and apparently there must be costs, but this is not too explained when subscribing.
In addition to obtain details of the sums paid, it must be made in writing"&amp;" in writing even though the whole file is done online, this demonstrates the non -transparency of the CNP count.
")</f>
        <v>Hello,
You should know that your beneficiaries will receive the funds without justification, and apparently there must be costs, but this is not too explained when subscribing.
In addition to obtain details of the sums paid, it must be made in writing in writing even though the whole file is done online, this demonstrates the non -transparency of the CNP count.
</v>
      </c>
    </row>
    <row r="225" ht="15.75" customHeight="1">
      <c r="A225" s="2">
        <v>5.0</v>
      </c>
      <c r="B225" s="2" t="s">
        <v>733</v>
      </c>
      <c r="C225" s="2" t="s">
        <v>734</v>
      </c>
      <c r="D225" s="2" t="s">
        <v>735</v>
      </c>
      <c r="E225" s="2" t="s">
        <v>31</v>
      </c>
      <c r="F225" s="2" t="s">
        <v>15</v>
      </c>
      <c r="G225" s="2" t="s">
        <v>736</v>
      </c>
      <c r="H225" s="2" t="s">
        <v>202</v>
      </c>
      <c r="I225" s="2" t="str">
        <f>IFERROR(__xludf.DUMMYFUNCTION("GOOGLETRANSLATE(C225,""fr"",""en"")"),"Super happy advice provided by Romu, because thanks to him during my accident I had all the guarantees to quickly recover my motorcycle, I recommend,")</f>
        <v>Super happy advice provided by Romu, because thanks to him during my accident I had all the guarantees to quickly recover my motorcycle, I recommend,</v>
      </c>
    </row>
    <row r="226" ht="15.75" customHeight="1">
      <c r="A226" s="2">
        <v>1.0</v>
      </c>
      <c r="B226" s="2" t="s">
        <v>737</v>
      </c>
      <c r="C226" s="2" t="s">
        <v>738</v>
      </c>
      <c r="D226" s="2" t="s">
        <v>176</v>
      </c>
      <c r="E226" s="2" t="s">
        <v>96</v>
      </c>
      <c r="F226" s="2" t="s">
        <v>15</v>
      </c>
      <c r="G226" s="2" t="s">
        <v>739</v>
      </c>
      <c r="H226" s="2" t="s">
        <v>295</v>
      </c>
      <c r="I226" s="2" t="str">
        <f>IFERROR(__xludf.DUMMYFUNCTION("GOOGLETRANSLATE(C226,""fr"",""en"")"),"Member of the complementary retirement contract, it is impossible to have information to be able to liquidate the file and receive the annuity. For the past year, three recommended, which have remained unanswered, telephone calls without result the docume"&amp;"nts lost by the seat, unanswered emails. 3 months to obtain access to my account by the net and know the balance. The advisor indicated on the site does not respond to emails or the phone.")</f>
        <v>Member of the complementary retirement contract, it is impossible to have information to be able to liquidate the file and receive the annuity. For the past year, three recommended, which have remained unanswered, telephone calls without result the documents lost by the seat, unanswered emails. 3 months to obtain access to my account by the net and know the balance. The advisor indicated on the site does not respond to emails or the phone.</v>
      </c>
    </row>
    <row r="227" ht="15.75" customHeight="1">
      <c r="A227" s="2">
        <v>1.0</v>
      </c>
      <c r="B227" s="2" t="s">
        <v>740</v>
      </c>
      <c r="C227" s="2" t="s">
        <v>741</v>
      </c>
      <c r="D227" s="2" t="s">
        <v>339</v>
      </c>
      <c r="E227" s="2" t="s">
        <v>45</v>
      </c>
      <c r="F227" s="2" t="s">
        <v>15</v>
      </c>
      <c r="G227" s="2" t="s">
        <v>742</v>
      </c>
      <c r="H227" s="2" t="s">
        <v>52</v>
      </c>
      <c r="I227" s="2" t="str">
        <f>IFERROR(__xludf.DUMMYFUNCTION("GOOGLETRANSLATE(C227,""fr"",""en"")"),"A disaster. Impossible to join such an employee who can inform you. The only surcharged number puts you after an endless expectation with an employee who is content to transmit your message. Yes, you read that right. It only transmits your message with a "&amp;"promise never required to be contacted. You receive contradictory letters ever signed. No line line to treat your case. Flee.")</f>
        <v>A disaster. Impossible to join such an employee who can inform you. The only surcharged number puts you after an endless expectation with an employee who is content to transmit your message. Yes, you read that right. It only transmits your message with a promise never required to be contacted. You receive contradictory letters ever signed. No line line to treat your case. Flee.</v>
      </c>
    </row>
    <row r="228" ht="15.75" customHeight="1">
      <c r="A228" s="2">
        <v>3.0</v>
      </c>
      <c r="B228" s="2" t="s">
        <v>743</v>
      </c>
      <c r="C228" s="2" t="s">
        <v>744</v>
      </c>
      <c r="D228" s="2" t="s">
        <v>39</v>
      </c>
      <c r="E228" s="2" t="s">
        <v>14</v>
      </c>
      <c r="F228" s="2" t="s">
        <v>15</v>
      </c>
      <c r="G228" s="2" t="s">
        <v>155</v>
      </c>
      <c r="H228" s="2" t="s">
        <v>101</v>
      </c>
      <c r="I228" s="2" t="str">
        <f>IFERROR(__xludf.DUMMYFUNCTION("GOOGLETRANSLATE(C228,""fr"",""en"")"),"It would be necessary to suck the franchises and the assistance in the event of a breakdown for even more attractive prices or I do not know if you do it prices on vehicles over 10 years old")</f>
        <v>It would be necessary to suck the franchises and the assistance in the event of a breakdown for even more attractive prices or I do not know if you do it prices on vehicles over 10 years old</v>
      </c>
    </row>
    <row r="229" ht="15.75" customHeight="1">
      <c r="A229" s="2">
        <v>2.0</v>
      </c>
      <c r="B229" s="2" t="s">
        <v>745</v>
      </c>
      <c r="C229" s="2" t="s">
        <v>746</v>
      </c>
      <c r="D229" s="2" t="s">
        <v>259</v>
      </c>
      <c r="E229" s="2" t="s">
        <v>50</v>
      </c>
      <c r="F229" s="2" t="s">
        <v>15</v>
      </c>
      <c r="G229" s="2" t="s">
        <v>747</v>
      </c>
      <c r="H229" s="2" t="s">
        <v>238</v>
      </c>
      <c r="I229" s="2" t="str">
        <f>IFERROR(__xludf.DUMMYFUNCTION("GOOGLETRANSLATE(C229,""fr"",""en"")"),"Following a water damage in a bathroom, the Placo has rotted behind earthenware and the fixing of the shower glue no longer holds then the paintings of the adjacent parts are to be redone. The assembly only takes into account the paintings? ?. Insurance n"&amp;"ot very serious to avoid.")</f>
        <v>Following a water damage in a bathroom, the Placo has rotted behind earthenware and the fixing of the shower glue no longer holds then the paintings of the adjacent parts are to be redone. The assembly only takes into account the paintings? ?. Insurance not very serious to avoid.</v>
      </c>
    </row>
    <row r="230" ht="15.75" customHeight="1">
      <c r="A230" s="2">
        <v>4.0</v>
      </c>
      <c r="B230" s="2" t="s">
        <v>748</v>
      </c>
      <c r="C230" s="2" t="s">
        <v>749</v>
      </c>
      <c r="D230" s="2" t="s">
        <v>39</v>
      </c>
      <c r="E230" s="2" t="s">
        <v>14</v>
      </c>
      <c r="F230" s="2" t="s">
        <v>15</v>
      </c>
      <c r="G230" s="2" t="s">
        <v>750</v>
      </c>
      <c r="H230" s="2" t="s">
        <v>84</v>
      </c>
      <c r="I230" s="2" t="str">
        <f>IFERROR(__xludf.DUMMYFUNCTION("GOOGLETRANSLATE(C230,""fr"",""en"")"),"Satisfied with service and prices
Simple practice and functional
Already ensured on an old vehicle and completely satisfied
I had no claim by the pass,")</f>
        <v>Satisfied with service and prices
Simple practice and functional
Already ensured on an old vehicle and completely satisfied
I had no claim by the pass,</v>
      </c>
    </row>
    <row r="231" ht="15.75" customHeight="1">
      <c r="A231" s="2">
        <v>3.0</v>
      </c>
      <c r="B231" s="2" t="s">
        <v>751</v>
      </c>
      <c r="C231" s="2" t="s">
        <v>752</v>
      </c>
      <c r="D231" s="2" t="s">
        <v>95</v>
      </c>
      <c r="E231" s="2" t="s">
        <v>96</v>
      </c>
      <c r="F231" s="2" t="s">
        <v>15</v>
      </c>
      <c r="G231" s="2" t="s">
        <v>753</v>
      </c>
      <c r="H231" s="2" t="s">
        <v>22</v>
      </c>
      <c r="I231" s="2" t="str">
        <f>IFERROR(__xludf.DUMMYFUNCTION("GOOGLETRANSLATE(C231,""fr"",""en"")"),"Retirement guaranteed contract subscribed in 1988 ... Continuation deceased mom at the end of October 2016 ... or 28 years ... Regulations of the rapid file. 1 telephone + online request with documents requested = payment to beneficiaries on December 3, 2"&amp;"016.")</f>
        <v>Retirement guaranteed contract subscribed in 1988 ... Continuation deceased mom at the end of October 2016 ... or 28 years ... Regulations of the rapid file. 1 telephone + online request with documents requested = payment to beneficiaries on December 3, 2016.</v>
      </c>
    </row>
    <row r="232" ht="15.75" customHeight="1">
      <c r="A232" s="2">
        <v>1.0</v>
      </c>
      <c r="B232" s="2" t="s">
        <v>754</v>
      </c>
      <c r="C232" s="2" t="s">
        <v>755</v>
      </c>
      <c r="D232" s="2" t="s">
        <v>25</v>
      </c>
      <c r="E232" s="2" t="s">
        <v>14</v>
      </c>
      <c r="F232" s="2" t="s">
        <v>15</v>
      </c>
      <c r="G232" s="2" t="s">
        <v>756</v>
      </c>
      <c r="H232" s="2" t="s">
        <v>325</v>
      </c>
      <c r="I232" s="2" t="str">
        <f>IFERROR(__xludf.DUMMYFUNCTION("GOOGLETRANSLATE(C232,""fr"",""en"")"),"No one I subscribed for a car that I had to buy but finally I bought another following a family drama I could not contact them until 15 days later .... and there they take me 15 Insurance of a car not purchased and keeps the costs Bravo and in addition th"&amp;"ey offer to make sure my new vehicle without counting that I have not yet received the reimbursement so I advise them to anyone ...")</f>
        <v>No one I subscribed for a car that I had to buy but finally I bought another following a family drama I could not contact them until 15 days later .... and there they take me 15 Insurance of a car not purchased and keeps the costs Bravo and in addition they offer to make sure my new vehicle without counting that I have not yet received the reimbursement so I advise them to anyone ...</v>
      </c>
    </row>
    <row r="233" ht="15.75" customHeight="1">
      <c r="A233" s="2">
        <v>1.0</v>
      </c>
      <c r="B233" s="2" t="s">
        <v>757</v>
      </c>
      <c r="C233" s="2" t="s">
        <v>758</v>
      </c>
      <c r="D233" s="2" t="s">
        <v>208</v>
      </c>
      <c r="E233" s="2" t="s">
        <v>14</v>
      </c>
      <c r="F233" s="2" t="s">
        <v>15</v>
      </c>
      <c r="G233" s="2" t="s">
        <v>756</v>
      </c>
      <c r="H233" s="2" t="s">
        <v>325</v>
      </c>
      <c r="I233" s="2" t="str">
        <f>IFERROR(__xludf.DUMMYFUNCTION("GOOGLETRANSLATE(C233,""fr"",""en"")"),"Loyalty - more than 10 years at the Matmut - does not seem to be an important criterion for this insurer.
“He who is at the heart is the member. ""Daniel Havis, president of the Matmut group = false ... at least incomplete:"" He who is at the heart is th"&amp;"e member of the member. »»")</f>
        <v>Loyalty - more than 10 years at the Matmut - does not seem to be an important criterion for this insurer.
“He who is at the heart is the member. "Daniel Havis, president of the Matmut group = false ... at least incomplete:" He who is at the heart is the member of the member. »»</v>
      </c>
    </row>
    <row r="234" ht="15.75" customHeight="1">
      <c r="A234" s="2">
        <v>5.0</v>
      </c>
      <c r="B234" s="2" t="s">
        <v>759</v>
      </c>
      <c r="C234" s="2" t="s">
        <v>760</v>
      </c>
      <c r="D234" s="2" t="s">
        <v>39</v>
      </c>
      <c r="E234" s="2" t="s">
        <v>14</v>
      </c>
      <c r="F234" s="2" t="s">
        <v>15</v>
      </c>
      <c r="G234" s="2" t="s">
        <v>761</v>
      </c>
      <c r="H234" s="2" t="s">
        <v>113</v>
      </c>
      <c r="I234" s="2" t="str">
        <f>IFERROR(__xludf.DUMMYFUNCTION("GOOGLETRANSLATE(C234,""fr"",""en"")"),"Very happy
Very good insurance not too expensive
I am very happy with your price thank you very much is one of the cheapest insurance thank you
")</f>
        <v>Very happy
Very good insurance not too expensive
I am very happy with your price thank you very much is one of the cheapest insurance thank you
</v>
      </c>
    </row>
    <row r="235" ht="15.75" customHeight="1">
      <c r="A235" s="2">
        <v>4.0</v>
      </c>
      <c r="B235" s="2" t="s">
        <v>762</v>
      </c>
      <c r="C235" s="2" t="s">
        <v>763</v>
      </c>
      <c r="D235" s="2" t="s">
        <v>25</v>
      </c>
      <c r="E235" s="2" t="s">
        <v>14</v>
      </c>
      <c r="F235" s="2" t="s">
        <v>15</v>
      </c>
      <c r="G235" s="2" t="s">
        <v>764</v>
      </c>
      <c r="H235" s="2" t="s">
        <v>27</v>
      </c>
      <c r="I235" s="2" t="str">
        <f>IFERROR(__xludf.DUMMYFUNCTION("GOOGLETRANSLATE(C235,""fr"",""en"")"),"I came to your home to benefit from the sponsorship. Your prices are competitive and my partner is satisfied with his current contract with you. Thank you for helping us")</f>
        <v>I came to your home to benefit from the sponsorship. Your prices are competitive and my partner is satisfied with his current contract with you. Thank you for helping us</v>
      </c>
    </row>
    <row r="236" ht="15.75" customHeight="1">
      <c r="A236" s="2">
        <v>5.0</v>
      </c>
      <c r="B236" s="2" t="s">
        <v>765</v>
      </c>
      <c r="C236" s="2" t="s">
        <v>766</v>
      </c>
      <c r="D236" s="2" t="s">
        <v>25</v>
      </c>
      <c r="E236" s="2" t="s">
        <v>14</v>
      </c>
      <c r="F236" s="2" t="s">
        <v>15</v>
      </c>
      <c r="G236" s="2" t="s">
        <v>767</v>
      </c>
      <c r="H236" s="2" t="s">
        <v>77</v>
      </c>
      <c r="I236" s="2" t="str">
        <f>IFERROR(__xludf.DUMMYFUNCTION("GOOGLETRANSLATE(C236,""fr"",""en"")"),"This is the first with the olive assurance. Until now we are going to say I am satisfied with the service, but to see during the moments when I would need them if they are just as available.")</f>
        <v>This is the first with the olive assurance. Until now we are going to say I am satisfied with the service, but to see during the moments when I would need them if they are just as available.</v>
      </c>
    </row>
    <row r="237" ht="15.75" customHeight="1">
      <c r="A237" s="2">
        <v>2.0</v>
      </c>
      <c r="B237" s="2" t="s">
        <v>768</v>
      </c>
      <c r="C237" s="2" t="s">
        <v>769</v>
      </c>
      <c r="D237" s="2" t="s">
        <v>770</v>
      </c>
      <c r="E237" s="2" t="s">
        <v>96</v>
      </c>
      <c r="F237" s="2" t="s">
        <v>15</v>
      </c>
      <c r="G237" s="2" t="s">
        <v>771</v>
      </c>
      <c r="H237" s="2" t="s">
        <v>543</v>
      </c>
      <c r="I237" s="2" t="str">
        <f>IFERROR(__xludf.DUMMYFUNCTION("GOOGLETRANSLATE(C237,""fr"",""en"")"),"Foreign tax resident I am in the process of making a partial takeover of my life insurance generalli via Boursorama: I had to do everything by mail ... it takes a lot of time ... I sent them the forms 5000 and 5002 filled by the FISC administration. They "&amp;"took 3 weeks to send them back to me I lost another week with the taxes here and the time for La Poste to return them ...
I am 5 weeks old and still nothing I am taken by deadlines to buy an apartment and I wonder if I will not have to make a relay loan "&amp;"which will generate costs I find that the mail procedure and too slow it is Too bad")</f>
        <v>Foreign tax resident I am in the process of making a partial takeover of my life insurance generalli via Boursorama: I had to do everything by mail ... it takes a lot of time ... I sent them the forms 5000 and 5002 filled by the FISC administration. They took 3 weeks to send them back to me I lost another week with the taxes here and the time for La Poste to return them ...
I am 5 weeks old and still nothing I am taken by deadlines to buy an apartment and I wonder if I will not have to make a relay loan which will generate costs I find that the mail procedure and too slow it is Too bad</v>
      </c>
    </row>
    <row r="238" ht="15.75" customHeight="1">
      <c r="A238" s="2">
        <v>4.0</v>
      </c>
      <c r="B238" s="2" t="s">
        <v>772</v>
      </c>
      <c r="C238" s="2" t="s">
        <v>773</v>
      </c>
      <c r="D238" s="2" t="s">
        <v>25</v>
      </c>
      <c r="E238" s="2" t="s">
        <v>14</v>
      </c>
      <c r="F238" s="2" t="s">
        <v>15</v>
      </c>
      <c r="G238" s="2" t="s">
        <v>774</v>
      </c>
      <c r="H238" s="2" t="s">
        <v>113</v>
      </c>
      <c r="I238" s="2" t="str">
        <f>IFERROR(__xludf.DUMMYFUNCTION("GOOGLETRANSLATE(C238,""fr"",""en"")"),"I am satisfied with the very pleasant and patient telephone service, if we have not understood it again without any concern I do not regret having signed my contract with the Olivier")</f>
        <v>I am satisfied with the very pleasant and patient telephone service, if we have not understood it again without any concern I do not regret having signed my contract with the Olivier</v>
      </c>
    </row>
    <row r="239" ht="15.75" customHeight="1">
      <c r="A239" s="2">
        <v>4.0</v>
      </c>
      <c r="B239" s="2" t="s">
        <v>775</v>
      </c>
      <c r="C239" s="2" t="s">
        <v>776</v>
      </c>
      <c r="D239" s="2" t="s">
        <v>35</v>
      </c>
      <c r="E239" s="2" t="s">
        <v>31</v>
      </c>
      <c r="F239" s="2" t="s">
        <v>15</v>
      </c>
      <c r="G239" s="2" t="s">
        <v>661</v>
      </c>
      <c r="H239" s="2" t="s">
        <v>17</v>
      </c>
      <c r="I239" s="2" t="str">
        <f>IFERROR(__xludf.DUMMYFUNCTION("GOOGLETRANSLATE(C239,""fr"",""en"")"),"I am satisfied with the service and the prices obtained on your site. Speed ​​of response and warm welcome on the phone. Person listening to questions.")</f>
        <v>I am satisfied with the service and the prices obtained on your site. Speed ​​of response and warm welcome on the phone. Person listening to questions.</v>
      </c>
    </row>
    <row r="240" ht="15.75" customHeight="1">
      <c r="A240" s="2">
        <v>5.0</v>
      </c>
      <c r="B240" s="2" t="s">
        <v>777</v>
      </c>
      <c r="C240" s="2" t="s">
        <v>778</v>
      </c>
      <c r="D240" s="2" t="s">
        <v>35</v>
      </c>
      <c r="E240" s="2" t="s">
        <v>31</v>
      </c>
      <c r="F240" s="2" t="s">
        <v>15</v>
      </c>
      <c r="G240" s="2" t="s">
        <v>779</v>
      </c>
      <c r="H240" s="2" t="s">
        <v>84</v>
      </c>
      <c r="I240" s="2" t="str">
        <f>IFERROR(__xludf.DUMMYFUNCTION("GOOGLETRANSLATE(C240,""fr"",""en"")"),"Bravo for the service as well as for prices. thank you")</f>
        <v>Bravo for the service as well as for prices. thank you</v>
      </c>
    </row>
    <row r="241" ht="15.75" customHeight="1">
      <c r="A241" s="2">
        <v>5.0</v>
      </c>
      <c r="B241" s="2" t="s">
        <v>780</v>
      </c>
      <c r="C241" s="2" t="s">
        <v>781</v>
      </c>
      <c r="D241" s="2" t="s">
        <v>39</v>
      </c>
      <c r="E241" s="2" t="s">
        <v>14</v>
      </c>
      <c r="F241" s="2" t="s">
        <v>15</v>
      </c>
      <c r="G241" s="2" t="s">
        <v>497</v>
      </c>
      <c r="H241" s="2" t="s">
        <v>101</v>
      </c>
      <c r="I241" s="2" t="str">
        <f>IFERROR(__xludf.DUMMYFUNCTION("GOOGLETRANSLATE(C241,""fr"",""en"")"),"I am satisfied with the services of directory The prices are good and the welcome too if I can recommend this insurance to my friends I would.")</f>
        <v>I am satisfied with the services of directory The prices are good and the welcome too if I can recommend this insurance to my friends I would.</v>
      </c>
    </row>
    <row r="242" ht="15.75" customHeight="1">
      <c r="A242" s="2">
        <v>1.0</v>
      </c>
      <c r="B242" s="2" t="s">
        <v>782</v>
      </c>
      <c r="C242" s="2" t="s">
        <v>783</v>
      </c>
      <c r="D242" s="2" t="s">
        <v>328</v>
      </c>
      <c r="E242" s="2" t="s">
        <v>96</v>
      </c>
      <c r="F242" s="2" t="s">
        <v>15</v>
      </c>
      <c r="G242" s="2" t="s">
        <v>784</v>
      </c>
      <c r="H242" s="2" t="s">
        <v>785</v>
      </c>
      <c r="I242" s="2" t="str">
        <f>IFERROR(__xludf.DUMMYFUNCTION("GOOGLETRANSLATE(C242,""fr"",""en"")"),"Hello,
I am currently arrested following a work accident since 08/11/19.
My hassle to start when I wanted to signal the disaster.
Still no advisor available according to the answering machine until I manage to solve this problem in December then I was "&amp;"able to send the supporting documents and a faith the supporting documents sent. immobilized at home by my doctor.
I can't wait to terminate my 2 contracts subscribed because I can no longer.")</f>
        <v>Hello,
I am currently arrested following a work accident since 08/11/19.
My hassle to start when I wanted to signal the disaster.
Still no advisor available according to the answering machine until I manage to solve this problem in December then I was able to send the supporting documents and a faith the supporting documents sent. immobilized at home by my doctor.
I can't wait to terminate my 2 contracts subscribed because I can no longer.</v>
      </c>
    </row>
    <row r="243" ht="15.75" customHeight="1">
      <c r="A243" s="2">
        <v>3.0</v>
      </c>
      <c r="B243" s="2" t="s">
        <v>786</v>
      </c>
      <c r="C243" s="2" t="s">
        <v>787</v>
      </c>
      <c r="D243" s="2" t="s">
        <v>39</v>
      </c>
      <c r="E243" s="2" t="s">
        <v>14</v>
      </c>
      <c r="F243" s="2" t="s">
        <v>15</v>
      </c>
      <c r="G243" s="2" t="s">
        <v>788</v>
      </c>
      <c r="H243" s="2" t="s">
        <v>202</v>
      </c>
      <c r="I243" s="2" t="str">
        <f>IFERROR(__xludf.DUMMYFUNCTION("GOOGLETRANSLATE(C243,""fr"",""en"")"),"I am satisfied with the service, very responsive.
I recommand it.
Very competitive price.
I am very happy with customer care.
         ")</f>
        <v>I am satisfied with the service, very responsive.
I recommand it.
Very competitive price.
I am very happy with customer care.
         </v>
      </c>
    </row>
    <row r="244" ht="15.75" customHeight="1">
      <c r="A244" s="2">
        <v>1.0</v>
      </c>
      <c r="B244" s="2" t="s">
        <v>789</v>
      </c>
      <c r="C244" s="2" t="s">
        <v>790</v>
      </c>
      <c r="D244" s="2" t="s">
        <v>137</v>
      </c>
      <c r="E244" s="2" t="s">
        <v>45</v>
      </c>
      <c r="F244" s="2" t="s">
        <v>15</v>
      </c>
      <c r="G244" s="2" t="s">
        <v>791</v>
      </c>
      <c r="H244" s="2" t="s">
        <v>52</v>
      </c>
      <c r="I244" s="2" t="str">
        <f>IFERROR(__xludf.DUMMYFUNCTION("GOOGLETRANSLATE(C244,""fr"",""en"")"),"I have been calling for 1 week to make an urgent insurance Tranfert and have to remind me of it but still nothing for 1 week that I call in vain")</f>
        <v>I have been calling for 1 week to make an urgent insurance Tranfert and have to remind me of it but still nothing for 1 week that I call in vain</v>
      </c>
    </row>
    <row r="245" ht="15.75" customHeight="1">
      <c r="A245" s="2">
        <v>1.0</v>
      </c>
      <c r="B245" s="2" t="s">
        <v>792</v>
      </c>
      <c r="C245" s="2" t="s">
        <v>793</v>
      </c>
      <c r="D245" s="2" t="s">
        <v>794</v>
      </c>
      <c r="E245" s="2" t="s">
        <v>31</v>
      </c>
      <c r="F245" s="2" t="s">
        <v>15</v>
      </c>
      <c r="G245" s="2" t="s">
        <v>795</v>
      </c>
      <c r="H245" s="2" t="s">
        <v>77</v>
      </c>
      <c r="I245" s="2" t="str">
        <f>IFERROR(__xludf.DUMMYFUNCTION("GOOGLETRANSLATE(C245,""fr"",""en"")"),"Be careful because this insurance company is no longer at all what it was: no one answers the phone after several calls where it sounds for an hour.
No response to emails either. In the event of a claim, including when you are 100% not responsible, you f"&amp;"ind yourself on your own.
Do not go!")</f>
        <v>Be careful because this insurance company is no longer at all what it was: no one answers the phone after several calls where it sounds for an hour.
No response to emails either. In the event of a claim, including when you are 100% not responsible, you find yourself on your own.
Do not go!</v>
      </c>
    </row>
    <row r="246" ht="15.75" customHeight="1">
      <c r="A246" s="2">
        <v>1.0</v>
      </c>
      <c r="B246" s="2" t="s">
        <v>796</v>
      </c>
      <c r="C246" s="2" t="s">
        <v>797</v>
      </c>
      <c r="D246" s="2" t="s">
        <v>25</v>
      </c>
      <c r="E246" s="2" t="s">
        <v>14</v>
      </c>
      <c r="F246" s="2" t="s">
        <v>15</v>
      </c>
      <c r="G246" s="2" t="s">
        <v>170</v>
      </c>
      <c r="H246" s="2" t="s">
        <v>109</v>
      </c>
      <c r="I246" s="2" t="str">
        <f>IFERROR(__xludf.DUMMYFUNCTION("GOOGLETRANSLATE(C246,""fr"",""en"")"),"The olive tree is an assurance to be avoided absolutely.
Indeed it attracts you with prices which first seem attractive to you but which over the years increase regularly.
I have 50% bonus, my car has since 2016 have been a hyundai ioniq hybrid (3CV) my"&amp;" annual contributions for all -risk insurance was: 2016/403 €, 2017/447 €, 2018/515 €, 2019/632 € , 2020/607 €. I just left the olive tree for Axa where I took all -risk insurance my annual subscription is € 375 and I have better coverage (less deductible"&amp;").
The drop of water that made me left the olive tree: January 3, 2021 during a maneuver I scraped the right side on a rock which put the sheet naked and removed the zinc protection of the sheet by Place, and wanting to leave I rubbed the left side on tu"&amp;"bular protection of the lamp. After declaration of the accident, the expert spent 12 days later and considered that these were 2 accidents (at the limit why not) but he estimated that the state of corrosion was previous. I received the expert report a mon"&amp;"th later after claiming it several times.
The olive tree refused to take charge of the work on the implied reason that I had made a false declaration on the date, yet the accident really took place as declared. On the other hand even if the accident woul"&amp;"d have taken place a few days before, no third party is in question, I am the sole responsible and I am assured of all risks, what damage would have suffered the olive tree?
Not wanting to waste my time, money, and take the lead in expertise and legal pr"&amp;"ocedures, I made the repairs at my expense and changed insurance.
I hope that my experience will avoid future insured people to make a bad choice and that by losing potential customers the savings made by the olive tree on repairs will melt like snow in "&amp;"the sun.
")</f>
        <v>The olive tree is an assurance to be avoided absolutely.
Indeed it attracts you with prices which first seem attractive to you but which over the years increase regularly.
I have 50% bonus, my car has since 2016 have been a hyundai ioniq hybrid (3CV) my annual contributions for all -risk insurance was: 2016/403 €, 2017/447 €, 2018/515 €, 2019/632 € , 2020/607 €. I just left the olive tree for Axa where I took all -risk insurance my annual subscription is € 375 and I have better coverage (less deductible).
The drop of water that made me left the olive tree: January 3, 2021 during a maneuver I scraped the right side on a rock which put the sheet naked and removed the zinc protection of the sheet by Place, and wanting to leave I rubbed the left side on tubular protection of the lamp. After declaration of the accident, the expert spent 12 days later and considered that these were 2 accidents (at the limit why not) but he estimated that the state of corrosion was previous. I received the expert report a month later after claiming it several times.
The olive tree refused to take charge of the work on the implied reason that I had made a false declaration on the date, yet the accident really took place as declared. On the other hand even if the accident would have taken place a few days before, no third party is in question, I am the sole responsible and I am assured of all risks, what damage would have suffered the olive tree?
Not wanting to waste my time, money, and take the lead in expertise and legal procedures, I made the repairs at my expense and changed insurance.
I hope that my experience will avoid future insured people to make a bad choice and that by losing potential customers the savings made by the olive tree on repairs will melt like snow in the sun.
</v>
      </c>
    </row>
    <row r="247" ht="15.75" customHeight="1">
      <c r="A247" s="2">
        <v>4.0</v>
      </c>
      <c r="B247" s="2" t="s">
        <v>798</v>
      </c>
      <c r="C247" s="2" t="s">
        <v>799</v>
      </c>
      <c r="D247" s="2" t="s">
        <v>107</v>
      </c>
      <c r="E247" s="2" t="s">
        <v>45</v>
      </c>
      <c r="F247" s="2" t="s">
        <v>15</v>
      </c>
      <c r="G247" s="2" t="s">
        <v>800</v>
      </c>
      <c r="H247" s="2" t="s">
        <v>27</v>
      </c>
      <c r="I247" s="2" t="str">
        <f>IFERROR(__xludf.DUMMYFUNCTION("GOOGLETRANSLATE(C247,""fr"",""en"")"),"Very kind interlocutor listening and very professional
Always listening and understood my request
Bravo Mademoiselle
thanks again
And good continuation.")</f>
        <v>Very kind interlocutor listening and very professional
Always listening and understood my request
Bravo Mademoiselle
thanks again
And good continuation.</v>
      </c>
    </row>
    <row r="248" ht="15.75" customHeight="1">
      <c r="A248" s="2">
        <v>3.0</v>
      </c>
      <c r="B248" s="2" t="s">
        <v>801</v>
      </c>
      <c r="C248" s="2" t="s">
        <v>802</v>
      </c>
      <c r="D248" s="2" t="s">
        <v>39</v>
      </c>
      <c r="E248" s="2" t="s">
        <v>14</v>
      </c>
      <c r="F248" s="2" t="s">
        <v>15</v>
      </c>
      <c r="G248" s="2" t="s">
        <v>36</v>
      </c>
      <c r="H248" s="2" t="s">
        <v>17</v>
      </c>
      <c r="I248" s="2" t="str">
        <f>IFERROR(__xludf.DUMMYFUNCTION("GOOGLETRANSLATE(C248,""fr"",""en"")"),"Simple and quick, practical, to be seen later for satisfaction,
The only downside would be the lack of a natural person, it is easier to ask for information")</f>
        <v>Simple and quick, practical, to be seen later for satisfaction,
The only downside would be the lack of a natural person, it is easier to ask for information</v>
      </c>
    </row>
    <row r="249" ht="15.75" customHeight="1">
      <c r="A249" s="2">
        <v>4.0</v>
      </c>
      <c r="B249" s="2" t="s">
        <v>803</v>
      </c>
      <c r="C249" s="2" t="s">
        <v>804</v>
      </c>
      <c r="D249" s="2" t="s">
        <v>25</v>
      </c>
      <c r="E249" s="2" t="s">
        <v>14</v>
      </c>
      <c r="F249" s="2" t="s">
        <v>15</v>
      </c>
      <c r="G249" s="2" t="s">
        <v>60</v>
      </c>
      <c r="H249" s="2" t="s">
        <v>17</v>
      </c>
      <c r="I249" s="2" t="str">
        <f>IFERROR(__xludf.DUMMYFUNCTION("GOOGLETRANSLATE(C249,""fr"",""en"")"),"Very well and fast efficient I will recommend you to close customer service perfect a big thank you to anais for its relativity cdt well to you ....")</f>
        <v>Very well and fast efficient I will recommend you to close customer service perfect a big thank you to anais for its relativity cdt well to you ....</v>
      </c>
    </row>
    <row r="250" ht="15.75" customHeight="1">
      <c r="A250" s="2">
        <v>1.0</v>
      </c>
      <c r="B250" s="2" t="s">
        <v>805</v>
      </c>
      <c r="C250" s="2" t="s">
        <v>806</v>
      </c>
      <c r="D250" s="2" t="s">
        <v>398</v>
      </c>
      <c r="E250" s="2" t="s">
        <v>45</v>
      </c>
      <c r="F250" s="2" t="s">
        <v>15</v>
      </c>
      <c r="G250" s="2" t="s">
        <v>807</v>
      </c>
      <c r="H250" s="2" t="s">
        <v>594</v>
      </c>
      <c r="I250" s="2" t="str">
        <f>IFERROR(__xludf.DUMMYFUNCTION("GOOGLETRANSLATE(C250,""fr"",""en"")"),"Mutual which radiates its 90 -year -old customers without notice, without explanation and which takes more than a month to send the certificate of radiation despite repeated requests.")</f>
        <v>Mutual which radiates its 90 -year -old customers without notice, without explanation and which takes more than a month to send the certificate of radiation despite repeated requests.</v>
      </c>
    </row>
    <row r="251" ht="15.75" customHeight="1">
      <c r="A251" s="2">
        <v>3.0</v>
      </c>
      <c r="B251" s="2" t="s">
        <v>808</v>
      </c>
      <c r="C251" s="2" t="s">
        <v>809</v>
      </c>
      <c r="D251" s="2" t="s">
        <v>162</v>
      </c>
      <c r="E251" s="2" t="s">
        <v>45</v>
      </c>
      <c r="F251" s="2" t="s">
        <v>15</v>
      </c>
      <c r="G251" s="2" t="s">
        <v>810</v>
      </c>
      <c r="H251" s="2" t="s">
        <v>249</v>
      </c>
      <c r="I251" s="2" t="str">
        <f>IFERROR(__xludf.DUMMYFUNCTION("GOOGLETRANSLATE(C251,""fr"",""en"")"),"Having asked them for information about my mutual card, Erika kindly returned me a replacement card while waiting to have the final. Good listening and good service.")</f>
        <v>Having asked them for information about my mutual card, Erika kindly returned me a replacement card while waiting to have the final. Good listening and good service.</v>
      </c>
    </row>
    <row r="252" ht="15.75" customHeight="1">
      <c r="A252" s="2">
        <v>1.0</v>
      </c>
      <c r="B252" s="2" t="s">
        <v>811</v>
      </c>
      <c r="C252" s="2" t="s">
        <v>812</v>
      </c>
      <c r="D252" s="2" t="s">
        <v>67</v>
      </c>
      <c r="E252" s="2" t="s">
        <v>50</v>
      </c>
      <c r="F252" s="2" t="s">
        <v>15</v>
      </c>
      <c r="G252" s="2" t="s">
        <v>813</v>
      </c>
      <c r="H252" s="2" t="s">
        <v>101</v>
      </c>
      <c r="I252" s="2" t="str">
        <f>IFERROR(__xludf.DUMMYFUNCTION("GOOGLETRANSLATE(C252,""fr"",""en"")"),"My mom is at GMF while I am at another insurer. By comparing, I find that the GMF accompanies Mamaman very badly as a victim of damage. On the other hand, it is very active for the
Solicit when it comes to making him deposit money to feed life insurance "&amp;"sold by the GMF.")</f>
        <v>My mom is at GMF while I am at another insurer. By comparing, I find that the GMF accompanies Mamaman very badly as a victim of damage. On the other hand, it is very active for the
Solicit when it comes to making him deposit money to feed life insurance sold by the GMF.</v>
      </c>
    </row>
    <row r="253" ht="15.75" customHeight="1">
      <c r="A253" s="2">
        <v>3.0</v>
      </c>
      <c r="B253" s="2" t="s">
        <v>814</v>
      </c>
      <c r="C253" s="2" t="s">
        <v>815</v>
      </c>
      <c r="D253" s="2" t="s">
        <v>123</v>
      </c>
      <c r="E253" s="2" t="s">
        <v>233</v>
      </c>
      <c r="F253" s="2" t="s">
        <v>15</v>
      </c>
      <c r="G253" s="2" t="s">
        <v>816</v>
      </c>
      <c r="H253" s="2" t="s">
        <v>325</v>
      </c>
      <c r="I253" s="2" t="str">
        <f>IFERROR(__xludf.DUMMYFUNCTION("GOOGLETRANSLATE(C253,""fr"",""en"")"),"Hello, After a phone call to the Pau agency, for information (work stopper) There is a contract for my employer (2004) but here, my name is not affiliated with this one ( Especially since I have been contributing since my entry in 2003). I would have thro"&amp;"ugh you, a confirmation of this situation and how to unlock it to continue my request (I had already sent a request from my contract to my employer, without response) Thank you in advance for your response")</f>
        <v>Hello, After a phone call to the Pau agency, for information (work stopper) There is a contract for my employer (2004) but here, my name is not affiliated with this one ( Especially since I have been contributing since my entry in 2003). I would have through you, a confirmation of this situation and how to unlock it to continue my request (I had already sent a request from my contract to my employer, without response) Thank you in advance for your response</v>
      </c>
    </row>
    <row r="254" ht="15.75" customHeight="1">
      <c r="A254" s="2">
        <v>5.0</v>
      </c>
      <c r="B254" s="2" t="s">
        <v>817</v>
      </c>
      <c r="C254" s="2" t="s">
        <v>818</v>
      </c>
      <c r="D254" s="2" t="s">
        <v>137</v>
      </c>
      <c r="E254" s="2" t="s">
        <v>45</v>
      </c>
      <c r="F254" s="2" t="s">
        <v>15</v>
      </c>
      <c r="G254" s="2" t="s">
        <v>227</v>
      </c>
      <c r="H254" s="2" t="s">
        <v>120</v>
      </c>
      <c r="I254" s="2" t="str">
        <f>IFERROR(__xludf.DUMMYFUNCTION("GOOGLETRANSLATE(C254,""fr"",""en"")"),"Very satisfied with your offer at the price levels offered and speed of response and reimbursement and the speed of subscription of files and the telephone recall")</f>
        <v>Very satisfied with your offer at the price levels offered and speed of response and reimbursement and the speed of subscription of files and the telephone recall</v>
      </c>
    </row>
    <row r="255" ht="15.75" customHeight="1">
      <c r="A255" s="2">
        <v>1.0</v>
      </c>
      <c r="B255" s="2" t="s">
        <v>819</v>
      </c>
      <c r="C255" s="2" t="s">
        <v>820</v>
      </c>
      <c r="D255" s="2" t="s">
        <v>794</v>
      </c>
      <c r="E255" s="2" t="s">
        <v>31</v>
      </c>
      <c r="F255" s="2" t="s">
        <v>15</v>
      </c>
      <c r="G255" s="2" t="s">
        <v>821</v>
      </c>
      <c r="H255" s="2" t="s">
        <v>202</v>
      </c>
      <c r="I255" s="2" t="str">
        <f>IFERROR(__xludf.DUMMYFUNCTION("GOOGLETRANSLATE(C255,""fr"",""en"")"),"Impossible to contact my agency for more than 3 months, not even a message on the site to apologize for your inability to respond to your members. I am systematically oriented on my account, then when I am on my account, I am oriented towards the call in "&amp;"agency, then when I call, I am reoriented towards my account.
It is bullshit...
On the other hand, to take the contributions 100% while my vehicle has not driven for 4 months, there are 0 problems.
Everything is taken in time (0 discomfort caused ...) "&amp;"like what, it has a good back this covid !!!
A disappointed member!")</f>
        <v>Impossible to contact my agency for more than 3 months, not even a message on the site to apologize for your inability to respond to your members. I am systematically oriented on my account, then when I am on my account, I am oriented towards the call in agency, then when I call, I am reoriented towards my account.
It is bullshit...
On the other hand, to take the contributions 100% while my vehicle has not driven for 4 months, there are 0 problems.
Everything is taken in time (0 discomfort caused ...) like what, it has a good back this covid !!!
A disappointed member!</v>
      </c>
    </row>
    <row r="256" ht="15.75" customHeight="1">
      <c r="A256" s="2">
        <v>4.0</v>
      </c>
      <c r="B256" s="2" t="s">
        <v>822</v>
      </c>
      <c r="C256" s="2" t="s">
        <v>823</v>
      </c>
      <c r="D256" s="2" t="s">
        <v>25</v>
      </c>
      <c r="E256" s="2" t="s">
        <v>14</v>
      </c>
      <c r="F256" s="2" t="s">
        <v>15</v>
      </c>
      <c r="G256" s="2" t="s">
        <v>824</v>
      </c>
      <c r="H256" s="2" t="s">
        <v>120</v>
      </c>
      <c r="I256" s="2" t="str">
        <f>IFERROR(__xludf.DUMMYFUNCTION("GOOGLETRANSLATE(C256,""fr"",""en"")"),"insurance given for the cheapest by comparators ...... See the use
Only regret having to pay in addition for the 0 km assistance and the limitation of the towable weight")</f>
        <v>insurance given for the cheapest by comparators ...... See the use
Only regret having to pay in addition for the 0 km assistance and the limitation of the towable weight</v>
      </c>
    </row>
    <row r="257" ht="15.75" customHeight="1">
      <c r="A257" s="2">
        <v>1.0</v>
      </c>
      <c r="B257" s="2" t="s">
        <v>825</v>
      </c>
      <c r="C257" s="2" t="s">
        <v>826</v>
      </c>
      <c r="D257" s="2" t="s">
        <v>398</v>
      </c>
      <c r="E257" s="2" t="s">
        <v>45</v>
      </c>
      <c r="F257" s="2" t="s">
        <v>15</v>
      </c>
      <c r="G257" s="2" t="s">
        <v>827</v>
      </c>
      <c r="H257" s="2" t="s">
        <v>504</v>
      </c>
      <c r="I257" s="2" t="str">
        <f>IFERROR(__xludf.DUMMYFUNCTION("GOOGLETRANSLATE(C257,""fr"",""en"")"),"Following the appearance of the law on business mutuals, I terminated my individual mutual insurance contract in Harmonie. Since then, Harmonie has taken 2 euros per month for a service from which I do not have the utility. The termination is carried out "&amp;"once a year only per registered letter !! No other use possible. Mutual: telephony !!")</f>
        <v>Following the appearance of the law on business mutuals, I terminated my individual mutual insurance contract in Harmonie. Since then, Harmonie has taken 2 euros per month for a service from which I do not have the utility. The termination is carried out once a year only per registered letter !! No other use possible. Mutual: telephony !!</v>
      </c>
    </row>
    <row r="258" ht="15.75" customHeight="1">
      <c r="A258" s="2">
        <v>2.0</v>
      </c>
      <c r="B258" s="2" t="s">
        <v>828</v>
      </c>
      <c r="C258" s="2" t="s">
        <v>829</v>
      </c>
      <c r="D258" s="2" t="s">
        <v>466</v>
      </c>
      <c r="E258" s="2" t="s">
        <v>96</v>
      </c>
      <c r="F258" s="2" t="s">
        <v>15</v>
      </c>
      <c r="G258" s="2" t="s">
        <v>423</v>
      </c>
      <c r="H258" s="2" t="s">
        <v>424</v>
      </c>
      <c r="I258" s="2" t="str">
        <f>IFERROR(__xludf.DUMMYFUNCTION("GOOGLETRANSLATE(C258,""fr"",""en"")"),"To flee!! More than 3 weeks to process a file, it is always necessary to ask them for a refund. Strongly the end of my contract. I advise against .")</f>
        <v>To flee!! More than 3 weeks to process a file, it is always necessary to ask them for a refund. Strongly the end of my contract. I advise against .</v>
      </c>
    </row>
    <row r="259" ht="15.75" customHeight="1">
      <c r="A259" s="2">
        <v>1.0</v>
      </c>
      <c r="B259" s="2" t="s">
        <v>830</v>
      </c>
      <c r="C259" s="2" t="s">
        <v>831</v>
      </c>
      <c r="D259" s="2" t="s">
        <v>391</v>
      </c>
      <c r="E259" s="2" t="s">
        <v>347</v>
      </c>
      <c r="F259" s="2" t="s">
        <v>15</v>
      </c>
      <c r="G259" s="2" t="s">
        <v>832</v>
      </c>
      <c r="H259" s="2" t="s">
        <v>212</v>
      </c>
      <c r="I259" s="2" t="str">
        <f>IFERROR(__xludf.DUMMYFUNCTION("GOOGLETRANSLATE(C259,""fr"",""en"")"),"The prices increase without being notified and for anything ... We systematically return the reimbursement sheets because they always lack something. Really like not to reimburse but to tax us no worries! I do not recommend this insurance at all")</f>
        <v>The prices increase without being notified and for anything ... We systematically return the reimbursement sheets because they always lack something. Really like not to reimburse but to tax us no worries! I do not recommend this insurance at all</v>
      </c>
    </row>
    <row r="260" ht="15.75" customHeight="1">
      <c r="A260" s="2">
        <v>4.0</v>
      </c>
      <c r="B260" s="2" t="s">
        <v>833</v>
      </c>
      <c r="C260" s="2" t="s">
        <v>834</v>
      </c>
      <c r="D260" s="2" t="s">
        <v>25</v>
      </c>
      <c r="E260" s="2" t="s">
        <v>14</v>
      </c>
      <c r="F260" s="2" t="s">
        <v>15</v>
      </c>
      <c r="G260" s="2" t="s">
        <v>348</v>
      </c>
      <c r="H260" s="2" t="s">
        <v>77</v>
      </c>
      <c r="I260" s="2" t="str">
        <f>IFERROR(__xludf.DUMMYFUNCTION("GOOGLETRANSLATE(C260,""fr"",""en"")"),"Very satisfied, my advice is shown very clear on the products. However, thank you for offering a deductible buyback 0 € and especially a body incapacity rate from 0%")</f>
        <v>Very satisfied, my advice is shown very clear on the products. However, thank you for offering a deductible buyback 0 € and especially a body incapacity rate from 0%</v>
      </c>
    </row>
    <row r="261" ht="15.75" customHeight="1">
      <c r="A261" s="2">
        <v>3.0</v>
      </c>
      <c r="B261" s="2" t="s">
        <v>835</v>
      </c>
      <c r="C261" s="2" t="s">
        <v>836</v>
      </c>
      <c r="D261" s="2" t="s">
        <v>39</v>
      </c>
      <c r="E261" s="2" t="s">
        <v>14</v>
      </c>
      <c r="F261" s="2" t="s">
        <v>15</v>
      </c>
      <c r="G261" s="2" t="s">
        <v>837</v>
      </c>
      <c r="H261" s="2" t="s">
        <v>84</v>
      </c>
      <c r="I261" s="2" t="str">
        <f>IFERROR(__xludf.DUMMYFUNCTION("GOOGLETRANSLATE(C261,""fr"",""en"")"),"I am satisfied with simple, practical and fast online registration
The prices suit me and the promotion with showroomprive convinced me to change my insurance
")</f>
        <v>I am satisfied with simple, practical and fast online registration
The prices suit me and the promotion with showroomprive convinced me to change my insurance
</v>
      </c>
    </row>
    <row r="262" ht="15.75" customHeight="1">
      <c r="A262" s="2">
        <v>1.0</v>
      </c>
      <c r="B262" s="2" t="s">
        <v>838</v>
      </c>
      <c r="C262" s="2" t="s">
        <v>839</v>
      </c>
      <c r="D262" s="2" t="s">
        <v>39</v>
      </c>
      <c r="E262" s="2" t="s">
        <v>14</v>
      </c>
      <c r="F262" s="2" t="s">
        <v>15</v>
      </c>
      <c r="G262" s="2" t="s">
        <v>840</v>
      </c>
      <c r="H262" s="2" t="s">
        <v>785</v>
      </c>
      <c r="I262" s="2" t="str">
        <f>IFERROR(__xludf.DUMMYFUNCTION("GOOGLETRANSLATE(C262,""fr"",""en"")"),"I have been a customer for Direct Insurance for 3 years for car insurance. They all do to activate a customer with an attractive call price. But then they increase their prices during renewal without realizing. For example, for my Chevrolet Captiva, these"&amp;" are the prices over the last 3 years: 2018: 579 euros, 2019: 671 euros 2020: 711 euros. When I try to call customer service, the latter does not answer calls. I have called several days by using several time slots. I stayed up to 18 min by listening to t"&amp;"he messaging and waiting for an advisor to win so that in the end I apologize for not being able to answer me and ask me to recall later. It is an insurance that must be avoided. I think the state must intervene by what they abuse.")</f>
        <v>I have been a customer for Direct Insurance for 3 years for car insurance. They all do to activate a customer with an attractive call price. But then they increase their prices during renewal without realizing. For example, for my Chevrolet Captiva, these are the prices over the last 3 years: 2018: 579 euros, 2019: 671 euros 2020: 711 euros. When I try to call customer service, the latter does not answer calls. I have called several days by using several time slots. I stayed up to 18 min by listening to the messaging and waiting for an advisor to win so that in the end I apologize for not being able to answer me and ask me to recall later. It is an insurance that must be avoided. I think the state must intervene by what they abuse.</v>
      </c>
    </row>
    <row r="263" ht="15.75" customHeight="1">
      <c r="A263" s="2">
        <v>2.0</v>
      </c>
      <c r="B263" s="2" t="s">
        <v>841</v>
      </c>
      <c r="C263" s="2" t="s">
        <v>842</v>
      </c>
      <c r="D263" s="2" t="s">
        <v>44</v>
      </c>
      <c r="E263" s="2" t="s">
        <v>45</v>
      </c>
      <c r="F263" s="2" t="s">
        <v>15</v>
      </c>
      <c r="G263" s="2" t="s">
        <v>843</v>
      </c>
      <c r="H263" s="2" t="s">
        <v>424</v>
      </c>
      <c r="I263" s="2" t="str">
        <f>IFERROR(__xludf.DUMMYFUNCTION("GOOGLETRANSLATE(C263,""fr"",""en"")"),"Newly insured with this mutual insurance company (since February 1, 2021) I have not yet had any answer following my calls and my call requests !!!
It promises for the future!
I regret a lot of having changed mutual!")</f>
        <v>Newly insured with this mutual insurance company (since February 1, 2021) I have not yet had any answer following my calls and my call requests !!!
It promises for the future!
I regret a lot of having changed mutual!</v>
      </c>
    </row>
    <row r="264" ht="15.75" customHeight="1">
      <c r="A264" s="2">
        <v>3.0</v>
      </c>
      <c r="B264" s="2" t="s">
        <v>844</v>
      </c>
      <c r="C264" s="2" t="s">
        <v>845</v>
      </c>
      <c r="D264" s="2" t="s">
        <v>731</v>
      </c>
      <c r="E264" s="2" t="s">
        <v>233</v>
      </c>
      <c r="F264" s="2" t="s">
        <v>15</v>
      </c>
      <c r="G264" s="2" t="s">
        <v>846</v>
      </c>
      <c r="H264" s="2" t="s">
        <v>847</v>
      </c>
      <c r="I264" s="2" t="str">
        <f>IFERROR(__xludf.DUMMYFUNCTION("GOOGLETRANSLATE(C264,""fr"",""en"")"),"Pure capital retention, the cross and the banner to recover them. The funeral pumps refuse to send their invoice to CNP. Everything is done to delay the release of funds. The documents are distilled. The contract provided for administrative assistance, it"&amp;" is a Kafkai adventure that we have known. The agency of the Savings Caisse is all at the end.")</f>
        <v>Pure capital retention, the cross and the banner to recover them. The funeral pumps refuse to send their invoice to CNP. Everything is done to delay the release of funds. The documents are distilled. The contract provided for administrative assistance, it is a Kafkai adventure that we have known. The agency of the Savings Caisse is all at the end.</v>
      </c>
    </row>
    <row r="265" ht="15.75" customHeight="1">
      <c r="A265" s="2">
        <v>5.0</v>
      </c>
      <c r="B265" s="2" t="s">
        <v>848</v>
      </c>
      <c r="C265" s="2" t="s">
        <v>849</v>
      </c>
      <c r="D265" s="2" t="s">
        <v>25</v>
      </c>
      <c r="E265" s="2" t="s">
        <v>14</v>
      </c>
      <c r="F265" s="2" t="s">
        <v>15</v>
      </c>
      <c r="G265" s="2" t="s">
        <v>850</v>
      </c>
      <c r="H265" s="2" t="s">
        <v>84</v>
      </c>
      <c r="I265" s="2" t="str">
        <f>IFERROR(__xludf.DUMMYFUNCTION("GOOGLETRANSLATE(C265,""fr"",""en"")"),"Perfect thank you very much I am very happy to have subscribed the telephone advisor was perfect thank you again to the Olivir Insurance You are a very good team")</f>
        <v>Perfect thank you very much I am very happy to have subscribed the telephone advisor was perfect thank you again to the Olivir Insurance You are a very good team</v>
      </c>
    </row>
    <row r="266" ht="15.75" customHeight="1">
      <c r="A266" s="2">
        <v>2.0</v>
      </c>
      <c r="B266" s="2" t="s">
        <v>851</v>
      </c>
      <c r="C266" s="2" t="s">
        <v>852</v>
      </c>
      <c r="D266" s="2" t="s">
        <v>25</v>
      </c>
      <c r="E266" s="2" t="s">
        <v>14</v>
      </c>
      <c r="F266" s="2" t="s">
        <v>15</v>
      </c>
      <c r="G266" s="2" t="s">
        <v>853</v>
      </c>
      <c r="H266" s="2" t="s">
        <v>77</v>
      </c>
      <c r="I266" s="2" t="str">
        <f>IFERROR(__xludf.DUMMYFUNCTION("GOOGLETRANSLATE(C266,""fr"",""en"")"),"The average prices but satisfied service, I would like to have an attractive price that is not so high, in any case thank you for your availability and I hope that I will not be disappointed. Cordially.")</f>
        <v>The average prices but satisfied service, I would like to have an attractive price that is not so high, in any case thank you for your availability and I hope that I will not be disappointed. Cordially.</v>
      </c>
    </row>
    <row r="267" ht="15.75" customHeight="1">
      <c r="A267" s="2">
        <v>5.0</v>
      </c>
      <c r="B267" s="2" t="s">
        <v>854</v>
      </c>
      <c r="C267" s="2" t="s">
        <v>855</v>
      </c>
      <c r="D267" s="2" t="s">
        <v>87</v>
      </c>
      <c r="E267" s="2" t="s">
        <v>14</v>
      </c>
      <c r="F267" s="2" t="s">
        <v>15</v>
      </c>
      <c r="G267" s="2" t="s">
        <v>856</v>
      </c>
      <c r="H267" s="2" t="s">
        <v>857</v>
      </c>
      <c r="I267" s="2" t="str">
        <f>IFERROR(__xludf.DUMMYFUNCTION("GOOGLETRANSLATE(C267,""fr"",""en"")"),"I have subscribed to this insurance thanks to an insurance comparator. It made me save several hundred euros. Everything went well for online subscription. In less than a week I obtained my green card they are very responsive and attentive")</f>
        <v>I have subscribed to this insurance thanks to an insurance comparator. It made me save several hundred euros. Everything went well for online subscription. In less than a week I obtained my green card they are very responsive and attentive</v>
      </c>
    </row>
    <row r="268" ht="15.75" customHeight="1">
      <c r="A268" s="2">
        <v>2.0</v>
      </c>
      <c r="B268" s="2" t="s">
        <v>858</v>
      </c>
      <c r="C268" s="2" t="s">
        <v>859</v>
      </c>
      <c r="D268" s="2" t="s">
        <v>39</v>
      </c>
      <c r="E268" s="2" t="s">
        <v>14</v>
      </c>
      <c r="F268" s="2" t="s">
        <v>15</v>
      </c>
      <c r="G268" s="2" t="s">
        <v>475</v>
      </c>
      <c r="H268" s="2" t="s">
        <v>476</v>
      </c>
      <c r="I268" s="2" t="str">
        <f>IFERROR(__xludf.DUMMYFUNCTION("GOOGLETRANSLATE(C268,""fr"",""en"")"),"RUN AWAY!!!
So at the beginning everything is going well, they answer fairly quickly (5/10min on the phone for quotes, information ...)
But if you have the misfortune to wait for a refund following a repair, you have to be patient. Indeed, when you comp"&amp;"ose the claims management number on 0970808001, you wait at least 45 min !!! Yes yes 45 minutes !! And for ultimately you want questions to which you have already answered several times in the previous calls, and tell you that the refund will be made soon"&amp;". Today it's been 1 and a half months and still no refund ... I closed this file with them and I leave them. This is the way they try to save time before reimbursing the funds.
")</f>
        <v>RUN AWAY!!!
So at the beginning everything is going well, they answer fairly quickly (5/10min on the phone for quotes, information ...)
But if you have the misfortune to wait for a refund following a repair, you have to be patient. Indeed, when you compose the claims management number on 0970808001, you wait at least 45 min !!! Yes yes 45 minutes !! And for ultimately you want questions to which you have already answered several times in the previous calls, and tell you that the refund will be made soon. Today it's been 1 and a half months and still no refund ... I closed this file with them and I leave them. This is the way they try to save time before reimbursing the funds.
</v>
      </c>
    </row>
    <row r="269" ht="15.75" customHeight="1">
      <c r="A269" s="2">
        <v>2.0</v>
      </c>
      <c r="B269" s="2" t="s">
        <v>860</v>
      </c>
      <c r="C269" s="2" t="s">
        <v>861</v>
      </c>
      <c r="D269" s="2" t="s">
        <v>13</v>
      </c>
      <c r="E269" s="2" t="s">
        <v>50</v>
      </c>
      <c r="F269" s="2" t="s">
        <v>15</v>
      </c>
      <c r="G269" s="2" t="s">
        <v>862</v>
      </c>
      <c r="H269" s="2" t="s">
        <v>238</v>
      </c>
      <c r="I269" s="2" t="str">
        <f>IFERROR(__xludf.DUMMYFUNCTION("GOOGLETRANSLATE(C269,""fr"",""en"")"),"Infiltration in our house due to bad weather. The plexiglass of our veranda has cracked.
We waited for 4 months under the water to validate the quote. No temporary tarpaulin of proposed. Support at a discount! A disaster ! Flee, other insurance offers "&amp;"better at the same price!")</f>
        <v>Infiltration in our house due to bad weather. The plexiglass of our veranda has cracked.
We waited for 4 months under the water to validate the quote. No temporary tarpaulin of proposed. Support at a discount! A disaster ! Flee, other insurance offers better at the same price!</v>
      </c>
    </row>
    <row r="270" ht="15.75" customHeight="1">
      <c r="A270" s="2">
        <v>3.0</v>
      </c>
      <c r="B270" s="2" t="s">
        <v>863</v>
      </c>
      <c r="C270" s="2" t="s">
        <v>864</v>
      </c>
      <c r="D270" s="2" t="s">
        <v>25</v>
      </c>
      <c r="E270" s="2" t="s">
        <v>14</v>
      </c>
      <c r="F270" s="2" t="s">
        <v>15</v>
      </c>
      <c r="G270" s="2" t="s">
        <v>865</v>
      </c>
      <c r="H270" s="2" t="s">
        <v>290</v>
      </c>
      <c r="I270" s="2" t="str">
        <f>IFERROR(__xludf.DUMMYFUNCTION("GOOGLETRANSLATE(C270,""fr"",""en"")"),"Reimbursement Pare -Brise in less than a week
Very fast .")</f>
        <v>Reimbursement Pare -Brise in less than a week
Very fast .</v>
      </c>
    </row>
    <row r="271" ht="15.75" customHeight="1">
      <c r="A271" s="2">
        <v>5.0</v>
      </c>
      <c r="B271" s="2" t="s">
        <v>866</v>
      </c>
      <c r="C271" s="2" t="s">
        <v>867</v>
      </c>
      <c r="D271" s="2" t="s">
        <v>67</v>
      </c>
      <c r="E271" s="2" t="s">
        <v>14</v>
      </c>
      <c r="F271" s="2" t="s">
        <v>15</v>
      </c>
      <c r="G271" s="2" t="s">
        <v>868</v>
      </c>
      <c r="H271" s="2" t="s">
        <v>101</v>
      </c>
      <c r="I271" s="2" t="str">
        <f>IFERROR(__xludf.DUMMYFUNCTION("GOOGLETRANSLATE(C271,""fr"",""en"")"),"Very serious insurer who takes care of its customers well and who over time is suitable for the market by trying to be competitive. Which was not the case twenty years ago.")</f>
        <v>Very serious insurer who takes care of its customers well and who over time is suitable for the market by trying to be competitive. Which was not the case twenty years ago.</v>
      </c>
    </row>
    <row r="272" ht="15.75" customHeight="1">
      <c r="A272" s="2">
        <v>1.0</v>
      </c>
      <c r="B272" s="2" t="s">
        <v>869</v>
      </c>
      <c r="C272" s="2" t="s">
        <v>870</v>
      </c>
      <c r="D272" s="2" t="s">
        <v>39</v>
      </c>
      <c r="E272" s="2" t="s">
        <v>14</v>
      </c>
      <c r="F272" s="2" t="s">
        <v>15</v>
      </c>
      <c r="G272" s="2" t="s">
        <v>617</v>
      </c>
      <c r="H272" s="2" t="s">
        <v>27</v>
      </c>
      <c r="I272" s="2" t="str">
        <f>IFERROR(__xludf.DUMMYFUNCTION("GOOGLETRANSLATE(C272,""fr"",""en"")"),"I am not satisfied at all. Not correct at all. An Accept Councilor. Take the money for insurance, the next day his college begins to make turns and reins the contract by taking on the terminations each time. Twice for three months. I decide to make the co"&amp;"ntacts with them")</f>
        <v>I am not satisfied at all. Not correct at all. An Accept Councilor. Take the money for insurance, the next day his college begins to make turns and reins the contract by taking on the terminations each time. Twice for three months. I decide to make the contacts with them</v>
      </c>
    </row>
    <row r="273" ht="15.75" customHeight="1">
      <c r="A273" s="2">
        <v>2.0</v>
      </c>
      <c r="B273" s="2" t="s">
        <v>871</v>
      </c>
      <c r="C273" s="2" t="s">
        <v>872</v>
      </c>
      <c r="D273" s="2" t="s">
        <v>123</v>
      </c>
      <c r="E273" s="2" t="s">
        <v>45</v>
      </c>
      <c r="F273" s="2" t="s">
        <v>15</v>
      </c>
      <c r="G273" s="2" t="s">
        <v>873</v>
      </c>
      <c r="H273" s="2" t="s">
        <v>73</v>
      </c>
      <c r="I273" s="2" t="str">
        <f>IFERROR(__xludf.DUMMYFUNCTION("GOOGLETRANSLATE(C273,""fr"",""en"")"),"I tried to terminate my contract and that of my son at Viasanté while respecting the deadlines for use but the mutual refuses my termination on the grounds that the members of members were not clearly identified enough. Since then they turn a deaf ear and"&amp;" no longer respond to my efforts.")</f>
        <v>I tried to terminate my contract and that of my son at Viasanté while respecting the deadlines for use but the mutual refuses my termination on the grounds that the members of members were not clearly identified enough. Since then they turn a deaf ear and no longer respond to my efforts.</v>
      </c>
    </row>
    <row r="274" ht="15.75" customHeight="1">
      <c r="A274" s="2">
        <v>5.0</v>
      </c>
      <c r="B274" s="2" t="s">
        <v>874</v>
      </c>
      <c r="C274" s="2" t="s">
        <v>875</v>
      </c>
      <c r="D274" s="2" t="s">
        <v>35</v>
      </c>
      <c r="E274" s="2" t="s">
        <v>31</v>
      </c>
      <c r="F274" s="2" t="s">
        <v>15</v>
      </c>
      <c r="G274" s="2" t="s">
        <v>774</v>
      </c>
      <c r="H274" s="2" t="s">
        <v>113</v>
      </c>
      <c r="I274" s="2" t="str">
        <f>IFERROR(__xludf.DUMMYFUNCTION("GOOGLETRANSLATE(C274,""fr"",""en"")"),"Very good prices, very good management of claims and effective interlocutors
Good responsiveness and options offered to interesting contracts.
I highly recommend")</f>
        <v>Very good prices, very good management of claims and effective interlocutors
Good responsiveness and options offered to interesting contracts.
I highly recommend</v>
      </c>
    </row>
    <row r="275" ht="15.75" customHeight="1">
      <c r="A275" s="2">
        <v>5.0</v>
      </c>
      <c r="B275" s="2" t="s">
        <v>876</v>
      </c>
      <c r="C275" s="2" t="s">
        <v>877</v>
      </c>
      <c r="D275" s="2" t="s">
        <v>35</v>
      </c>
      <c r="E275" s="2" t="s">
        <v>31</v>
      </c>
      <c r="F275" s="2" t="s">
        <v>15</v>
      </c>
      <c r="G275" s="2" t="s">
        <v>80</v>
      </c>
      <c r="H275" s="2" t="s">
        <v>17</v>
      </c>
      <c r="I275" s="2" t="str">
        <f>IFERROR(__xludf.DUMMYFUNCTION("GOOGLETRANSLATE(C275,""fr"",""en"")"),"Very little wait on the phone. And the person I had on the phone is very attentive at the customer's request and explains very well.
I recommend AMV Insurance.")</f>
        <v>Very little wait on the phone. And the person I had on the phone is very attentive at the customer's request and explains very well.
I recommend AMV Insurance.</v>
      </c>
    </row>
    <row r="276" ht="15.75" customHeight="1">
      <c r="A276" s="2">
        <v>5.0</v>
      </c>
      <c r="B276" s="2" t="s">
        <v>878</v>
      </c>
      <c r="C276" s="2" t="s">
        <v>879</v>
      </c>
      <c r="D276" s="2" t="s">
        <v>25</v>
      </c>
      <c r="E276" s="2" t="s">
        <v>14</v>
      </c>
      <c r="F276" s="2" t="s">
        <v>15</v>
      </c>
      <c r="G276" s="2" t="s">
        <v>880</v>
      </c>
      <c r="H276" s="2" t="s">
        <v>17</v>
      </c>
      <c r="I276" s="2" t="str">
        <f>IFERROR(__xludf.DUMMYFUNCTION("GOOGLETRANSLATE(C276,""fr"",""en"")"),"For the moment everything seems correct to me. Then see on my year of commitment to come.
I can't say more. I was answered and I was informed.")</f>
        <v>For the moment everything seems correct to me. Then see on my year of commitment to come.
I can't say more. I was answered and I was informed.</v>
      </c>
    </row>
    <row r="277" ht="15.75" customHeight="1">
      <c r="A277" s="2">
        <v>5.0</v>
      </c>
      <c r="B277" s="2" t="s">
        <v>881</v>
      </c>
      <c r="C277" s="2" t="s">
        <v>882</v>
      </c>
      <c r="D277" s="2" t="s">
        <v>35</v>
      </c>
      <c r="E277" s="2" t="s">
        <v>31</v>
      </c>
      <c r="F277" s="2" t="s">
        <v>15</v>
      </c>
      <c r="G277" s="2" t="s">
        <v>381</v>
      </c>
      <c r="H277" s="2" t="s">
        <v>84</v>
      </c>
      <c r="I277" s="2" t="str">
        <f>IFERROR(__xludf.DUMMYFUNCTION("GOOGLETRANSLATE(C277,""fr"",""en"")"),"I am satisfied with service and super fast particularly happy that you have to derigate towards the right conclusions of my contract thank you infiviment for this work of professional of faith.")</f>
        <v>I am satisfied with service and super fast particularly happy that you have to derigate towards the right conclusions of my contract thank you infiviment for this work of professional of faith.</v>
      </c>
    </row>
    <row r="278" ht="15.75" customHeight="1">
      <c r="A278" s="2">
        <v>4.0</v>
      </c>
      <c r="B278" s="2" t="s">
        <v>883</v>
      </c>
      <c r="C278" s="2" t="s">
        <v>884</v>
      </c>
      <c r="D278" s="2" t="s">
        <v>25</v>
      </c>
      <c r="E278" s="2" t="s">
        <v>14</v>
      </c>
      <c r="F278" s="2" t="s">
        <v>15</v>
      </c>
      <c r="G278" s="2" t="s">
        <v>750</v>
      </c>
      <c r="H278" s="2" t="s">
        <v>84</v>
      </c>
      <c r="I278" s="2" t="str">
        <f>IFERROR(__xludf.DUMMYFUNCTION("GOOGLETRANSLATE(C278,""fr"",""en"")"),"I am satisfied with the service, the advisers are available and effective. The prices are correct. The construction of the file is simple and quick.")</f>
        <v>I am satisfied with the service, the advisers are available and effective. The prices are correct. The construction of the file is simple and quick.</v>
      </c>
    </row>
    <row r="279" ht="15.75" customHeight="1">
      <c r="A279" s="2">
        <v>3.0</v>
      </c>
      <c r="B279" s="2" t="s">
        <v>885</v>
      </c>
      <c r="C279" s="2" t="s">
        <v>886</v>
      </c>
      <c r="D279" s="2" t="s">
        <v>67</v>
      </c>
      <c r="E279" s="2" t="s">
        <v>14</v>
      </c>
      <c r="F279" s="2" t="s">
        <v>15</v>
      </c>
      <c r="G279" s="2" t="s">
        <v>526</v>
      </c>
      <c r="H279" s="2" t="s">
        <v>113</v>
      </c>
      <c r="I279" s="2" t="str">
        <f>IFERROR(__xludf.DUMMYFUNCTION("GOOGLETRANSLATE(C279,""fr"",""en"")"),"The prices should not increase in 2021, excluding I noticed an increase, compared to the quote received")</f>
        <v>The prices should not increase in 2021, excluding I noticed an increase, compared to the quote received</v>
      </c>
    </row>
    <row r="280" ht="15.75" customHeight="1">
      <c r="A280" s="2">
        <v>1.0</v>
      </c>
      <c r="B280" s="2" t="s">
        <v>887</v>
      </c>
      <c r="C280" s="2" t="s">
        <v>888</v>
      </c>
      <c r="D280" s="2" t="s">
        <v>315</v>
      </c>
      <c r="E280" s="2" t="s">
        <v>50</v>
      </c>
      <c r="F280" s="2" t="s">
        <v>15</v>
      </c>
      <c r="G280" s="2" t="s">
        <v>889</v>
      </c>
      <c r="H280" s="2" t="s">
        <v>431</v>
      </c>
      <c r="I280" s="2" t="str">
        <f>IFERROR(__xludf.DUMMYFUNCTION("GOOGLETRANSLATE(C280,""fr"",""en"")"),"Insurance which puts an end to your insurance when she notices that she is blocked and that she must reimburse your home when she is no longer habitable. There are good insurances, we have to pay, they collect")</f>
        <v>Insurance which puts an end to your insurance when she notices that she is blocked and that she must reimburse your home when she is no longer habitable. There are good insurances, we have to pay, they collect</v>
      </c>
    </row>
    <row r="281" ht="15.75" customHeight="1">
      <c r="A281" s="2">
        <v>1.0</v>
      </c>
      <c r="B281" s="2" t="s">
        <v>890</v>
      </c>
      <c r="C281" s="2" t="s">
        <v>891</v>
      </c>
      <c r="D281" s="2" t="s">
        <v>731</v>
      </c>
      <c r="E281" s="2" t="s">
        <v>233</v>
      </c>
      <c r="F281" s="2" t="s">
        <v>15</v>
      </c>
      <c r="G281" s="2" t="s">
        <v>892</v>
      </c>
      <c r="H281" s="2" t="s">
        <v>688</v>
      </c>
      <c r="I281" s="2" t="str">
        <f>IFERROR(__xludf.DUMMYFUNCTION("GOOGLETRANSLATE(C281,""fr"",""en"")"),"CNP insurance, savings bank, same fight, same galley !!!
These are the most painful in terms of procedure; impossible to send emails, everything is done by mail, in the digital age, not terrible.
Extremely long reimbursement period, in short
No advanta"&amp;"ge of coming to them !! It reminds me of the Doublo Monde at the Savings Bank, beautiful words to attract people and in the end zero. TO FLEE..........")</f>
        <v>CNP insurance, savings bank, same fight, same galley !!!
These are the most painful in terms of procedure; impossible to send emails, everything is done by mail, in the digital age, not terrible.
Extremely long reimbursement period, in short
No advantage of coming to them !! It reminds me of the Doublo Monde at the Savings Bank, beautiful words to attract people and in the end zero. TO FLEE..........</v>
      </c>
    </row>
    <row r="282" ht="15.75" customHeight="1">
      <c r="A282" s="2">
        <v>5.0</v>
      </c>
      <c r="B282" s="2" t="s">
        <v>893</v>
      </c>
      <c r="C282" s="2" t="s">
        <v>894</v>
      </c>
      <c r="D282" s="2" t="s">
        <v>25</v>
      </c>
      <c r="E282" s="2" t="s">
        <v>14</v>
      </c>
      <c r="F282" s="2" t="s">
        <v>15</v>
      </c>
      <c r="G282" s="2" t="s">
        <v>895</v>
      </c>
      <c r="H282" s="2" t="s">
        <v>64</v>
      </c>
      <c r="I282" s="2" t="str">
        <f>IFERROR(__xludf.DUMMYFUNCTION("GOOGLETRANSLATE(C282,""fr"",""en"")"),"Very welcome and advice given adapted for the elements of the contract
Insurance to recommend to those around me
Website well done and seems easy to use")</f>
        <v>Very welcome and advice given adapted for the elements of the contract
Insurance to recommend to those around me
Website well done and seems easy to use</v>
      </c>
    </row>
    <row r="283" ht="15.75" customHeight="1">
      <c r="A283" s="2">
        <v>5.0</v>
      </c>
      <c r="B283" s="2" t="s">
        <v>896</v>
      </c>
      <c r="C283" s="2" t="s">
        <v>897</v>
      </c>
      <c r="D283" s="2" t="s">
        <v>39</v>
      </c>
      <c r="E283" s="2" t="s">
        <v>14</v>
      </c>
      <c r="F283" s="2" t="s">
        <v>15</v>
      </c>
      <c r="G283" s="2" t="s">
        <v>898</v>
      </c>
      <c r="H283" s="2" t="s">
        <v>113</v>
      </c>
      <c r="I283" s="2" t="str">
        <f>IFERROR(__xludf.DUMMYFUNCTION("GOOGLETRANSLATE(C283,""fr"",""en"")"),"Satisfied great, good value for money, too bad it is a Sunday so as not to have someone on the phone. We're going to test you drive to find out more about this box")</f>
        <v>Satisfied great, good value for money, too bad it is a Sunday so as not to have someone on the phone. We're going to test you drive to find out more about this box</v>
      </c>
    </row>
    <row r="284" ht="15.75" customHeight="1">
      <c r="A284" s="2">
        <v>1.0</v>
      </c>
      <c r="B284" s="2" t="s">
        <v>899</v>
      </c>
      <c r="C284" s="2" t="s">
        <v>900</v>
      </c>
      <c r="D284" s="2" t="s">
        <v>328</v>
      </c>
      <c r="E284" s="2" t="s">
        <v>429</v>
      </c>
      <c r="F284" s="2" t="s">
        <v>15</v>
      </c>
      <c r="G284" s="2" t="s">
        <v>227</v>
      </c>
      <c r="H284" s="2" t="s">
        <v>120</v>
      </c>
      <c r="I284" s="2" t="str">
        <f>IFERROR(__xludf.DUMMYFUNCTION("GOOGLETRANSLATE(C284,""fr"",""en"")"),"They are incompetent.
I called ten times and a blow is yes, a blow is no.
It is a shame for the BNP to have insurance like this")</f>
        <v>They are incompetent.
I called ten times and a blow is yes, a blow is no.
It is a shame for the BNP to have insurance like this</v>
      </c>
    </row>
    <row r="285" ht="15.75" customHeight="1">
      <c r="A285" s="2">
        <v>5.0</v>
      </c>
      <c r="B285" s="2" t="s">
        <v>901</v>
      </c>
      <c r="C285" s="2" t="s">
        <v>902</v>
      </c>
      <c r="D285" s="2" t="s">
        <v>39</v>
      </c>
      <c r="E285" s="2" t="s">
        <v>14</v>
      </c>
      <c r="F285" s="2" t="s">
        <v>15</v>
      </c>
      <c r="G285" s="2" t="s">
        <v>523</v>
      </c>
      <c r="H285" s="2" t="s">
        <v>84</v>
      </c>
      <c r="I285" s="2" t="str">
        <f>IFERROR(__xludf.DUMMYFUNCTION("GOOGLETRANSLATE(C285,""fr"",""en"")"),"The prices suit me for good means and good insurance, we will see later Mercii Direct Assurance.
Interesting and attractive price I recommend.")</f>
        <v>The prices suit me for good means and good insurance, we will see later Mercii Direct Assurance.
Interesting and attractive price I recommend.</v>
      </c>
    </row>
    <row r="286" ht="15.75" customHeight="1">
      <c r="A286" s="2">
        <v>1.0</v>
      </c>
      <c r="B286" s="2" t="s">
        <v>903</v>
      </c>
      <c r="C286" s="2" t="s">
        <v>904</v>
      </c>
      <c r="D286" s="2" t="s">
        <v>731</v>
      </c>
      <c r="E286" s="2" t="s">
        <v>233</v>
      </c>
      <c r="F286" s="2" t="s">
        <v>15</v>
      </c>
      <c r="G286" s="2" t="s">
        <v>905</v>
      </c>
      <c r="H286" s="2" t="s">
        <v>785</v>
      </c>
      <c r="I286" s="2" t="str">
        <f>IFERROR(__xludf.DUMMYFUNCTION("GOOGLETRANSLATE(C286,""fr"",""en"")"),"Put a star to be able to post the opinion.
Insurance to flee !!
Placement to flee !!
We are a couple of fifties who, for almost 30 years, have placed money every year.
We have formed a significant sum.
We wanted to make a partial takeover of our savi"&amp;"ngs of almost a life, as the contract authorized it, but there the problems we started !!!
Very long file to be treated to discourage people. The insurance requires different papers with each call from us !!
The regulations are still not done after a mo"&amp;"nth !!
You really don't have to be in need !!
We wanted to make a nice gift for our future retirement, well here !!!
Maybe one day...?????")</f>
        <v>Put a star to be able to post the opinion.
Insurance to flee !!
Placement to flee !!
We are a couple of fifties who, for almost 30 years, have placed money every year.
We have formed a significant sum.
We wanted to make a partial takeover of our savings of almost a life, as the contract authorized it, but there the problems we started !!!
Very long file to be treated to discourage people. The insurance requires different papers with each call from us !!
The regulations are still not done after a month !!
You really don't have to be in need !!
We wanted to make a nice gift for our future retirement, well here !!!
Maybe one day...?????</v>
      </c>
    </row>
    <row r="287" ht="15.75" customHeight="1">
      <c r="A287" s="2">
        <v>3.0</v>
      </c>
      <c r="B287" s="2" t="s">
        <v>906</v>
      </c>
      <c r="C287" s="2" t="s">
        <v>907</v>
      </c>
      <c r="D287" s="2" t="s">
        <v>293</v>
      </c>
      <c r="E287" s="2" t="s">
        <v>45</v>
      </c>
      <c r="F287" s="2" t="s">
        <v>15</v>
      </c>
      <c r="G287" s="2" t="s">
        <v>908</v>
      </c>
      <c r="H287" s="2" t="s">
        <v>84</v>
      </c>
      <c r="I287" s="2" t="str">
        <f>IFERROR(__xludf.DUMMYFUNCTION("GOOGLETRANSLATE(C287,""fr"",""en"")"),"Portability between 2 employment contracts is not possible since I am struck off before I can transmit my proof of Pole Emploi registration. You block the possibility of providing you with the necessary DOs.")</f>
        <v>Portability between 2 employment contracts is not possible since I am struck off before I can transmit my proof of Pole Emploi registration. You block the possibility of providing you with the necessary DOs.</v>
      </c>
    </row>
    <row r="288" ht="15.75" customHeight="1">
      <c r="A288" s="2">
        <v>1.0</v>
      </c>
      <c r="B288" s="2" t="s">
        <v>909</v>
      </c>
      <c r="C288" s="2" t="s">
        <v>910</v>
      </c>
      <c r="D288" s="2" t="s">
        <v>259</v>
      </c>
      <c r="E288" s="2" t="s">
        <v>14</v>
      </c>
      <c r="F288" s="2" t="s">
        <v>15</v>
      </c>
      <c r="G288" s="2" t="s">
        <v>911</v>
      </c>
      <c r="H288" s="2" t="s">
        <v>424</v>
      </c>
      <c r="I288" s="2" t="str">
        <f>IFERROR(__xludf.DUMMYFUNCTION("GOOGLETRANSLATE(C288,""fr"",""en"")"),"are not serious, do not worry about the insured, they take too much time to resolve your errors made by themselves, they lie each time to calm down .. know that at the time of pay are Always deriere us but when it is up to them to pay they take is time gr"&amp;"eat ... The worst insurance that I had in my life. Strongly not recommended !!! I have a sinister since December 30 until today I have never received any news a gentleman who assures is in the same insurance as me who returned to me we were making the obs"&amp;"ervation in the agency 'Macif insurance and oddly it has been dragging since it looks like they don't want to repair the car every time I call they tell me things that don't even make sense")</f>
        <v>are not serious, do not worry about the insured, they take too much time to resolve your errors made by themselves, they lie each time to calm down .. know that at the time of pay are Always deriere us but when it is up to them to pay they take is time great ... The worst insurance that I had in my life. Strongly not recommended !!! I have a sinister since December 30 until today I have never received any news a gentleman who assures is in the same insurance as me who returned to me we were making the observation in the agency 'Macif insurance and oddly it has been dragging since it looks like they don't want to repair the car every time I call they tell me things that don't even make sense</v>
      </c>
    </row>
    <row r="289" ht="15.75" customHeight="1">
      <c r="A289" s="2">
        <v>2.0</v>
      </c>
      <c r="B289" s="2" t="s">
        <v>912</v>
      </c>
      <c r="C289" s="2" t="s">
        <v>913</v>
      </c>
      <c r="D289" s="2" t="s">
        <v>914</v>
      </c>
      <c r="E289" s="2" t="s">
        <v>50</v>
      </c>
      <c r="F289" s="2" t="s">
        <v>15</v>
      </c>
      <c r="G289" s="2" t="s">
        <v>915</v>
      </c>
      <c r="H289" s="2" t="s">
        <v>330</v>
      </c>
      <c r="I289" s="2" t="str">
        <f>IFERROR(__xludf.DUMMYFUNCTION("GOOGLETRANSLATE(C289,""fr"",""en"")"),"Be very vigilant on your contract in relation to the flood. We have been flooded with large sewer lifts and Groupama has taken care of absolutely nothing because being from a meteo conditions (large storm), they only take care of if there is a natural dis"&amp;"aster decree. Following the claim, all my neighbors were reimbursed for their damage by their insurance except us who are at Groupama")</f>
        <v>Be very vigilant on your contract in relation to the flood. We have been flooded with large sewer lifts and Groupama has taken care of absolutely nothing because being from a meteo conditions (large storm), they only take care of if there is a natural disaster decree. Following the claim, all my neighbors were reimbursed for their damage by their insurance except us who are at Groupama</v>
      </c>
    </row>
    <row r="290" ht="15.75" customHeight="1">
      <c r="A290" s="2">
        <v>5.0</v>
      </c>
      <c r="B290" s="2" t="s">
        <v>916</v>
      </c>
      <c r="C290" s="2" t="s">
        <v>917</v>
      </c>
      <c r="D290" s="2" t="s">
        <v>39</v>
      </c>
      <c r="E290" s="2" t="s">
        <v>14</v>
      </c>
      <c r="F290" s="2" t="s">
        <v>15</v>
      </c>
      <c r="G290" s="2" t="s">
        <v>84</v>
      </c>
      <c r="H290" s="2" t="s">
        <v>84</v>
      </c>
      <c r="I290" s="2" t="str">
        <f>IFERROR(__xludf.DUMMYFUNCTION("GOOGLETRANSLATE(C290,""fr"",""en"")"),"Very good price and easy to use I highly recommend direct insurance. After I hope I never use it. I have a friend who is at Direct Insurance, she had a disaster and you were very good so I test")</f>
        <v>Very good price and easy to use I highly recommend direct insurance. After I hope I never use it. I have a friend who is at Direct Insurance, she had a disaster and you were very good so I test</v>
      </c>
    </row>
    <row r="291" ht="15.75" customHeight="1">
      <c r="A291" s="2">
        <v>1.0</v>
      </c>
      <c r="B291" s="2" t="s">
        <v>918</v>
      </c>
      <c r="C291" s="2" t="s">
        <v>919</v>
      </c>
      <c r="D291" s="2" t="s">
        <v>123</v>
      </c>
      <c r="E291" s="2" t="s">
        <v>45</v>
      </c>
      <c r="F291" s="2" t="s">
        <v>15</v>
      </c>
      <c r="G291" s="2" t="s">
        <v>920</v>
      </c>
      <c r="H291" s="2" t="s">
        <v>317</v>
      </c>
      <c r="I291" s="2" t="str">
        <f>IFERROR(__xludf.DUMMYFUNCTION("GOOGLETRANSLATE(C291,""fr"",""en"")"),"Just harassed to obtain the signature of a subscription.
After signature, you do not even have a booklet with the specifics of reimbursements.
I called for details and there was a very bad network.
I was hung up on the nose.
You send an email and afte"&amp;"r several weeks, you do not get any response!
I strongly advise against this mutual.")</f>
        <v>Just harassed to obtain the signature of a subscription.
After signature, you do not even have a booklet with the specifics of reimbursements.
I called for details and there was a very bad network.
I was hung up on the nose.
You send an email and after several weeks, you do not get any response!
I strongly advise against this mutual.</v>
      </c>
    </row>
    <row r="292" ht="15.75" customHeight="1">
      <c r="A292" s="2">
        <v>4.0</v>
      </c>
      <c r="B292" s="2" t="s">
        <v>921</v>
      </c>
      <c r="C292" s="2" t="s">
        <v>922</v>
      </c>
      <c r="D292" s="2" t="s">
        <v>39</v>
      </c>
      <c r="E292" s="2" t="s">
        <v>14</v>
      </c>
      <c r="F292" s="2" t="s">
        <v>15</v>
      </c>
      <c r="G292" s="2" t="s">
        <v>923</v>
      </c>
      <c r="H292" s="2" t="s">
        <v>27</v>
      </c>
      <c r="I292" s="2" t="str">
        <f>IFERROR(__xludf.DUMMYFUNCTION("GOOGLETRANSLATE(C292,""fr"",""en"")"),"No worries for the moment, good phone welcome, price cheaper than my previous contract, we will see in the long term if something is happening")</f>
        <v>No worries for the moment, good phone welcome, price cheaper than my previous contract, we will see in the long term if something is happening</v>
      </c>
    </row>
    <row r="293" ht="15.75" customHeight="1">
      <c r="A293" s="2">
        <v>4.0</v>
      </c>
      <c r="B293" s="2" t="s">
        <v>924</v>
      </c>
      <c r="C293" s="2" t="s">
        <v>925</v>
      </c>
      <c r="D293" s="2" t="s">
        <v>25</v>
      </c>
      <c r="E293" s="2" t="s">
        <v>14</v>
      </c>
      <c r="F293" s="2" t="s">
        <v>15</v>
      </c>
      <c r="G293" s="2" t="s">
        <v>16</v>
      </c>
      <c r="H293" s="2" t="s">
        <v>17</v>
      </c>
      <c r="I293" s="2" t="str">
        <f>IFERROR(__xludf.DUMMYFUNCTION("GOOGLETRANSLATE(C293,""fr"",""en"")"),"I am satisfied by the value for money. Since this is my first car insurance, I am also satisfied by the ease of the procedure for the subscription of the offer.")</f>
        <v>I am satisfied by the value for money. Since this is my first car insurance, I am also satisfied by the ease of the procedure for the subscription of the offer.</v>
      </c>
    </row>
    <row r="294" ht="15.75" customHeight="1">
      <c r="A294" s="2">
        <v>1.0</v>
      </c>
      <c r="B294" s="2" t="s">
        <v>926</v>
      </c>
      <c r="C294" s="2" t="s">
        <v>927</v>
      </c>
      <c r="D294" s="2" t="s">
        <v>398</v>
      </c>
      <c r="E294" s="2" t="s">
        <v>45</v>
      </c>
      <c r="F294" s="2" t="s">
        <v>15</v>
      </c>
      <c r="G294" s="2" t="s">
        <v>928</v>
      </c>
      <c r="H294" s="2" t="s">
        <v>124</v>
      </c>
      <c r="I294" s="2" t="str">
        <f>IFERROR(__xludf.DUMMYFUNCTION("GOOGLETRANSLATE(C294,""fr"",""en"")"),"Very angry, I have changed banks and since February the levy does this well on the good bank but they make me the reimbursements on the old account, I reported it at mid May, 10 J after the same error, I re-signal it and well now, 1 month later always the"&amp;" same error so loss of money for me and when I signal it, the secretary sends me a little and not possible to reach them on the phone. Mutual of misery with a bunch of incompetent.
")</f>
        <v>Very angry, I have changed banks and since February the levy does this well on the good bank but they make me the reimbursements on the old account, I reported it at mid May, 10 J after the same error, I re-signal it and well now, 1 month later always the same error so loss of money for me and when I signal it, the secretary sends me a little and not possible to reach them on the phone. Mutual of misery with a bunch of incompetent.
</v>
      </c>
    </row>
    <row r="295" ht="15.75" customHeight="1">
      <c r="A295" s="2">
        <v>1.0</v>
      </c>
      <c r="B295" s="2" t="s">
        <v>929</v>
      </c>
      <c r="C295" s="2" t="s">
        <v>930</v>
      </c>
      <c r="D295" s="2" t="s">
        <v>39</v>
      </c>
      <c r="E295" s="2" t="s">
        <v>14</v>
      </c>
      <c r="F295" s="2" t="s">
        <v>15</v>
      </c>
      <c r="G295" s="2" t="s">
        <v>931</v>
      </c>
      <c r="H295" s="2" t="s">
        <v>785</v>
      </c>
      <c r="I295" s="2" t="str">
        <f>IFERROR(__xludf.DUMMYFUNCTION("GOOGLETRANSLATE(C295,""fr"",""en"")"),"Hello it's been 3 months since I was without vehicle following an accidental claim for 3 months the expert confirmed for 2 months he told me that I was going to be compensated within 3 days of the sale of the vehicle I sold it to you November 17 were on J"&amp;"anuary 10 and still unanswered on their part. I don't know what to do to be compensated.")</f>
        <v>Hello it's been 3 months since I was without vehicle following an accidental claim for 3 months the expert confirmed for 2 months he told me that I was going to be compensated within 3 days of the sale of the vehicle I sold it to you November 17 were on January 10 and still unanswered on their part. I don't know what to do to be compensated.</v>
      </c>
    </row>
    <row r="296" ht="15.75" customHeight="1">
      <c r="A296" s="2">
        <v>2.0</v>
      </c>
      <c r="B296" s="2" t="s">
        <v>932</v>
      </c>
      <c r="C296" s="2" t="s">
        <v>933</v>
      </c>
      <c r="D296" s="2" t="s">
        <v>87</v>
      </c>
      <c r="E296" s="2" t="s">
        <v>14</v>
      </c>
      <c r="F296" s="2" t="s">
        <v>15</v>
      </c>
      <c r="G296" s="2" t="s">
        <v>934</v>
      </c>
      <c r="H296" s="2" t="s">
        <v>504</v>
      </c>
      <c r="I296" s="2" t="str">
        <f>IFERROR(__xludf.DUMMYFUNCTION("GOOGLETRANSLATE(C296,""fr"",""en"")"),"I want to make my dissatisfaction heard I sent at least 5 emails and no answer and necessarily you have to call a service at 0.80 per minute when I just want to receive my insurance certificate as well as my insurance sticker. ... when I see the brothel t"&amp;"hat it is for something as simple I don't even dared to imagine the brothel if I have an accident ... So my customer number is the 347649 so sent my certificate and my sticker 'ASSURANCE.")</f>
        <v>I want to make my dissatisfaction heard I sent at least 5 emails and no answer and necessarily you have to call a service at 0.80 per minute when I just want to receive my insurance certificate as well as my insurance sticker. ... when I see the brothel that it is for something as simple I don't even dared to imagine the brothel if I have an accident ... So my customer number is the 347649 so sent my certificate and my sticker 'ASSURANCE.</v>
      </c>
    </row>
    <row r="297" ht="15.75" customHeight="1">
      <c r="A297" s="2">
        <v>5.0</v>
      </c>
      <c r="B297" s="2" t="s">
        <v>935</v>
      </c>
      <c r="C297" s="2" t="s">
        <v>936</v>
      </c>
      <c r="D297" s="2" t="s">
        <v>25</v>
      </c>
      <c r="E297" s="2" t="s">
        <v>14</v>
      </c>
      <c r="F297" s="2" t="s">
        <v>15</v>
      </c>
      <c r="G297" s="2" t="s">
        <v>937</v>
      </c>
      <c r="H297" s="2" t="s">
        <v>120</v>
      </c>
      <c r="I297" s="2" t="str">
        <f>IFERROR(__xludf.DUMMYFUNCTION("GOOGLETRANSLATE(C297,""fr"",""en"")"),"I am satisfied with the product, the site is very well designed and everything has been perfectly clear
The prices are attractive and the speed of subscription is fast and direct")</f>
        <v>I am satisfied with the product, the site is very well designed and everything has been perfectly clear
The prices are attractive and the speed of subscription is fast and direct</v>
      </c>
    </row>
    <row r="298" ht="15.75" customHeight="1">
      <c r="A298" s="2">
        <v>1.0</v>
      </c>
      <c r="B298" s="2" t="s">
        <v>938</v>
      </c>
      <c r="C298" s="2" t="s">
        <v>939</v>
      </c>
      <c r="D298" s="2" t="s">
        <v>914</v>
      </c>
      <c r="E298" s="2" t="s">
        <v>50</v>
      </c>
      <c r="F298" s="2" t="s">
        <v>15</v>
      </c>
      <c r="G298" s="2" t="s">
        <v>940</v>
      </c>
      <c r="H298" s="2" t="s">
        <v>317</v>
      </c>
      <c r="I298" s="2" t="str">
        <f>IFERROR(__xludf.DUMMYFUNCTION("GOOGLETRANSLATE(C298,""fr"",""en"")"),"I am very disappointed by this insurance which does not keep its commitments after having had a disaster in our house following a water leak they decided that we had to closed the outdoor water tap after more than 4 days of absence")</f>
        <v>I am very disappointed by this insurance which does not keep its commitments after having had a disaster in our house following a water leak they decided that we had to closed the outdoor water tap after more than 4 days of absence</v>
      </c>
    </row>
    <row r="299" ht="15.75" customHeight="1">
      <c r="A299" s="2">
        <v>4.0</v>
      </c>
      <c r="B299" s="2" t="s">
        <v>941</v>
      </c>
      <c r="C299" s="2" t="s">
        <v>942</v>
      </c>
      <c r="D299" s="2" t="s">
        <v>39</v>
      </c>
      <c r="E299" s="2" t="s">
        <v>14</v>
      </c>
      <c r="F299" s="2" t="s">
        <v>15</v>
      </c>
      <c r="G299" s="2" t="s">
        <v>109</v>
      </c>
      <c r="H299" s="2" t="s">
        <v>109</v>
      </c>
      <c r="I299" s="2" t="str">
        <f>IFERROR(__xludf.DUMMYFUNCTION("GOOGLETRANSLATE(C299,""fr"",""en"")"),"Satisfied with customer service, however, a little less prices. No effort or commercial gesture since the first confinement contrary to competition.")</f>
        <v>Satisfied with customer service, however, a little less prices. No effort or commercial gesture since the first confinement contrary to competition.</v>
      </c>
    </row>
    <row r="300" ht="15.75" customHeight="1">
      <c r="A300" s="2">
        <v>5.0</v>
      </c>
      <c r="B300" s="2" t="s">
        <v>943</v>
      </c>
      <c r="C300" s="2" t="s">
        <v>944</v>
      </c>
      <c r="D300" s="2" t="s">
        <v>39</v>
      </c>
      <c r="E300" s="2" t="s">
        <v>14</v>
      </c>
      <c r="F300" s="2" t="s">
        <v>15</v>
      </c>
      <c r="G300" s="2" t="s">
        <v>945</v>
      </c>
      <c r="H300" s="2" t="s">
        <v>113</v>
      </c>
      <c r="I300" s="2" t="str">
        <f>IFERROR(__xludf.DUMMYFUNCTION("GOOGLETRANSLATE(C300,""fr"",""en"")"),"Very quickly ’I did my assurance thank you again! I recommend it to all worlds I just hope to do a happy new year of insurance with you")</f>
        <v>Very quickly ’I did my assurance thank you again! I recommend it to all worlds I just hope to do a happy new year of insurance with you</v>
      </c>
    </row>
    <row r="301" ht="15.75" customHeight="1">
      <c r="A301" s="2">
        <v>3.0</v>
      </c>
      <c r="B301" s="2" t="s">
        <v>946</v>
      </c>
      <c r="C301" s="2" t="s">
        <v>947</v>
      </c>
      <c r="D301" s="2" t="s">
        <v>361</v>
      </c>
      <c r="E301" s="2" t="s">
        <v>14</v>
      </c>
      <c r="F301" s="2" t="s">
        <v>15</v>
      </c>
      <c r="G301" s="2" t="s">
        <v>948</v>
      </c>
      <c r="H301" s="2" t="s">
        <v>216</v>
      </c>
      <c r="I301" s="2" t="str">
        <f>IFERROR(__xludf.DUMMYFUNCTION("GOOGLETRANSLATE(C301,""fr"",""en"")"),"La MAIF, a good call price for your insurance but do not count on them in the event of a claim, especially if the person who causes you a wrong is also a member of them. Everything will be done to reduce damage and allow insurance to save money.")</f>
        <v>La MAIF, a good call price for your insurance but do not count on them in the event of a claim, especially if the person who causes you a wrong is also a member of them. Everything will be done to reduce damage and allow insurance to save money.</v>
      </c>
    </row>
    <row r="302" ht="15.75" customHeight="1">
      <c r="A302" s="2">
        <v>1.0</v>
      </c>
      <c r="B302" s="2" t="s">
        <v>949</v>
      </c>
      <c r="C302" s="2" t="s">
        <v>950</v>
      </c>
      <c r="D302" s="2" t="s">
        <v>398</v>
      </c>
      <c r="E302" s="2" t="s">
        <v>45</v>
      </c>
      <c r="F302" s="2" t="s">
        <v>15</v>
      </c>
      <c r="G302" s="2" t="s">
        <v>32</v>
      </c>
      <c r="H302" s="2" t="s">
        <v>27</v>
      </c>
      <c r="I302" s="2" t="str">
        <f>IFERROR(__xludf.DUMMYFUNCTION("GOOGLETRANSLATE(C302,""fr"",""en"")"),"TO FLEE!!!!!!!! really
It's a shame ! Only 3 reimbursement requested in 5 years of subscription and none led !!! ! I changed an optical contract on purpose to be reimbursed but it was not taken into account and I was struck off without any warning, for a"&amp;"n error on their part following a bank change. It is to vomit!")</f>
        <v>TO FLEE!!!!!!!! really
It's a shame ! Only 3 reimbursement requested in 5 years of subscription and none led !!! ! I changed an optical contract on purpose to be reimbursed but it was not taken into account and I was struck off without any warning, for an error on their part following a bank change. It is to vomit!</v>
      </c>
    </row>
    <row r="303" ht="15.75" customHeight="1">
      <c r="A303" s="2">
        <v>3.0</v>
      </c>
      <c r="B303" s="2" t="s">
        <v>951</v>
      </c>
      <c r="C303" s="2" t="s">
        <v>952</v>
      </c>
      <c r="D303" s="2" t="s">
        <v>20</v>
      </c>
      <c r="E303" s="2" t="s">
        <v>14</v>
      </c>
      <c r="F303" s="2" t="s">
        <v>15</v>
      </c>
      <c r="G303" s="2" t="s">
        <v>953</v>
      </c>
      <c r="H303" s="2" t="s">
        <v>198</v>
      </c>
      <c r="I303" s="2" t="str">
        <f>IFERROR(__xludf.DUMMYFUNCTION("GOOGLETRANSLATE(C303,""fr"",""en"")"),"This year despite the COVID, a 4% increase on my subscription is increased. In addition, this year no accidents listed, no responsible or not responsible.")</f>
        <v>This year despite the COVID, a 4% increase on my subscription is increased. In addition, this year no accidents listed, no responsible or not responsible.</v>
      </c>
    </row>
    <row r="304" ht="15.75" customHeight="1">
      <c r="A304" s="2">
        <v>3.0</v>
      </c>
      <c r="B304" s="2" t="s">
        <v>954</v>
      </c>
      <c r="C304" s="2" t="s">
        <v>955</v>
      </c>
      <c r="D304" s="2" t="s">
        <v>39</v>
      </c>
      <c r="E304" s="2" t="s">
        <v>14</v>
      </c>
      <c r="F304" s="2" t="s">
        <v>15</v>
      </c>
      <c r="G304" s="2" t="s">
        <v>609</v>
      </c>
      <c r="H304" s="2" t="s">
        <v>73</v>
      </c>
      <c r="I304" s="2" t="str">
        <f>IFERROR(__xludf.DUMMYFUNCTION("GOOGLETRANSLATE(C304,""fr"",""en"")"),"Satisfied with the online quote site
Price seems correct
Ease of establishing quotes
I recommend DA for ease of handling
                   ")</f>
        <v>Satisfied with the online quote site
Price seems correct
Ease of establishing quotes
I recommend DA for ease of handling
                   </v>
      </c>
    </row>
    <row r="305" ht="15.75" customHeight="1">
      <c r="A305" s="2">
        <v>5.0</v>
      </c>
      <c r="B305" s="2" t="s">
        <v>956</v>
      </c>
      <c r="C305" s="2" t="s">
        <v>957</v>
      </c>
      <c r="D305" s="2" t="s">
        <v>293</v>
      </c>
      <c r="E305" s="2" t="s">
        <v>45</v>
      </c>
      <c r="F305" s="2" t="s">
        <v>15</v>
      </c>
      <c r="G305" s="2" t="s">
        <v>958</v>
      </c>
      <c r="H305" s="2" t="s">
        <v>109</v>
      </c>
      <c r="I305" s="2" t="str">
        <f>IFERROR(__xludf.DUMMYFUNCTION("GOOGLETRANSLATE(C305,""fr"",""en"")"),"Very good contact and the response time is very fast. Whether by email or by phone. The summary is clear and we are not knocked out by email and letters.")</f>
        <v>Very good contact and the response time is very fast. Whether by email or by phone. The summary is clear and we are not knocked out by email and letters.</v>
      </c>
    </row>
    <row r="306" ht="15.75" customHeight="1">
      <c r="A306" s="2">
        <v>3.0</v>
      </c>
      <c r="B306" s="2" t="s">
        <v>959</v>
      </c>
      <c r="C306" s="2" t="s">
        <v>960</v>
      </c>
      <c r="D306" s="2" t="s">
        <v>39</v>
      </c>
      <c r="E306" s="2" t="s">
        <v>14</v>
      </c>
      <c r="F306" s="2" t="s">
        <v>15</v>
      </c>
      <c r="G306" s="2" t="s">
        <v>961</v>
      </c>
      <c r="H306" s="2" t="s">
        <v>113</v>
      </c>
      <c r="I306" s="2" t="str">
        <f>IFERROR(__xludf.DUMMYFUNCTION("GOOGLETRANSLATE(C306,""fr"",""en"")"),"Prices have increased considerably, the service has become very restrictive, too many constraints to take out a contract.
In short, Direct Assurance is put at the level of other companies !!!
Shame")</f>
        <v>Prices have increased considerably, the service has become very restrictive, too many constraints to take out a contract.
In short, Direct Assurance is put at the level of other companies !!!
Shame</v>
      </c>
    </row>
    <row r="307" ht="15.75" customHeight="1">
      <c r="A307" s="2">
        <v>5.0</v>
      </c>
      <c r="B307" s="2" t="s">
        <v>962</v>
      </c>
      <c r="C307" s="2" t="s">
        <v>963</v>
      </c>
      <c r="D307" s="2" t="s">
        <v>39</v>
      </c>
      <c r="E307" s="2" t="s">
        <v>14</v>
      </c>
      <c r="F307" s="2" t="s">
        <v>15</v>
      </c>
      <c r="G307" s="2" t="s">
        <v>576</v>
      </c>
      <c r="H307" s="2" t="s">
        <v>84</v>
      </c>
      <c r="I307" s="2" t="str">
        <f>IFERROR(__xludf.DUMMYFUNCTION("GOOGLETRANSLATE(C307,""fr"",""en"")"),"Fast and effective to see when there will be concerns because this is where we realize if we have taken the right guarantees. My old one was good until my vehicle flight or the coast has dropped significantly.")</f>
        <v>Fast and effective to see when there will be concerns because this is where we realize if we have taken the right guarantees. My old one was good until my vehicle flight or the coast has dropped significantly.</v>
      </c>
    </row>
    <row r="308" ht="15.75" customHeight="1">
      <c r="A308" s="2">
        <v>1.0</v>
      </c>
      <c r="B308" s="2" t="s">
        <v>964</v>
      </c>
      <c r="C308" s="2" t="s">
        <v>965</v>
      </c>
      <c r="D308" s="2" t="s">
        <v>67</v>
      </c>
      <c r="E308" s="2" t="s">
        <v>14</v>
      </c>
      <c r="F308" s="2" t="s">
        <v>15</v>
      </c>
      <c r="G308" s="2" t="s">
        <v>520</v>
      </c>
      <c r="H308" s="2" t="s">
        <v>113</v>
      </c>
      <c r="I308" s="2" t="str">
        <f>IFERROR(__xludf.DUMMYFUNCTION("GOOGLETRANSLATE(C308,""fr"",""en"")"),"Would it be possible to send me my insurance certificate as well as his sticker is by email below; either by mail to
Los almendros 5
Carretera de Arenas km 4
29753 Arenas / Spain
Best regards")</f>
        <v>Would it be possible to send me my insurance certificate as well as his sticker is by email below; either by mail to
Los almendros 5
Carretera de Arenas km 4
29753 Arenas / Spain
Best regards</v>
      </c>
    </row>
    <row r="309" ht="15.75" customHeight="1">
      <c r="A309" s="2">
        <v>2.0</v>
      </c>
      <c r="B309" s="2" t="s">
        <v>966</v>
      </c>
      <c r="C309" s="2" t="s">
        <v>967</v>
      </c>
      <c r="D309" s="2" t="s">
        <v>25</v>
      </c>
      <c r="E309" s="2" t="s">
        <v>14</v>
      </c>
      <c r="F309" s="2" t="s">
        <v>15</v>
      </c>
      <c r="G309" s="2" t="s">
        <v>968</v>
      </c>
      <c r="H309" s="2" t="s">
        <v>388</v>
      </c>
      <c r="I309" s="2" t="str">
        <f>IFERROR(__xludf.DUMMYFUNCTION("GOOGLETRANSLATE(C309,""fr"",""en"")"),"When I changed their address, they have intimated me to provide them with proof of address within 10 days, otherwise the termination!
I transmitted to them and they confirmed to me receipt.
They withdrew 29.90 e on my account on 04/10 and terminated my "&amp;"contract on 14/10 without warn and without explanation !!
If I had not looked on my account by chance, I would not even know that I am no longer insured !!!")</f>
        <v>When I changed their address, they have intimated me to provide them with proof of address within 10 days, otherwise the termination!
I transmitted to them and they confirmed to me receipt.
They withdrew 29.90 e on my account on 04/10 and terminated my contract on 14/10 without warn and without explanation !!
If I had not looked on my account by chance, I would not even know that I am no longer insured !!!</v>
      </c>
    </row>
    <row r="310" ht="15.75" customHeight="1">
      <c r="A310" s="2">
        <v>5.0</v>
      </c>
      <c r="B310" s="2" t="s">
        <v>969</v>
      </c>
      <c r="C310" s="2" t="s">
        <v>970</v>
      </c>
      <c r="D310" s="2" t="s">
        <v>25</v>
      </c>
      <c r="E310" s="2" t="s">
        <v>14</v>
      </c>
      <c r="F310" s="2" t="s">
        <v>15</v>
      </c>
      <c r="G310" s="2" t="s">
        <v>813</v>
      </c>
      <c r="H310" s="2" t="s">
        <v>101</v>
      </c>
      <c r="I310" s="2" t="str">
        <f>IFERROR(__xludf.DUMMYFUNCTION("GOOGLETRANSLATE(C310,""fr"",""en"")"),"I am satisfied with the prices of the service of speed and my contract it is clear and very simple")</f>
        <v>I am satisfied with the prices of the service of speed and my contract it is clear and very simple</v>
      </c>
    </row>
    <row r="311" ht="15.75" customHeight="1">
      <c r="A311" s="2">
        <v>1.0</v>
      </c>
      <c r="B311" s="2" t="s">
        <v>971</v>
      </c>
      <c r="C311" s="2" t="s">
        <v>972</v>
      </c>
      <c r="D311" s="2" t="s">
        <v>49</v>
      </c>
      <c r="E311" s="2" t="s">
        <v>96</v>
      </c>
      <c r="F311" s="2" t="s">
        <v>15</v>
      </c>
      <c r="G311" s="2" t="s">
        <v>973</v>
      </c>
      <c r="H311" s="2" t="s">
        <v>974</v>
      </c>
      <c r="I311" s="2" t="str">
        <f>IFERROR(__xludf.DUMMYFUNCTION("GOOGLETRANSLATE(C311,""fr"",""en"")"),"Too bad we can't put 0 on this gang of shabby
Contract on support € which reports 0.745% in 2019 and we must deduct the CSG and CRDS.
I picked up everything to put it on a competition contract and when I ask them to justify what they pick me up for the "&amp;"tax part I cannot have an answer.
We have no other solution to join them than the chat, which at home is stupid.
Your account must be sold in 8 days, personally it has requested more than a month and x reminders
Society to flee")</f>
        <v>Too bad we can't put 0 on this gang of shabby
Contract on support € which reports 0.745% in 2019 and we must deduct the CSG and CRDS.
I picked up everything to put it on a competition contract and when I ask them to justify what they pick me up for the tax part I cannot have an answer.
We have no other solution to join them than the chat, which at home is stupid.
Your account must be sold in 8 days, personally it has requested more than a month and x reminders
Society to flee</v>
      </c>
    </row>
    <row r="312" ht="15.75" customHeight="1">
      <c r="A312" s="2">
        <v>1.0</v>
      </c>
      <c r="B312" s="2" t="s">
        <v>975</v>
      </c>
      <c r="C312" s="2" t="s">
        <v>976</v>
      </c>
      <c r="D312" s="2" t="s">
        <v>977</v>
      </c>
      <c r="E312" s="2" t="s">
        <v>233</v>
      </c>
      <c r="F312" s="2" t="s">
        <v>15</v>
      </c>
      <c r="G312" s="2" t="s">
        <v>978</v>
      </c>
      <c r="H312" s="2" t="s">
        <v>974</v>
      </c>
      <c r="I312" s="2" t="str">
        <f>IFERROR(__xludf.DUMMYFUNCTION("GOOGLETRANSLATE(C312,""fr"",""en"")"),"My issue is the following . Policeman in arrest for eight months I resumed in therapeutic half-time, not without having beforehand, contacted 3 different advised (2 per telephone, 1 to the agency itself) who certified me that I was covered for the loss of"&amp;" salary. Once in the interior MTT refuses to unindemnize myself because I was in CMO and not in a long illness (which I myself refused to resume as soon as possible) .... the calls are recorded and the person who 'received to admit to having given me bad "&amp;"information because she was not aware ..... despite everything intermers refuses to return to her decision. I will therefore seize the court because in the very opinion of their delegate, Intermeau is at fault because its employees have an advisory role. "&amp;"I therefore seek insured in the same case as me in order to support my legal action so that the court is to the fact that these disinformation practices, so that the insured does not benefit from his rights, is commonplace in this mutual .")</f>
        <v>My issue is the following . Policeman in arrest for eight months I resumed in therapeutic half-time, not without having beforehand, contacted 3 different advised (2 per telephone, 1 to the agency itself) who certified me that I was covered for the loss of salary. Once in the interior MTT refuses to unindemnize myself because I was in CMO and not in a long illness (which I myself refused to resume as soon as possible) .... the calls are recorded and the person who 'received to admit to having given me bad information because she was not aware ..... despite everything intermers refuses to return to her decision. I will therefore seize the court because in the very opinion of their delegate, Intermeau is at fault because its employees have an advisory role. I therefore seek insured in the same case as me in order to support my legal action so that the court is to the fact that these disinformation practices, so that the insured does not benefit from his rights, is commonplace in this mutual .</v>
      </c>
    </row>
    <row r="313" ht="15.75" customHeight="1">
      <c r="A313" s="2">
        <v>5.0</v>
      </c>
      <c r="B313" s="2" t="s">
        <v>979</v>
      </c>
      <c r="C313" s="2" t="s">
        <v>980</v>
      </c>
      <c r="D313" s="2" t="s">
        <v>25</v>
      </c>
      <c r="E313" s="2" t="s">
        <v>14</v>
      </c>
      <c r="F313" s="2" t="s">
        <v>15</v>
      </c>
      <c r="G313" s="2" t="s">
        <v>351</v>
      </c>
      <c r="H313" s="2" t="s">
        <v>120</v>
      </c>
      <c r="I313" s="2" t="str">
        <f>IFERROR(__xludf.DUMMYFUNCTION("GOOGLETRANSLATE(C313,""fr"",""en"")"),"very pleasant phone
The price that meets my expectations
Redirection by Furet.com worked very well
The terms to send the documents and sign are clear and fast")</f>
        <v>very pleasant phone
The price that meets my expectations
Redirection by Furet.com worked very well
The terms to send the documents and sign are clear and fast</v>
      </c>
    </row>
    <row r="314" ht="15.75" customHeight="1">
      <c r="A314" s="2">
        <v>1.0</v>
      </c>
      <c r="B314" s="2" t="s">
        <v>981</v>
      </c>
      <c r="C314" s="2" t="s">
        <v>982</v>
      </c>
      <c r="D314" s="2" t="s">
        <v>107</v>
      </c>
      <c r="E314" s="2" t="s">
        <v>45</v>
      </c>
      <c r="F314" s="2" t="s">
        <v>15</v>
      </c>
      <c r="G314" s="2" t="s">
        <v>983</v>
      </c>
      <c r="H314" s="2" t="s">
        <v>131</v>
      </c>
      <c r="I314" s="2" t="str">
        <f>IFERROR(__xludf.DUMMYFUNCTION("GOOGLETRANSLATE(C314,""fr"",""en"")"),"It's a shame ... I strongly advise against this organization if you want to subscribe to a mutual. It's been 2 months now that I asked for the termination of my contract because I passed on the mutual insurance company of my company and I am strictly refu"&amp;"sed the termination despite sending the necessary documents. The modification of the refusal being different each time. All this to make the procedure drag as much as possible and continue to charge me every month. In addition, online customer service mak"&amp;"es me turn in a brilliance by making me go from one advisor to the other without ever giving me a viable response on how to terminate. I am indirectly understood that termination is ""prohibited"". Finally, I am still waiting for the reimbursement of my s"&amp;"urgery in early September, the also I am asked for a document out of nowhere as an excuse of the impossibility of my reimbursement. Conclusion A beautiful entouroupe to subtract a maximum of money without providing the expected services")</f>
        <v>It's a shame ... I strongly advise against this organization if you want to subscribe to a mutual. It's been 2 months now that I asked for the termination of my contract because I passed on the mutual insurance company of my company and I am strictly refused the termination despite sending the necessary documents. The modification of the refusal being different each time. All this to make the procedure drag as much as possible and continue to charge me every month. In addition, online customer service makes me turn in a brilliance by making me go from one advisor to the other without ever giving me a viable response on how to terminate. I am indirectly understood that termination is "prohibited". Finally, I am still waiting for the reimbursement of my surgery in early September, the also I am asked for a document out of nowhere as an excuse of the impossibility of my reimbursement. Conclusion A beautiful entouroupe to subtract a maximum of money without providing the expected services</v>
      </c>
    </row>
    <row r="315" ht="15.75" customHeight="1">
      <c r="A315" s="2">
        <v>1.0</v>
      </c>
      <c r="B315" s="2" t="s">
        <v>984</v>
      </c>
      <c r="C315" s="2" t="s">
        <v>985</v>
      </c>
      <c r="D315" s="2" t="s">
        <v>466</v>
      </c>
      <c r="E315" s="2" t="s">
        <v>96</v>
      </c>
      <c r="F315" s="2" t="s">
        <v>15</v>
      </c>
      <c r="G315" s="2" t="s">
        <v>986</v>
      </c>
      <c r="H315" s="2" t="s">
        <v>987</v>
      </c>
      <c r="I315" s="2" t="str">
        <f>IFERROR(__xludf.DUMMYFUNCTION("GOOGLETRANSLATE(C315,""fr"",""en"")"),"When I will receive the payment of my deceased uncle's donation on 23 03 2018 rather long and you do not answer my call why I will put this in the lawyer")</f>
        <v>When I will receive the payment of my deceased uncle's donation on 23 03 2018 rather long and you do not answer my call why I will put this in the lawyer</v>
      </c>
    </row>
    <row r="316" ht="15.75" customHeight="1">
      <c r="A316" s="2">
        <v>1.0</v>
      </c>
      <c r="B316" s="2" t="s">
        <v>988</v>
      </c>
      <c r="C316" s="2" t="s">
        <v>989</v>
      </c>
      <c r="D316" s="2" t="s">
        <v>339</v>
      </c>
      <c r="E316" s="2" t="s">
        <v>45</v>
      </c>
      <c r="F316" s="2" t="s">
        <v>15</v>
      </c>
      <c r="G316" s="2" t="s">
        <v>32</v>
      </c>
      <c r="H316" s="2" t="s">
        <v>27</v>
      </c>
      <c r="I316" s="2" t="str">
        <f>IFERROR(__xludf.DUMMYFUNCTION("GOOGLETRANSLATE(C316,""fr"",""en"")"),"From the moment we need them they are no longer impossible to have an answer for two mutual months to flee urgently despite mail and messages on their site tell me that a more competent person will remind me of I Always wait ....")</f>
        <v>From the moment we need them they are no longer impossible to have an answer for two mutual months to flee urgently despite mail and messages on their site tell me that a more competent person will remind me of I Always wait ....</v>
      </c>
    </row>
    <row r="317" ht="15.75" customHeight="1">
      <c r="A317" s="2">
        <v>1.0</v>
      </c>
      <c r="B317" s="2" t="s">
        <v>990</v>
      </c>
      <c r="C317" s="2" t="s">
        <v>991</v>
      </c>
      <c r="D317" s="2" t="s">
        <v>20</v>
      </c>
      <c r="E317" s="2" t="s">
        <v>50</v>
      </c>
      <c r="F317" s="2" t="s">
        <v>15</v>
      </c>
      <c r="G317" s="2" t="s">
        <v>992</v>
      </c>
      <c r="H317" s="2" t="s">
        <v>113</v>
      </c>
      <c r="I317" s="2" t="str">
        <f>IFERROR(__xludf.DUMMYFUNCTION("GOOGLETRANSLATE(C317,""fr"",""en"")"),"Assured at the maaf we followed a disaster to appeal to them and it is the disappointment !!!
I thought I was well insured when we see their advertising which can compete with the maaf and well I have the answer my old sogessur insurance !!!
I left beca"&amp;"use following the purchase of a car I had an interesting price offer if I put all my contracts with them !!!
Sic !!!!
We have a daughter with disabilities and a medical worker at home damaged my portal 'it no longer closes, the cell is damaged and as so"&amp;"on as it rains, the pillar is cracked and 2 months after we are still waiting for the Maaf is interested in our file despite our many calls, he sends me to the expert who does not answer our calls, moreover, we are still waiting for him to remind us for 1"&amp;" month !!!!!
Following 1 email I received a reimbursement quote or it excludes the pillar because it is supposedly functional however it is cracked and I cannot install a new portal on it
Yet on my contract it is specified compensation in the value of c"&amp;"onstruction has nine
Yet our daughter is with disabilities and can put themselves in danger if it is not closed, the holidays arrive we are in front of a Ciy Park and people come regularly to see if their ball is not with us so We can go back and V0ler a"&amp;"nd the maaf will not reimburse.
I left for a few days and I was afraid by guarding my car at night in a parking lot that I am damaged by my car and considering how he compensates for a disaster that I did not even have I imagine for my 2 Vehicles!
The"&amp;" maaf insurance to avoid a good financial deception at all costs it gets along with other insurances not to have to compensate
")</f>
        <v>Assured at the maaf we followed a disaster to appeal to them and it is the disappointment !!!
I thought I was well insured when we see their advertising which can compete with the maaf and well I have the answer my old sogessur insurance !!!
I left because following the purchase of a car I had an interesting price offer if I put all my contracts with them !!!
Sic !!!!
We have a daughter with disabilities and a medical worker at home damaged my portal 'it no longer closes, the cell is damaged and as soon as it rains, the pillar is cracked and 2 months after we are still waiting for the Maaf is interested in our file despite our many calls, he sends me to the expert who does not answer our calls, moreover, we are still waiting for him to remind us for 1 month !!!!!
Following 1 email I received a reimbursement quote or it excludes the pillar because it is supposedly functional however it is cracked and I cannot install a new portal on it
Yet on my contract it is specified compensation in the value of construction has nine
Yet our daughter is with disabilities and can put themselves in danger if it is not closed, the holidays arrive we are in front of a Ciy Park and people come regularly to see if their ball is not with us so We can go back and V0ler and the maaf will not reimburse.
I left for a few days and I was afraid by guarding my car at night in a parking lot that I am damaged by my car and considering how he compensates for a disaster that I did not even have I imagine for my 2 Vehicles!
The maaf insurance to avoid a good financial deception at all costs it gets along with other insurances not to have to compensate
</v>
      </c>
    </row>
    <row r="318" ht="15.75" customHeight="1">
      <c r="A318" s="2">
        <v>1.0</v>
      </c>
      <c r="B318" s="2" t="s">
        <v>993</v>
      </c>
      <c r="C318" s="2" t="s">
        <v>994</v>
      </c>
      <c r="D318" s="2" t="s">
        <v>398</v>
      </c>
      <c r="E318" s="2" t="s">
        <v>45</v>
      </c>
      <c r="F318" s="2" t="s">
        <v>15</v>
      </c>
      <c r="G318" s="2" t="s">
        <v>995</v>
      </c>
      <c r="H318" s="2" t="s">
        <v>371</v>
      </c>
      <c r="I318" s="2" t="str">
        <f>IFERROR(__xludf.DUMMYFUNCTION("GOOGLETRANSLATE(C318,""fr"",""en"")"),"Documents lost by mutual harmony concerning my CPAM change, no care of me since January 2017 ... I have returned all the documents and I am told that there is still a waiting period months, when the error comes from them and I have been waiting for 4 mont"&amp;"hs, inadmissible !!!! I do not recommend at all but then not at all this complementary.")</f>
        <v>Documents lost by mutual harmony concerning my CPAM change, no care of me since January 2017 ... I have returned all the documents and I am told that there is still a waiting period months, when the error comes from them and I have been waiting for 4 months, inadmissible !!!! I do not recommend at all but then not at all this complementary.</v>
      </c>
    </row>
    <row r="319" ht="15.75" customHeight="1">
      <c r="A319" s="2">
        <v>5.0</v>
      </c>
      <c r="B319" s="2" t="s">
        <v>996</v>
      </c>
      <c r="C319" s="2" t="s">
        <v>997</v>
      </c>
      <c r="D319" s="2" t="s">
        <v>30</v>
      </c>
      <c r="E319" s="2" t="s">
        <v>31</v>
      </c>
      <c r="F319" s="2" t="s">
        <v>15</v>
      </c>
      <c r="G319" s="2" t="s">
        <v>627</v>
      </c>
      <c r="H319" s="2" t="s">
        <v>101</v>
      </c>
      <c r="I319" s="2" t="str">
        <f>IFERROR(__xludf.DUMMYFUNCTION("GOOGLETRANSLATE(C319,""fr"",""en"")"),"Price well placed in relation to competition even if it is prohibitive;)
Very pleasant website
I hope the guarantees will be up to the price")</f>
        <v>Price well placed in relation to competition even if it is prohibitive;)
Very pleasant website
I hope the guarantees will be up to the price</v>
      </c>
    </row>
    <row r="320" ht="15.75" customHeight="1">
      <c r="A320" s="2">
        <v>2.0</v>
      </c>
      <c r="B320" s="2" t="s">
        <v>998</v>
      </c>
      <c r="C320" s="2" t="s">
        <v>999</v>
      </c>
      <c r="D320" s="2" t="s">
        <v>123</v>
      </c>
      <c r="E320" s="2" t="s">
        <v>233</v>
      </c>
      <c r="F320" s="2" t="s">
        <v>15</v>
      </c>
      <c r="G320" s="2" t="s">
        <v>1000</v>
      </c>
      <c r="H320" s="2" t="s">
        <v>624</v>
      </c>
      <c r="I320" s="2" t="str">
        <f>IFERROR(__xludf.DUMMYFUNCTION("GOOGLETRANSLATE(C320,""fr"",""en"")"),"No
We are May 13, 2018
And I still wait for my disability pension of the first trimester
Despite several phone calls and emails
No results
It is deplorable")</f>
        <v>No
We are May 13, 2018
And I still wait for my disability pension of the first trimester
Despite several phone calls and emails
No results
It is deplorable</v>
      </c>
    </row>
    <row r="321" ht="15.75" customHeight="1">
      <c r="A321" s="2">
        <v>3.0</v>
      </c>
      <c r="B321" s="2" t="s">
        <v>1001</v>
      </c>
      <c r="C321" s="2" t="s">
        <v>1002</v>
      </c>
      <c r="D321" s="2" t="s">
        <v>162</v>
      </c>
      <c r="E321" s="2" t="s">
        <v>45</v>
      </c>
      <c r="F321" s="2" t="s">
        <v>15</v>
      </c>
      <c r="G321" s="2" t="s">
        <v>1003</v>
      </c>
      <c r="H321" s="2" t="s">
        <v>431</v>
      </c>
      <c r="I321" s="2" t="str">
        <f>IFERROR(__xludf.DUMMYFUNCTION("GOOGLETRANSLATE(C321,""fr"",""en"")"),"Hello !! Very satisfied with Gwendal's welcome and patience. thanks to him")</f>
        <v>Hello !! Very satisfied with Gwendal's welcome and patience. thanks to him</v>
      </c>
    </row>
    <row r="322" ht="15.75" customHeight="1">
      <c r="A322" s="2">
        <v>1.0</v>
      </c>
      <c r="B322" s="2" t="s">
        <v>1004</v>
      </c>
      <c r="C322" s="2" t="s">
        <v>1005</v>
      </c>
      <c r="D322" s="2" t="s">
        <v>107</v>
      </c>
      <c r="E322" s="2" t="s">
        <v>45</v>
      </c>
      <c r="F322" s="2" t="s">
        <v>15</v>
      </c>
      <c r="G322" s="2" t="s">
        <v>500</v>
      </c>
      <c r="H322" s="2" t="s">
        <v>41</v>
      </c>
      <c r="I322" s="2" t="str">
        <f>IFERROR(__xludf.DUMMYFUNCTION("GOOGLETRANSLATE(C322,""fr"",""en"")"),"Impossible to have a competent person in the tel (we walk from one service to another)
The broker is at the absent subscriber .... on January 19 I had a very kind person in group France Assistance in order to increase my guarantees he did the necessary t"&amp;"o the neoliane but to date they have always regularized my case ....
I have left message on my member space on January 9 and they are always treated ..... In addition lying on the optics my broker told me that I will have a care 100 for 100 if I was goin"&amp;"g to Optic 2000 thing that I did but they offered me a single frame and the progressive glasses do not adapt to it which makes me 420 euros in my pocket .. ..
Very disappointed with this mutual and I really regret my previous one ...
")</f>
        <v>Impossible to have a competent person in the tel (we walk from one service to another)
The broker is at the absent subscriber .... on January 19 I had a very kind person in group France Assistance in order to increase my guarantees he did the necessary to the neoliane but to date they have always regularized my case ....
I have left message on my member space on January 9 and they are always treated ..... In addition lying on the optics my broker told me that I will have a care 100 for 100 if I was going to Optic 2000 thing that I did but they offered me a single frame and the progressive glasses do not adapt to it which makes me 420 euros in my pocket .. ..
Very disappointed with this mutual and I really regret my previous one ...
</v>
      </c>
    </row>
    <row r="323" ht="15.75" customHeight="1">
      <c r="A323" s="2">
        <v>4.0</v>
      </c>
      <c r="B323" s="2" t="s">
        <v>1006</v>
      </c>
      <c r="C323" s="2" t="s">
        <v>1007</v>
      </c>
      <c r="D323" s="2" t="s">
        <v>25</v>
      </c>
      <c r="E323" s="2" t="s">
        <v>14</v>
      </c>
      <c r="F323" s="2" t="s">
        <v>15</v>
      </c>
      <c r="G323" s="2" t="s">
        <v>399</v>
      </c>
      <c r="H323" s="2" t="s">
        <v>198</v>
      </c>
      <c r="I323" s="2" t="str">
        <f>IFERROR(__xludf.DUMMYFUNCTION("GOOGLETRANSLATE(C323,""fr"",""en"")"),"Listening to my current problem and benevolent interlocutor. Hoping for the same service if I encounter a problem one day. Prices that remain reasonable")</f>
        <v>Listening to my current problem and benevolent interlocutor. Hoping for the same service if I encounter a problem one day. Prices that remain reasonable</v>
      </c>
    </row>
    <row r="324" ht="15.75" customHeight="1">
      <c r="A324" s="2">
        <v>5.0</v>
      </c>
      <c r="B324" s="2" t="s">
        <v>1008</v>
      </c>
      <c r="C324" s="2" t="s">
        <v>1009</v>
      </c>
      <c r="D324" s="2" t="s">
        <v>25</v>
      </c>
      <c r="E324" s="2" t="s">
        <v>14</v>
      </c>
      <c r="F324" s="2" t="s">
        <v>15</v>
      </c>
      <c r="G324" s="2" t="s">
        <v>1010</v>
      </c>
      <c r="H324" s="2" t="s">
        <v>17</v>
      </c>
      <c r="I324" s="2" t="str">
        <f>IFERROR(__xludf.DUMMYFUNCTION("GOOGLETRANSLATE(C324,""fr"",""en"")"),"C good value on the value of the price in faster and efficient the telephone central is quite fast and the lady very charming thank you and good luck")</f>
        <v>C good value on the value of the price in faster and efficient the telephone central is quite fast and the lady very charming thank you and good luck</v>
      </c>
    </row>
    <row r="325" ht="15.75" customHeight="1">
      <c r="A325" s="2">
        <v>3.0</v>
      </c>
      <c r="B325" s="2" t="s">
        <v>1011</v>
      </c>
      <c r="C325" s="2" t="s">
        <v>1012</v>
      </c>
      <c r="D325" s="2" t="s">
        <v>25</v>
      </c>
      <c r="E325" s="2" t="s">
        <v>14</v>
      </c>
      <c r="F325" s="2" t="s">
        <v>15</v>
      </c>
      <c r="G325" s="2" t="s">
        <v>1013</v>
      </c>
      <c r="H325" s="2" t="s">
        <v>27</v>
      </c>
      <c r="I325" s="2" t="str">
        <f>IFERROR(__xludf.DUMMYFUNCTION("GOOGLETRANSLATE(C325,""fr"",""en"")"),"For the moment nothing to say procedure simple correct amount, we will see what it gives later, but for the moment I am satisfied with the service
")</f>
        <v>For the moment nothing to say procedure simple correct amount, we will see what it gives later, but for the moment I am satisfied with the service
</v>
      </c>
    </row>
    <row r="326" ht="15.75" customHeight="1">
      <c r="A326" s="2">
        <v>1.0</v>
      </c>
      <c r="B326" s="2" t="s">
        <v>1014</v>
      </c>
      <c r="C326" s="2" t="s">
        <v>1015</v>
      </c>
      <c r="D326" s="2" t="s">
        <v>770</v>
      </c>
      <c r="E326" s="2" t="s">
        <v>96</v>
      </c>
      <c r="F326" s="2" t="s">
        <v>15</v>
      </c>
      <c r="G326" s="2" t="s">
        <v>633</v>
      </c>
      <c r="H326" s="2" t="s">
        <v>198</v>
      </c>
      <c r="I326" s="2" t="str">
        <f>IFERROR(__xludf.DUMMYFUNCTION("GOOGLETRANSLATE(C326,""fr"",""en"")"),"Not reachable on the phone, the 5 lines transferred to a paid line 3 € plus the Comunation Person reachable, than the answering machine. No longer pays for my small annuity life insurance. The letter of proof of life not received in October the registered"&amp;" letter, the notice of receipt received 1 week after the envoy, with the documents requested, as the birth extract, still no answer, nor the sure payment my account . It's lamentable, not acceptable how elderly customers are treated. I'll complain. Beware"&amp;" before committing you not serious insurance !!!!! I had to be paid
By quarter around 15. November 2020, since 2014 on a letter of the transfer of the amount of the annuity, the date of the deadline is no longer mentioned by the Lyon office, which does n"&amp;"ot respond by phone either, what service ? Fortunately I still have my head. How the other elderly customers go, the time to understand is that we arrive, thinking that they have taken out life insurance at the nearness of serious life insurance and not t"&amp;"o worry about being paid in time. My bank does not wait and I have matters to respect")</f>
        <v>Not reachable on the phone, the 5 lines transferred to a paid line 3 € plus the Comunation Person reachable, than the answering machine. No longer pays for my small annuity life insurance. The letter of proof of life not received in October the registered letter, the notice of receipt received 1 week after the envoy, with the documents requested, as the birth extract, still no answer, nor the sure payment my account . It's lamentable, not acceptable how elderly customers are treated. I'll complain. Beware before committing you not serious insurance !!!!! I had to be paid
By quarter around 15. November 2020, since 2014 on a letter of the transfer of the amount of the annuity, the date of the deadline is no longer mentioned by the Lyon office, which does not respond by phone either, what service ? Fortunately I still have my head. How the other elderly customers go, the time to understand is that we arrive, thinking that they have taken out life insurance at the nearness of serious life insurance and not to worry about being paid in time. My bank does not wait and I have matters to respect</v>
      </c>
    </row>
    <row r="327" ht="15.75" customHeight="1">
      <c r="A327" s="2">
        <v>5.0</v>
      </c>
      <c r="B327" s="2" t="s">
        <v>1016</v>
      </c>
      <c r="C327" s="2" t="s">
        <v>1017</v>
      </c>
      <c r="D327" s="2" t="s">
        <v>39</v>
      </c>
      <c r="E327" s="2" t="s">
        <v>14</v>
      </c>
      <c r="F327" s="2" t="s">
        <v>15</v>
      </c>
      <c r="G327" s="2" t="s">
        <v>507</v>
      </c>
      <c r="H327" s="2" t="s">
        <v>77</v>
      </c>
      <c r="I327" s="2" t="str">
        <f>IFERROR(__xludf.DUMMYFUNCTION("GOOGLETRANSLATE(C327,""fr"",""en"")"),"Very satisfied with the telephone service during my auto insurance subscription and the price/service ratio. I'm waiting to see in the event of a disaster because I am a new customer.")</f>
        <v>Very satisfied with the telephone service during my auto insurance subscription and the price/service ratio. I'm waiting to see in the event of a disaster because I am a new customer.</v>
      </c>
    </row>
    <row r="328" ht="15.75" customHeight="1">
      <c r="A328" s="2">
        <v>4.0</v>
      </c>
      <c r="B328" s="2" t="s">
        <v>1018</v>
      </c>
      <c r="C328" s="2" t="s">
        <v>1019</v>
      </c>
      <c r="D328" s="2" t="s">
        <v>25</v>
      </c>
      <c r="E328" s="2" t="s">
        <v>14</v>
      </c>
      <c r="F328" s="2" t="s">
        <v>15</v>
      </c>
      <c r="G328" s="2" t="s">
        <v>1010</v>
      </c>
      <c r="H328" s="2" t="s">
        <v>17</v>
      </c>
      <c r="I328" s="2" t="str">
        <f>IFERROR(__xludf.DUMMYFUNCTION("GOOGLETRANSLATE(C328,""fr"",""en"")"),"Prices suit me cheaper than other insurance for the same guarantees.
I wait to give my opinion if one day I have a problem to see the service.")</f>
        <v>Prices suit me cheaper than other insurance for the same guarantees.
I wait to give my opinion if one day I have a problem to see the service.</v>
      </c>
    </row>
    <row r="329" ht="15.75" customHeight="1">
      <c r="A329" s="2">
        <v>4.0</v>
      </c>
      <c r="B329" s="2" t="s">
        <v>1020</v>
      </c>
      <c r="C329" s="2" t="s">
        <v>1021</v>
      </c>
      <c r="D329" s="2" t="s">
        <v>35</v>
      </c>
      <c r="E329" s="2" t="s">
        <v>31</v>
      </c>
      <c r="F329" s="2" t="s">
        <v>15</v>
      </c>
      <c r="G329" s="2" t="s">
        <v>1022</v>
      </c>
      <c r="H329" s="2" t="s">
        <v>84</v>
      </c>
      <c r="I329" s="2" t="str">
        <f>IFERROR(__xludf.DUMMYFUNCTION("GOOGLETRANSLATE(C329,""fr"",""en"")"),"reassured to hit the road
Simple and easy to add an option
Just a question or find the number of assistance such?
Cordially")</f>
        <v>reassured to hit the road
Simple and easy to add an option
Just a question or find the number of assistance such?
Cordially</v>
      </c>
    </row>
    <row r="330" ht="15.75" customHeight="1">
      <c r="A330" s="2">
        <v>3.0</v>
      </c>
      <c r="B330" s="2" t="s">
        <v>1023</v>
      </c>
      <c r="C330" s="2" t="s">
        <v>1024</v>
      </c>
      <c r="D330" s="2" t="s">
        <v>35</v>
      </c>
      <c r="E330" s="2" t="s">
        <v>31</v>
      </c>
      <c r="F330" s="2" t="s">
        <v>15</v>
      </c>
      <c r="G330" s="2" t="s">
        <v>837</v>
      </c>
      <c r="H330" s="2" t="s">
        <v>84</v>
      </c>
      <c r="I330" s="2" t="str">
        <f>IFERROR(__xludf.DUMMYFUNCTION("GOOGLETRANSLATE(C330,""fr"",""en"")"),"Everything is quick to set up but I find the rates a little high
I will compare for next year because for a hobby it starts to sting")</f>
        <v>Everything is quick to set up but I find the rates a little high
I will compare for next year because for a hobby it starts to sting</v>
      </c>
    </row>
    <row r="331" ht="15.75" customHeight="1">
      <c r="A331" s="2">
        <v>3.0</v>
      </c>
      <c r="B331" s="2" t="s">
        <v>1025</v>
      </c>
      <c r="C331" s="2" t="s">
        <v>1026</v>
      </c>
      <c r="D331" s="2" t="s">
        <v>39</v>
      </c>
      <c r="E331" s="2" t="s">
        <v>14</v>
      </c>
      <c r="F331" s="2" t="s">
        <v>15</v>
      </c>
      <c r="G331" s="2" t="s">
        <v>1027</v>
      </c>
      <c r="H331" s="2" t="s">
        <v>202</v>
      </c>
      <c r="I331" s="2" t="str">
        <f>IFERROR(__xludf.DUMMYFUNCTION("GOOGLETRANSLATE(C331,""fr"",""en"")"),"By adding a contract I thought I had the right to have a reduction.
The original price suits me but to have suitable insurance you must add dice then")</f>
        <v>By adding a contract I thought I had the right to have a reduction.
The original price suits me but to have suitable insurance you must add dice then</v>
      </c>
    </row>
    <row r="332" ht="15.75" customHeight="1">
      <c r="A332" s="2">
        <v>1.0</v>
      </c>
      <c r="B332" s="2" t="s">
        <v>1028</v>
      </c>
      <c r="C332" s="2" t="s">
        <v>1029</v>
      </c>
      <c r="D332" s="2" t="s">
        <v>13</v>
      </c>
      <c r="E332" s="2" t="s">
        <v>14</v>
      </c>
      <c r="F332" s="2" t="s">
        <v>15</v>
      </c>
      <c r="G332" s="2" t="s">
        <v>1030</v>
      </c>
      <c r="H332" s="2" t="s">
        <v>22</v>
      </c>
      <c r="I332" s="2" t="str">
        <f>IFERROR(__xludf.DUMMYFUNCTION("GOOGLETRANSLATE(C332,""fr"",""en"")"),"RUN AWAY !!!! A month to have an information statement, my banker had to intervene as the incompetence is great ... They managed to put a penalty on the repair of an ice cream, result? 15 € contribution per month in addition that I try to be reimbursed. P"&amp;"ray for me the path is long ... About twenty calls just to have an information statement ...")</f>
        <v>RUN AWAY !!!! A month to have an information statement, my banker had to intervene as the incompetence is great ... They managed to put a penalty on the repair of an ice cream, result? 15 € contribution per month in addition that I try to be reimbursed. Pray for me the path is long ... About twenty calls just to have an information statement ...</v>
      </c>
    </row>
    <row r="333" ht="15.75" customHeight="1">
      <c r="A333" s="2">
        <v>5.0</v>
      </c>
      <c r="B333" s="2" t="s">
        <v>1031</v>
      </c>
      <c r="C333" s="2" t="s">
        <v>1032</v>
      </c>
      <c r="D333" s="2" t="s">
        <v>39</v>
      </c>
      <c r="E333" s="2" t="s">
        <v>14</v>
      </c>
      <c r="F333" s="2" t="s">
        <v>15</v>
      </c>
      <c r="G333" s="2" t="s">
        <v>681</v>
      </c>
      <c r="H333" s="2" t="s">
        <v>109</v>
      </c>
      <c r="I333" s="2" t="str">
        <f>IFERROR(__xludf.DUMMYFUNCTION("GOOGLETRANSLATE(C333,""fr"",""en"")"),"Very satisfied.
The application and the site facilitates the management of vehicles and housing. I therefore recommend direct insurance. The telephone reception is very good.")</f>
        <v>Very satisfied.
The application and the site facilitates the management of vehicles and housing. I therefore recommend direct insurance. The telephone reception is very good.</v>
      </c>
    </row>
    <row r="334" ht="15.75" customHeight="1">
      <c r="A334" s="2">
        <v>1.0</v>
      </c>
      <c r="B334" s="2" t="s">
        <v>1033</v>
      </c>
      <c r="C334" s="2" t="s">
        <v>1034</v>
      </c>
      <c r="D334" s="2" t="s">
        <v>259</v>
      </c>
      <c r="E334" s="2" t="s">
        <v>14</v>
      </c>
      <c r="F334" s="2" t="s">
        <v>15</v>
      </c>
      <c r="G334" s="2" t="s">
        <v>1035</v>
      </c>
      <c r="H334" s="2" t="s">
        <v>1036</v>
      </c>
      <c r="I334" s="2" t="str">
        <f>IFERROR(__xludf.DUMMYFUNCTION("GOOGLETRANSLATE(C334,""fr"",""en"")"),"Do not count on the Macif to take care of you seriously if you have an accident, even if you are not responsible. Everything is done to discourage you so that you accept their conclusions.")</f>
        <v>Do not count on the Macif to take care of you seriously if you have an accident, even if you are not responsible. Everything is done to discourage you so that you accept their conclusions.</v>
      </c>
    </row>
    <row r="335" ht="15.75" customHeight="1">
      <c r="A335" s="2">
        <v>2.0</v>
      </c>
      <c r="B335" s="2" t="s">
        <v>1037</v>
      </c>
      <c r="C335" s="2" t="s">
        <v>1038</v>
      </c>
      <c r="D335" s="2" t="s">
        <v>137</v>
      </c>
      <c r="E335" s="2" t="s">
        <v>429</v>
      </c>
      <c r="F335" s="2" t="s">
        <v>15</v>
      </c>
      <c r="G335" s="2" t="s">
        <v>1039</v>
      </c>
      <c r="H335" s="2" t="s">
        <v>624</v>
      </c>
      <c r="I335" s="2" t="str">
        <f>IFERROR(__xludf.DUMMYFUNCTION("GOOGLETRANSLATE(C335,""fr"",""en"")"),"A disaster.
We take hours to have an advisor who is never the same.
We are asked for medical parts that have already been provided.
We are told that the deadlines will be very fast.
They answer for their defense that they are under effective")</f>
        <v>A disaster.
We take hours to have an advisor who is never the same.
We are asked for medical parts that have already been provided.
We are told that the deadlines will be very fast.
They answer for their defense that they are under effective</v>
      </c>
    </row>
    <row r="336" ht="15.75" customHeight="1">
      <c r="A336" s="2">
        <v>3.0</v>
      </c>
      <c r="B336" s="2" t="s">
        <v>1040</v>
      </c>
      <c r="C336" s="2" t="s">
        <v>1041</v>
      </c>
      <c r="D336" s="2" t="s">
        <v>39</v>
      </c>
      <c r="E336" s="2" t="s">
        <v>14</v>
      </c>
      <c r="F336" s="2" t="s">
        <v>15</v>
      </c>
      <c r="G336" s="2" t="s">
        <v>1042</v>
      </c>
      <c r="H336" s="2" t="s">
        <v>77</v>
      </c>
      <c r="I336" s="2" t="str">
        <f>IFERROR(__xludf.DUMMYFUNCTION("GOOGLETRANSLATE(C336,""fr"",""en"")"),"I transmitted two letters of termination in November 2020 following a departure abroad, do in the same way:
- one for my home insurance
- One for my car insurance
Housing insurance has been terminated immediately,
Car insurance is not always by termin"&amp;"ated properly for an alleged history of signing the mail initially, and then when I send the signed mail I am asked to release new documents to justify the sale .... unacceptable !! !!!")</f>
        <v>I transmitted two letters of termination in November 2020 following a departure abroad, do in the same way:
- one for my home insurance
- One for my car insurance
Housing insurance has been terminated immediately,
Car insurance is not always by terminated properly for an alleged history of signing the mail initially, and then when I send the signed mail I am asked to release new documents to justify the sale .... unacceptable !! !!!</v>
      </c>
    </row>
    <row r="337" ht="15.75" customHeight="1">
      <c r="A337" s="2">
        <v>3.0</v>
      </c>
      <c r="B337" s="2" t="s">
        <v>1043</v>
      </c>
      <c r="C337" s="2" t="s">
        <v>1044</v>
      </c>
      <c r="D337" s="2" t="s">
        <v>30</v>
      </c>
      <c r="E337" s="2" t="s">
        <v>31</v>
      </c>
      <c r="F337" s="2" t="s">
        <v>15</v>
      </c>
      <c r="G337" s="2" t="s">
        <v>1045</v>
      </c>
      <c r="H337" s="2" t="s">
        <v>27</v>
      </c>
      <c r="I337" s="2" t="str">
        <f>IFERROR(__xludf.DUMMYFUNCTION("GOOGLETRANSLATE(C337,""fr"",""en"")"),"Too expensive in my opinion to motorcycle from time to time!
I pay more than for my Audi Q5 at all risk!
As long as there was no accident it should be cheaper.")</f>
        <v>Too expensive in my opinion to motorcycle from time to time!
I pay more than for my Audi Q5 at all risk!
As long as there was no accident it should be cheaper.</v>
      </c>
    </row>
    <row r="338" ht="15.75" customHeight="1">
      <c r="A338" s="2">
        <v>5.0</v>
      </c>
      <c r="B338" s="2" t="s">
        <v>1046</v>
      </c>
      <c r="C338" s="2" t="s">
        <v>1047</v>
      </c>
      <c r="D338" s="2" t="s">
        <v>39</v>
      </c>
      <c r="E338" s="2" t="s">
        <v>14</v>
      </c>
      <c r="F338" s="2" t="s">
        <v>15</v>
      </c>
      <c r="G338" s="2" t="s">
        <v>728</v>
      </c>
      <c r="H338" s="2" t="s">
        <v>27</v>
      </c>
      <c r="I338" s="2" t="str">
        <f>IFERROR(__xludf.DUMMYFUNCTION("GOOGLETRANSLATE(C338,""fr"",""en"")"),"Quick and easy subscription, very attractive prices
Attentive and kind interlocutor
I was guided until the validation of my contract was sent to me immediately
Everything took less than 30 minutes")</f>
        <v>Quick and easy subscription, very attractive prices
Attentive and kind interlocutor
I was guided until the validation of my contract was sent to me immediately
Everything took less than 30 minutes</v>
      </c>
    </row>
    <row r="339" ht="15.75" customHeight="1">
      <c r="A339" s="2">
        <v>4.0</v>
      </c>
      <c r="B339" s="2" t="s">
        <v>1048</v>
      </c>
      <c r="C339" s="2" t="s">
        <v>1049</v>
      </c>
      <c r="D339" s="2" t="s">
        <v>39</v>
      </c>
      <c r="E339" s="2" t="s">
        <v>14</v>
      </c>
      <c r="F339" s="2" t="s">
        <v>15</v>
      </c>
      <c r="G339" s="2" t="s">
        <v>661</v>
      </c>
      <c r="H339" s="2" t="s">
        <v>17</v>
      </c>
      <c r="I339" s="2" t="str">
        <f>IFERROR(__xludf.DUMMYFUNCTION("GOOGLETRANSLATE(C339,""fr"",""en"")"),"Very fluid process, excellent exchange with a very professional interlocutor.
The vehicle loan guarantee compared to the serenity pack in which I have subscribed could be better explained")</f>
        <v>Very fluid process, excellent exchange with a very professional interlocutor.
The vehicle loan guarantee compared to the serenity pack in which I have subscribed could be better explained</v>
      </c>
    </row>
    <row r="340" ht="15.75" customHeight="1">
      <c r="A340" s="2">
        <v>3.0</v>
      </c>
      <c r="B340" s="2" t="s">
        <v>1050</v>
      </c>
      <c r="C340" s="2" t="s">
        <v>1051</v>
      </c>
      <c r="D340" s="2" t="s">
        <v>87</v>
      </c>
      <c r="E340" s="2" t="s">
        <v>14</v>
      </c>
      <c r="F340" s="2" t="s">
        <v>15</v>
      </c>
      <c r="G340" s="2" t="s">
        <v>1052</v>
      </c>
      <c r="H340" s="2" t="s">
        <v>371</v>
      </c>
      <c r="I340" s="2" t="str">
        <f>IFERROR(__xludf.DUMMYFUNCTION("GOOGLETRANSLATE(C340,""fr"",""en"")"),"You make you pay two months ""in advance"" to ultimately take you two months before the deadline for the year after without proposing to change payment methods. Paid and average quality customer service")</f>
        <v>You make you pay two months "in advance" to ultimately take you two months before the deadline for the year after without proposing to change payment methods. Paid and average quality customer service</v>
      </c>
    </row>
    <row r="341" ht="15.75" customHeight="1">
      <c r="A341" s="2">
        <v>4.0</v>
      </c>
      <c r="B341" s="2" t="s">
        <v>1053</v>
      </c>
      <c r="C341" s="2" t="s">
        <v>1054</v>
      </c>
      <c r="D341" s="2" t="s">
        <v>25</v>
      </c>
      <c r="E341" s="2" t="s">
        <v>14</v>
      </c>
      <c r="F341" s="2" t="s">
        <v>15</v>
      </c>
      <c r="G341" s="2" t="s">
        <v>1055</v>
      </c>
      <c r="H341" s="2" t="s">
        <v>77</v>
      </c>
      <c r="I341" s="2" t="str">
        <f>IFERROR(__xludf.DUMMYFUNCTION("GOOGLETRANSLATE(C341,""fr"",""en"")"),"I like the speed with which we treat my situations. Having a new vehicle, that's exactly what I was looking for.
I highly recommend the olive assurance")</f>
        <v>I like the speed with which we treat my situations. Having a new vehicle, that's exactly what I was looking for.
I highly recommend the olive assurance</v>
      </c>
    </row>
    <row r="342" ht="15.75" customHeight="1">
      <c r="A342" s="2">
        <v>5.0</v>
      </c>
      <c r="B342" s="2" t="s">
        <v>1056</v>
      </c>
      <c r="C342" s="2" t="s">
        <v>1057</v>
      </c>
      <c r="D342" s="2" t="s">
        <v>1058</v>
      </c>
      <c r="E342" s="2" t="s">
        <v>347</v>
      </c>
      <c r="F342" s="2" t="s">
        <v>15</v>
      </c>
      <c r="G342" s="2" t="s">
        <v>1059</v>
      </c>
      <c r="H342" s="2" t="s">
        <v>785</v>
      </c>
      <c r="I342" s="2" t="str">
        <f>IFERROR(__xludf.DUMMYFUNCTION("GOOGLETRANSLATE(C342,""fr"",""en"")"),"In view of the very bad note attributed, I wanted to say that I sterilized my 3 cats on January 16 and that I was reimbursed on 24, only 8 days later. I have subscribed to their insurance. I subscribed to their insurance on January 7, there are few insura"&amp;"nces that reimburse sterilization when the subscription has just been done.")</f>
        <v>In view of the very bad note attributed, I wanted to say that I sterilized my 3 cats on January 16 and that I was reimbursed on 24, only 8 days later. I have subscribed to their insurance. I subscribed to their insurance on January 7, there are few insurances that reimburse sterilization when the subscription has just been done.</v>
      </c>
    </row>
    <row r="343" ht="15.75" customHeight="1">
      <c r="A343" s="2">
        <v>5.0</v>
      </c>
      <c r="B343" s="2" t="s">
        <v>1060</v>
      </c>
      <c r="C343" s="2" t="s">
        <v>1061</v>
      </c>
      <c r="D343" s="2" t="s">
        <v>35</v>
      </c>
      <c r="E343" s="2" t="s">
        <v>31</v>
      </c>
      <c r="F343" s="2" t="s">
        <v>15</v>
      </c>
      <c r="G343" s="2" t="s">
        <v>80</v>
      </c>
      <c r="H343" s="2" t="s">
        <v>17</v>
      </c>
      <c r="I343" s="2" t="str">
        <f>IFERROR(__xludf.DUMMYFUNCTION("GOOGLETRANSLATE(C343,""fr"",""en"")"),"Presentation of the very simple site with recording of the very fast demand.
The prices are very competitive (2 times cheaper than at other insurers). I recommend.")</f>
        <v>Presentation of the very simple site with recording of the very fast demand.
The prices are very competitive (2 times cheaper than at other insurers). I recommend.</v>
      </c>
    </row>
    <row r="344" ht="15.75" customHeight="1">
      <c r="A344" s="2">
        <v>5.0</v>
      </c>
      <c r="B344" s="2" t="s">
        <v>1062</v>
      </c>
      <c r="C344" s="2" t="s">
        <v>1063</v>
      </c>
      <c r="D344" s="2" t="s">
        <v>87</v>
      </c>
      <c r="E344" s="2" t="s">
        <v>14</v>
      </c>
      <c r="F344" s="2" t="s">
        <v>15</v>
      </c>
      <c r="G344" s="2" t="s">
        <v>1064</v>
      </c>
      <c r="H344" s="2" t="s">
        <v>857</v>
      </c>
      <c r="I344" s="2" t="str">
        <f>IFERROR(__xludf.DUMMYFUNCTION("GOOGLETRANSLATE(C344,""fr"",""en"")"),"I was pleasantly stubborn with the rapid management of my car insurance, with quick and simple procedures. No need for the Contact and website is more than enough. In addition I can access my customer area and find all the documents I provided and at this"&amp;" price there is something to be super satisfied.")</f>
        <v>I was pleasantly stubborn with the rapid management of my car insurance, with quick and simple procedures. No need for the Contact and website is more than enough. In addition I can access my customer area and find all the documents I provided and at this price there is something to be super satisfied.</v>
      </c>
    </row>
    <row r="345" ht="15.75" customHeight="1">
      <c r="A345" s="2">
        <v>5.0</v>
      </c>
      <c r="B345" s="2" t="s">
        <v>1065</v>
      </c>
      <c r="C345" s="2" t="s">
        <v>1066</v>
      </c>
      <c r="D345" s="2" t="s">
        <v>39</v>
      </c>
      <c r="E345" s="2" t="s">
        <v>14</v>
      </c>
      <c r="F345" s="2" t="s">
        <v>15</v>
      </c>
      <c r="G345" s="2" t="s">
        <v>108</v>
      </c>
      <c r="H345" s="2" t="s">
        <v>109</v>
      </c>
      <c r="I345" s="2" t="str">
        <f>IFERROR(__xludf.DUMMYFUNCTION("GOOGLETRANSLATE(C345,""fr"",""en"")"),"I am very satisfied with your service and the quality of your listening. Your contract is efficient and competitive compared to all the other contracts that I have known I am 56 years old so I knew a lot of insurer")</f>
        <v>I am very satisfied with your service and the quality of your listening. Your contract is efficient and competitive compared to all the other contracts that I have known I am 56 years old so I knew a lot of insurer</v>
      </c>
    </row>
    <row r="346" ht="15.75" customHeight="1">
      <c r="A346" s="2">
        <v>1.0</v>
      </c>
      <c r="B346" s="2" t="s">
        <v>1067</v>
      </c>
      <c r="C346" s="2" t="s">
        <v>1068</v>
      </c>
      <c r="D346" s="2" t="s">
        <v>208</v>
      </c>
      <c r="E346" s="2" t="s">
        <v>14</v>
      </c>
      <c r="F346" s="2" t="s">
        <v>15</v>
      </c>
      <c r="G346" s="2" t="s">
        <v>647</v>
      </c>
      <c r="H346" s="2" t="s">
        <v>69</v>
      </c>
      <c r="I346" s="2" t="str">
        <f>IFERROR(__xludf.DUMMYFUNCTION("GOOGLETRANSLATE(C346,""fr"",""en"")"),"Insured for 1 year at the Matmut for 2 vehicles and home insurance, I had the pleasure of discovering the termination of my contracts following a hanging without corporal damage in a parking lot after a year of insurance.
Termination is a legal clause re"&amp;"gistered with the contract, so no problems.
My partner, who lives in the same accommodation as I had the pleasure of discovering that he was also terminated under the reason ""that I risk taking his vehicle"" a shame
Know, that once to terminate 75 % of"&amp;" insurances no longer want to assure you
I have never received the termination letter sent by LRAR according to them! This document was asked for me by my new insurer in order to be able to complete the file and to be able to reassure me.
After 1 mont"&amp;"h of waiting and complaint to send me a copy of this document still nothing ... Currently I can therefore insure myself anywhere as long as I have not received this document (request to make by my personal space , by LRAR and by a dozen calls in agencies "&amp;"...)
Insurance to flee")</f>
        <v>Insured for 1 year at the Matmut for 2 vehicles and home insurance, I had the pleasure of discovering the termination of my contracts following a hanging without corporal damage in a parking lot after a year of insurance.
Termination is a legal clause registered with the contract, so no problems.
My partner, who lives in the same accommodation as I had the pleasure of discovering that he was also terminated under the reason "that I risk taking his vehicle" a shame
Know, that once to terminate 75 % of insurances no longer want to assure you
I have never received the termination letter sent by LRAR according to them! This document was asked for me by my new insurer in order to be able to complete the file and to be able to reassure me.
After 1 month of waiting and complaint to send me a copy of this document still nothing ... Currently I can therefore insure myself anywhere as long as I have not received this document (request to make by my personal space , by LRAR and by a dozen calls in agencies ...)
Insurance to flee</v>
      </c>
    </row>
    <row r="347" ht="15.75" customHeight="1">
      <c r="A347" s="2">
        <v>2.0</v>
      </c>
      <c r="B347" s="2" t="s">
        <v>1069</v>
      </c>
      <c r="C347" s="2" t="s">
        <v>1070</v>
      </c>
      <c r="D347" s="2" t="s">
        <v>39</v>
      </c>
      <c r="E347" s="2" t="s">
        <v>50</v>
      </c>
      <c r="F347" s="2" t="s">
        <v>15</v>
      </c>
      <c r="G347" s="2" t="s">
        <v>1071</v>
      </c>
      <c r="H347" s="2" t="s">
        <v>987</v>
      </c>
      <c r="I347" s="2" t="str">
        <f>IFERROR(__xludf.DUMMYFUNCTION("GOOGLETRANSLATE(C347,""fr"",""en"")"),"I had an accident more than a year ago and despite the reminders nothing happens.")</f>
        <v>I had an accident more than a year ago and despite the reminders nothing happens.</v>
      </c>
    </row>
    <row r="348" ht="15.75" customHeight="1">
      <c r="A348" s="2">
        <v>5.0</v>
      </c>
      <c r="B348" s="2" t="s">
        <v>1072</v>
      </c>
      <c r="C348" s="2" t="s">
        <v>1073</v>
      </c>
      <c r="D348" s="2" t="s">
        <v>25</v>
      </c>
      <c r="E348" s="2" t="s">
        <v>14</v>
      </c>
      <c r="F348" s="2" t="s">
        <v>15</v>
      </c>
      <c r="G348" s="2" t="s">
        <v>1010</v>
      </c>
      <c r="H348" s="2" t="s">
        <v>17</v>
      </c>
      <c r="I348" s="2" t="str">
        <f>IFERROR(__xludf.DUMMYFUNCTION("GOOGLETRANSLATE(C348,""fr"",""en"")"),"Simple and practical. Excellent service. The employee who took care of me was very kind. I have not yet used insurance, but for the moment I am satisfied.")</f>
        <v>Simple and practical. Excellent service. The employee who took care of me was very kind. I have not yet used insurance, but for the moment I am satisfied.</v>
      </c>
    </row>
    <row r="349" ht="15.75" customHeight="1">
      <c r="A349" s="2">
        <v>1.0</v>
      </c>
      <c r="B349" s="2" t="s">
        <v>1074</v>
      </c>
      <c r="C349" s="2" t="s">
        <v>1075</v>
      </c>
      <c r="D349" s="2" t="s">
        <v>259</v>
      </c>
      <c r="E349" s="2" t="s">
        <v>233</v>
      </c>
      <c r="F349" s="2" t="s">
        <v>15</v>
      </c>
      <c r="G349" s="2" t="s">
        <v>1076</v>
      </c>
      <c r="H349" s="2" t="s">
        <v>224</v>
      </c>
      <c r="I349" s="2" t="str">
        <f>IFERROR(__xludf.DUMMYFUNCTION("GOOGLETRANSLATE(C349,""fr"",""en"")"),"In the event of damage, the agents of the Macif do everything possible so as not to compensate you; Also make it possible to prevent you from engaging in a procedure against EUR to be able to benefit from the prescription. Macif maneuver are evil and sham"&amp;"eless.")</f>
        <v>In the event of damage, the agents of the Macif do everything possible so as not to compensate you; Also make it possible to prevent you from engaging in a procedure against EUR to be able to benefit from the prescription. Macif maneuver are evil and shameless.</v>
      </c>
    </row>
    <row r="350" ht="15.75" customHeight="1">
      <c r="A350" s="2">
        <v>2.0</v>
      </c>
      <c r="B350" s="2" t="s">
        <v>1077</v>
      </c>
      <c r="C350" s="2" t="s">
        <v>1078</v>
      </c>
      <c r="D350" s="2" t="s">
        <v>39</v>
      </c>
      <c r="E350" s="2" t="s">
        <v>14</v>
      </c>
      <c r="F350" s="2" t="s">
        <v>15</v>
      </c>
      <c r="G350" s="2" t="s">
        <v>1079</v>
      </c>
      <c r="H350" s="2" t="s">
        <v>295</v>
      </c>
      <c r="I350" s="2" t="str">
        <f>IFERROR(__xludf.DUMMYFUNCTION("GOOGLETRANSLATE(C350,""fr"",""en"")"),"Following degradations made on my vehicle and being assured that at third parties, I am asked to make an observation when individuals are minor, the police told me that even in third party it is up to my assurance to do the steps But she then refuses that"&amp;" it is not they who will paid the damage !!!! I do not intend to stop there and I will change insurance !!!!! Deplorable service !!!!!!!!")</f>
        <v>Following degradations made on my vehicle and being assured that at third parties, I am asked to make an observation when individuals are minor, the police told me that even in third party it is up to my assurance to do the steps But she then refuses that it is not they who will paid the damage !!!! I do not intend to stop there and I will change insurance !!!!! Deplorable service !!!!!!!!</v>
      </c>
    </row>
    <row r="351" ht="15.75" customHeight="1">
      <c r="A351" s="2">
        <v>2.0</v>
      </c>
      <c r="B351" s="2" t="s">
        <v>1080</v>
      </c>
      <c r="C351" s="2" t="s">
        <v>1081</v>
      </c>
      <c r="D351" s="2" t="s">
        <v>794</v>
      </c>
      <c r="E351" s="2" t="s">
        <v>31</v>
      </c>
      <c r="F351" s="2" t="s">
        <v>15</v>
      </c>
      <c r="G351" s="2" t="s">
        <v>1082</v>
      </c>
      <c r="H351" s="2" t="s">
        <v>1083</v>
      </c>
      <c r="I351" s="2" t="str">
        <f>IFERROR(__xludf.DUMMYFUNCTION("GOOGLETRANSLATE(C351,""fr"",""en"")"),"I was overturned by a car that fled, the author was identified, I have two witnesses including an agent of the Surveillance Company AREA and yet I have to make the lead because despite all that Mutual do not know who is responsible when it is written blac"&amp;"k on white ..... in bad faith and a managers of the file which has been doing nothing for three months, no advance of the file, not professional, shameful")</f>
        <v>I was overturned by a car that fled, the author was identified, I have two witnesses including an agent of the Surveillance Company AREA and yet I have to make the lead because despite all that Mutual do not know who is responsible when it is written black on white ..... in bad faith and a managers of the file which has been doing nothing for three months, no advance of the file, not professional, shameful</v>
      </c>
    </row>
    <row r="352" ht="15.75" customHeight="1">
      <c r="A352" s="2">
        <v>1.0</v>
      </c>
      <c r="B352" s="2" t="s">
        <v>1084</v>
      </c>
      <c r="C352" s="2" t="s">
        <v>1085</v>
      </c>
      <c r="D352" s="2" t="s">
        <v>35</v>
      </c>
      <c r="E352" s="2" t="s">
        <v>31</v>
      </c>
      <c r="F352" s="2" t="s">
        <v>15</v>
      </c>
      <c r="G352" s="2" t="s">
        <v>1086</v>
      </c>
      <c r="H352" s="2" t="s">
        <v>624</v>
      </c>
      <c r="I352" s="2" t="str">
        <f>IFERROR(__xludf.DUMMYFUNCTION("GOOGLETRANSLATE(C352,""fr"",""en"")"),"It's been 2 and a half years now that my spouse has had a motorcycle accident and the file is still sleeping .. when we call so that they relaunch the other insurance we star and the advisor would always be on vacation ....")</f>
        <v>It's been 2 and a half years now that my spouse has had a motorcycle accident and the file is still sleeping .. when we call so that they relaunch the other insurance we star and the advisor would always be on vacation ....</v>
      </c>
    </row>
    <row r="353" ht="15.75" customHeight="1">
      <c r="A353" s="2">
        <v>4.0</v>
      </c>
      <c r="B353" s="2" t="s">
        <v>1087</v>
      </c>
      <c r="C353" s="2" t="s">
        <v>1088</v>
      </c>
      <c r="D353" s="2" t="s">
        <v>35</v>
      </c>
      <c r="E353" s="2" t="s">
        <v>31</v>
      </c>
      <c r="F353" s="2" t="s">
        <v>15</v>
      </c>
      <c r="G353" s="2" t="s">
        <v>1089</v>
      </c>
      <c r="H353" s="2" t="s">
        <v>77</v>
      </c>
      <c r="I353" s="2" t="str">
        <f>IFERROR(__xludf.DUMMYFUNCTION("GOOGLETRANSLATE(C353,""fr"",""en"")"),"Remote management by the net but reactive team and which does not hesitate to call if necessary to area on my contract.
It's pro.
AMV has re-Evalue my discount rate several times following the different shipments of my information reports.")</f>
        <v>Remote management by the net but reactive team and which does not hesitate to call if necessary to area on my contract.
It's pro.
AMV has re-Evalue my discount rate several times following the different shipments of my information reports.</v>
      </c>
    </row>
    <row r="354" ht="15.75" customHeight="1">
      <c r="A354" s="2">
        <v>4.0</v>
      </c>
      <c r="B354" s="2" t="s">
        <v>1090</v>
      </c>
      <c r="C354" s="2" t="s">
        <v>1091</v>
      </c>
      <c r="D354" s="2" t="s">
        <v>39</v>
      </c>
      <c r="E354" s="2" t="s">
        <v>14</v>
      </c>
      <c r="F354" s="2" t="s">
        <v>15</v>
      </c>
      <c r="G354" s="2" t="s">
        <v>488</v>
      </c>
      <c r="H354" s="2" t="s">
        <v>109</v>
      </c>
      <c r="I354" s="2" t="str">
        <f>IFERROR(__xludf.DUMMYFUNCTION("GOOGLETRANSLATE(C354,""fr"",""en"")"),"I am satisfied with the service, one of the best on the market. I am now waiting to see the execution of its proposed services, and the application of all the interventions mentioned.")</f>
        <v>I am satisfied with the service, one of the best on the market. I am now waiting to see the execution of its proposed services, and the application of all the interventions mentioned.</v>
      </c>
    </row>
    <row r="355" ht="15.75" customHeight="1">
      <c r="A355" s="2">
        <v>2.0</v>
      </c>
      <c r="B355" s="2" t="s">
        <v>1092</v>
      </c>
      <c r="C355" s="2" t="s">
        <v>1093</v>
      </c>
      <c r="D355" s="2" t="s">
        <v>794</v>
      </c>
      <c r="E355" s="2" t="s">
        <v>31</v>
      </c>
      <c r="F355" s="2" t="s">
        <v>15</v>
      </c>
      <c r="G355" s="2" t="s">
        <v>1094</v>
      </c>
      <c r="H355" s="2" t="s">
        <v>375</v>
      </c>
      <c r="I355" s="2" t="str">
        <f>IFERROR(__xludf.DUMMYFUNCTION("GOOGLETRANSLATE(C355,""fr"",""en"")"),"1st time or I had to make my insurance work: reimbursement of equipment not carried out. Depanneur not taken care of.
Second time or I had to make this insurance work:
0km failure insurance not carried out. I ended up bringing the mecanician home at m"&amp;"y expense.")</f>
        <v>1st time or I had to make my insurance work: reimbursement of equipment not carried out. Depanneur not taken care of.
Second time or I had to make this insurance work:
0km failure insurance not carried out. I ended up bringing the mecanician home at my expense.</v>
      </c>
    </row>
    <row r="356" ht="15.75" customHeight="1">
      <c r="A356" s="2">
        <v>5.0</v>
      </c>
      <c r="B356" s="2" t="s">
        <v>1095</v>
      </c>
      <c r="C356" s="2" t="s">
        <v>1096</v>
      </c>
      <c r="D356" s="2" t="s">
        <v>25</v>
      </c>
      <c r="E356" s="2" t="s">
        <v>14</v>
      </c>
      <c r="F356" s="2" t="s">
        <v>15</v>
      </c>
      <c r="G356" s="2" t="s">
        <v>263</v>
      </c>
      <c r="H356" s="2" t="s">
        <v>113</v>
      </c>
      <c r="I356" s="2" t="str">
        <f>IFERROR(__xludf.DUMMYFUNCTION("GOOGLETRANSLATE(C356,""fr"",""en"")"),"Cheap and very easy to use platform, to see if it is reliable during a disaster, the future will tell us! But for the moment, nothing to say.")</f>
        <v>Cheap and very easy to use platform, to see if it is reliable during a disaster, the future will tell us! But for the moment, nothing to say.</v>
      </c>
    </row>
    <row r="357" ht="15.75" customHeight="1">
      <c r="A357" s="2">
        <v>5.0</v>
      </c>
      <c r="B357" s="2" t="s">
        <v>1097</v>
      </c>
      <c r="C357" s="2" t="s">
        <v>1098</v>
      </c>
      <c r="D357" s="2" t="s">
        <v>25</v>
      </c>
      <c r="E357" s="2" t="s">
        <v>14</v>
      </c>
      <c r="F357" s="2" t="s">
        <v>15</v>
      </c>
      <c r="G357" s="2" t="s">
        <v>1099</v>
      </c>
      <c r="H357" s="2" t="s">
        <v>17</v>
      </c>
      <c r="I357" s="2" t="str">
        <f>IFERROR(__xludf.DUMMYFUNCTION("GOOGLETRANSLATE(C357,""fr"",""en"")"),"Very affordable prices
very simple subscription
Very understanding products
A quality website
Continue like this it's perfect")</f>
        <v>Very affordable prices
very simple subscription
Very understanding products
A quality website
Continue like this it's perfect</v>
      </c>
    </row>
    <row r="358" ht="15.75" customHeight="1">
      <c r="A358" s="2">
        <v>2.0</v>
      </c>
      <c r="B358" s="2" t="s">
        <v>1100</v>
      </c>
      <c r="C358" s="2" t="s">
        <v>1101</v>
      </c>
      <c r="D358" s="2" t="s">
        <v>208</v>
      </c>
      <c r="E358" s="2" t="s">
        <v>50</v>
      </c>
      <c r="F358" s="2" t="s">
        <v>15</v>
      </c>
      <c r="G358" s="2" t="s">
        <v>1102</v>
      </c>
      <c r="H358" s="2" t="s">
        <v>238</v>
      </c>
      <c r="I358" s="2" t="str">
        <f>IFERROR(__xludf.DUMMYFUNCTION("GOOGLETRANSLATE(C358,""fr"",""en"")"),"Nonexistent legal protection, no response, does not take care of the files. Extremely difficult to reach by telephone, access only by personal space, a number of very limited characters, difficult to explain a situation under these conditions. Leaves the "&amp;"file dragged over 2 years to tell me after multiple reminders that I owe myself to a lawyer !!!!")</f>
        <v>Nonexistent legal protection, no response, does not take care of the files. Extremely difficult to reach by telephone, access only by personal space, a number of very limited characters, difficult to explain a situation under these conditions. Leaves the file dragged over 2 years to tell me after multiple reminders that I owe myself to a lawyer !!!!</v>
      </c>
    </row>
    <row r="359" ht="15.75" customHeight="1">
      <c r="A359" s="2">
        <v>2.0</v>
      </c>
      <c r="B359" s="2" t="s">
        <v>1103</v>
      </c>
      <c r="C359" s="2" t="s">
        <v>1104</v>
      </c>
      <c r="D359" s="2" t="s">
        <v>44</v>
      </c>
      <c r="E359" s="2" t="s">
        <v>45</v>
      </c>
      <c r="F359" s="2" t="s">
        <v>15</v>
      </c>
      <c r="G359" s="2" t="s">
        <v>1105</v>
      </c>
      <c r="H359" s="2" t="s">
        <v>109</v>
      </c>
      <c r="I359" s="2" t="str">
        <f>IFERROR(__xludf.DUMMYFUNCTION("GOOGLETRANSLATE(C359,""fr"",""en"")"),"This insurance was indeed well in the month of February 2021 or the defects of regulations where the delays have accumulated a dauler to resilute on March 31 this mutual since it makes it more than I am there, their website is to be flee Better non -reimb"&amp;"ursements in delai correct saccumilent in brief mutual to flee")</f>
        <v>This insurance was indeed well in the month of February 2021 or the defects of regulations where the delays have accumulated a dauler to resilute on March 31 this mutual since it makes it more than I am there, their website is to be flee Better non -reimbursements in delai correct saccumilent in brief mutual to flee</v>
      </c>
    </row>
    <row r="360" ht="15.75" customHeight="1">
      <c r="A360" s="2">
        <v>3.0</v>
      </c>
      <c r="B360" s="2" t="s">
        <v>1106</v>
      </c>
      <c r="C360" s="2" t="s">
        <v>1107</v>
      </c>
      <c r="D360" s="2" t="s">
        <v>67</v>
      </c>
      <c r="E360" s="2" t="s">
        <v>14</v>
      </c>
      <c r="F360" s="2" t="s">
        <v>15</v>
      </c>
      <c r="G360" s="2" t="s">
        <v>479</v>
      </c>
      <c r="H360" s="2" t="s">
        <v>109</v>
      </c>
      <c r="I360" s="2" t="str">
        <f>IFERROR(__xludf.DUMMYFUNCTION("GOOGLETRANSLATE(C360,""fr"",""en"")"),"I am not surprised that the GMF is very competitive; However, I am very unpleasantly surprised to have a proposal around € 90 cheaper than my current fee with equivalent guarantees.
It will be an opportunity to put everything back when the time comes or "&amp;"... to go and see elsewhere!")</f>
        <v>I am not surprised that the GMF is very competitive; However, I am very unpleasantly surprised to have a proposal around € 90 cheaper than my current fee with equivalent guarantees.
It will be an opportunity to put everything back when the time comes or ... to go and see elsewhere!</v>
      </c>
    </row>
    <row r="361" ht="15.75" customHeight="1">
      <c r="A361" s="2">
        <v>1.0</v>
      </c>
      <c r="B361" s="2" t="s">
        <v>1108</v>
      </c>
      <c r="C361" s="2" t="s">
        <v>1109</v>
      </c>
      <c r="D361" s="2" t="s">
        <v>49</v>
      </c>
      <c r="E361" s="2" t="s">
        <v>14</v>
      </c>
      <c r="F361" s="2" t="s">
        <v>15</v>
      </c>
      <c r="G361" s="2" t="s">
        <v>1089</v>
      </c>
      <c r="H361" s="2" t="s">
        <v>77</v>
      </c>
      <c r="I361" s="2" t="str">
        <f>IFERROR(__xludf.DUMMYFUNCTION("GOOGLETRANSLATE(C361,""fr"",""en"")"),"A disaster!!!! I have never seen that
I took weeks to have a simple report after hours waiting for Tel to always repeat the same thing until annoying which seems normal to the end of a while !!!
We never can access the documents on the site or app witho"&amp;"ut talking about the relationship, unanswered email.
I had a hanging today I can't even see the condition of my disaster exists it ?? Was it recorded?
And it's not over ????????")</f>
        <v>A disaster!!!! I have never seen that
I took weeks to have a simple report after hours waiting for Tel to always repeat the same thing until annoying which seems normal to the end of a while !!!
We never can access the documents on the site or app without talking about the relationship, unanswered email.
I had a hanging today I can't even see the condition of my disaster exists it ?? Was it recorded?
And it's not over ????????</v>
      </c>
    </row>
    <row r="362" ht="15.75" customHeight="1">
      <c r="A362" s="2">
        <v>4.0</v>
      </c>
      <c r="B362" s="2" t="s">
        <v>1110</v>
      </c>
      <c r="C362" s="2" t="s">
        <v>1111</v>
      </c>
      <c r="D362" s="2" t="s">
        <v>25</v>
      </c>
      <c r="E362" s="2" t="s">
        <v>14</v>
      </c>
      <c r="F362" s="2" t="s">
        <v>15</v>
      </c>
      <c r="G362" s="2" t="s">
        <v>1112</v>
      </c>
      <c r="H362" s="2" t="s">
        <v>27</v>
      </c>
      <c r="I362" s="2" t="str">
        <f>IFERROR(__xludf.DUMMYFUNCTION("GOOGLETRANSLATE(C362,""fr"",""en"")"),"I am happy with the service offered The prices are very interesting with good value for money remains to be seen over time but for the moment I am very happy")</f>
        <v>I am happy with the service offered The prices are very interesting with good value for money remains to be seen over time but for the moment I am very happy</v>
      </c>
    </row>
    <row r="363" ht="15.75" customHeight="1">
      <c r="A363" s="2">
        <v>5.0</v>
      </c>
      <c r="B363" s="2" t="s">
        <v>1113</v>
      </c>
      <c r="C363" s="2" t="s">
        <v>1114</v>
      </c>
      <c r="D363" s="2" t="s">
        <v>35</v>
      </c>
      <c r="E363" s="2" t="s">
        <v>31</v>
      </c>
      <c r="F363" s="2" t="s">
        <v>15</v>
      </c>
      <c r="G363" s="2" t="s">
        <v>144</v>
      </c>
      <c r="H363" s="2" t="s">
        <v>113</v>
      </c>
      <c r="I363" s="2" t="str">
        <f>IFERROR(__xludf.DUMMYFUNCTION("GOOGLETRANSLATE(C363,""fr"",""en"")"),"Competent insurer, competitive prices, fast in the problems to be resolved, clear and easy website, telephone advice up to the website, I really recommend AMV for both or three wheels")</f>
        <v>Competent insurer, competitive prices, fast in the problems to be resolved, clear and easy website, telephone advice up to the website, I really recommend AMV for both or three wheels</v>
      </c>
    </row>
    <row r="364" ht="15.75" customHeight="1">
      <c r="A364" s="2">
        <v>1.0</v>
      </c>
      <c r="B364" s="2" t="s">
        <v>1115</v>
      </c>
      <c r="C364" s="2" t="s">
        <v>1116</v>
      </c>
      <c r="D364" s="2" t="s">
        <v>13</v>
      </c>
      <c r="E364" s="2" t="s">
        <v>14</v>
      </c>
      <c r="F364" s="2" t="s">
        <v>15</v>
      </c>
      <c r="G364" s="2" t="s">
        <v>507</v>
      </c>
      <c r="H364" s="2" t="s">
        <v>77</v>
      </c>
      <c r="I364" s="2" t="str">
        <f>IFERROR(__xludf.DUMMYFUNCTION("GOOGLETRANSLATE(C364,""fr"",""en"")"),"Shift my loan vehicle (as well as the taxi which was to lead me) without reason and by sending me a text 5 minutes before. I find myself without a vehicle to go to work
Farewell Pacifica, as soon as I get my vehicle to forget me!")</f>
        <v>Shift my loan vehicle (as well as the taxi which was to lead me) without reason and by sending me a text 5 minutes before. I find myself without a vehicle to go to work
Farewell Pacifica, as soon as I get my vehicle to forget me!</v>
      </c>
    </row>
    <row r="365" ht="15.75" customHeight="1">
      <c r="A365" s="2">
        <v>5.0</v>
      </c>
      <c r="B365" s="2" t="s">
        <v>1117</v>
      </c>
      <c r="C365" s="2" t="s">
        <v>1118</v>
      </c>
      <c r="D365" s="2" t="s">
        <v>39</v>
      </c>
      <c r="E365" s="2" t="s">
        <v>14</v>
      </c>
      <c r="F365" s="2" t="s">
        <v>15</v>
      </c>
      <c r="G365" s="2" t="s">
        <v>420</v>
      </c>
      <c r="H365" s="2" t="s">
        <v>27</v>
      </c>
      <c r="I365" s="2" t="str">
        <f>IFERROR(__xludf.DUMMYFUNCTION("GOOGLETRANSLATE(C365,""fr"",""en"")"),"Very interesting prices
I earn almost € 200 per year.
I've been watching for several days to change insurance. A person in my family is assured at Direct Insurance and is very satisfied.")</f>
        <v>Very interesting prices
I earn almost € 200 per year.
I've been watching for several days to change insurance. A person in my family is assured at Direct Insurance and is very satisfied.</v>
      </c>
    </row>
    <row r="366" ht="15.75" customHeight="1">
      <c r="A366" s="2">
        <v>1.0</v>
      </c>
      <c r="B366" s="2" t="s">
        <v>1119</v>
      </c>
      <c r="C366" s="2" t="s">
        <v>1120</v>
      </c>
      <c r="D366" s="2" t="s">
        <v>323</v>
      </c>
      <c r="E366" s="2" t="s">
        <v>45</v>
      </c>
      <c r="F366" s="2" t="s">
        <v>15</v>
      </c>
      <c r="G366" s="2" t="s">
        <v>1121</v>
      </c>
      <c r="H366" s="2" t="s">
        <v>987</v>
      </c>
      <c r="I366" s="2" t="str">
        <f>IFERROR(__xludf.DUMMYFUNCTION("GOOGLETRANSLATE(C366,""fr"",""en"")"),"I returned to the Mgen when I started to taught. Never had health needed (no glasses, no medical follow -up .....)
I unfortunately broke my leg and I was arrested for 5 months. I tried to play the loss of salary guarantees in the MGEN contract but desp"&amp;"ite many calls and mail I never received the documents. After a call for help on the Internet I found the form on the net. I complete everything and returned to the MGEN. But he tells me that they have no file and that I had to forget to send it ......
"&amp;"
This mutual is just lamentable in terms of human values. As for guarantees I can not judge them because I have never benefited. A shame .
I was wrong that the Mgen could help me but in fact apart from the subscription on my salary he does nothing.
"&amp;"A word of advice: do not engage with them.")</f>
        <v>I returned to the Mgen when I started to taught. Never had health needed (no glasses, no medical follow -up .....)
I unfortunately broke my leg and I was arrested for 5 months. I tried to play the loss of salary guarantees in the MGEN contract but despite many calls and mail I never received the documents. After a call for help on the Internet I found the form on the net. I complete everything and returned to the MGEN. But he tells me that they have no file and that I had to forget to send it ......
This mutual is just lamentable in terms of human values. As for guarantees I can not judge them because I have never benefited. A shame .
I was wrong that the Mgen could help me but in fact apart from the subscription on my salary he does nothing.
A word of advice: do not engage with them.</v>
      </c>
    </row>
    <row r="367" ht="15.75" customHeight="1">
      <c r="A367" s="2">
        <v>4.0</v>
      </c>
      <c r="B367" s="2" t="s">
        <v>1122</v>
      </c>
      <c r="C367" s="2" t="s">
        <v>1123</v>
      </c>
      <c r="D367" s="2" t="s">
        <v>67</v>
      </c>
      <c r="E367" s="2" t="s">
        <v>14</v>
      </c>
      <c r="F367" s="2" t="s">
        <v>15</v>
      </c>
      <c r="G367" s="2" t="s">
        <v>1124</v>
      </c>
      <c r="H367" s="2" t="s">
        <v>113</v>
      </c>
      <c r="I367" s="2" t="str">
        <f>IFERROR(__xludf.DUMMYFUNCTION("GOOGLETRANSLATE(C367,""fr"",""en"")"),"During my non -responsible car accident, the staff were very responsive, which was appreciable during these circumstances.
The prices are interesting but can always be improved ...")</f>
        <v>During my non -responsible car accident, the staff were very responsive, which was appreciable during these circumstances.
The prices are interesting but can always be improved ...</v>
      </c>
    </row>
    <row r="368" ht="15.75" customHeight="1">
      <c r="A368" s="2">
        <v>3.0</v>
      </c>
      <c r="B368" s="2" t="s">
        <v>1125</v>
      </c>
      <c r="C368" s="2" t="s">
        <v>1126</v>
      </c>
      <c r="D368" s="2" t="s">
        <v>30</v>
      </c>
      <c r="E368" s="2" t="s">
        <v>31</v>
      </c>
      <c r="F368" s="2" t="s">
        <v>15</v>
      </c>
      <c r="G368" s="2" t="s">
        <v>880</v>
      </c>
      <c r="H368" s="2" t="s">
        <v>17</v>
      </c>
      <c r="I368" s="2" t="str">
        <f>IFERROR(__xludf.DUMMYFUNCTION("GOOGLETRANSLATE(C368,""fr"",""en"")"),"I am satisfied with the value for money but after having made my request on the internet of a quote, two calls in the 1/4h were transmitted to me and insistence the call center absolutely wanted to give me information (useless because stipulated in the qu"&amp;"ote) by wanting to be signed ... too much pressure.")</f>
        <v>I am satisfied with the value for money but after having made my request on the internet of a quote, two calls in the 1/4h were transmitted to me and insistence the call center absolutely wanted to give me information (useless because stipulated in the quote) by wanting to be signed ... too much pressure.</v>
      </c>
    </row>
    <row r="369" ht="15.75" customHeight="1">
      <c r="A369" s="2">
        <v>5.0</v>
      </c>
      <c r="B369" s="2" t="s">
        <v>1127</v>
      </c>
      <c r="C369" s="2" t="s">
        <v>1128</v>
      </c>
      <c r="D369" s="2" t="s">
        <v>1129</v>
      </c>
      <c r="E369" s="2" t="s">
        <v>429</v>
      </c>
      <c r="F369" s="2" t="s">
        <v>15</v>
      </c>
      <c r="G369" s="2" t="s">
        <v>1130</v>
      </c>
      <c r="H369" s="2" t="s">
        <v>113</v>
      </c>
      <c r="I369" s="2" t="str">
        <f>IFERROR(__xludf.DUMMYFUNCTION("GOOGLETRANSLATE(C369,""fr"",""en"")"),"Very listening, available. Interesting prices compared to my old contracts. Good responsiveness and friendly welcome. Online procedures accessible to everyone.")</f>
        <v>Very listening, available. Interesting prices compared to my old contracts. Good responsiveness and friendly welcome. Online procedures accessible to everyone.</v>
      </c>
    </row>
    <row r="370" ht="15.75" customHeight="1">
      <c r="A370" s="2">
        <v>2.0</v>
      </c>
      <c r="B370" s="2" t="s">
        <v>1131</v>
      </c>
      <c r="C370" s="2" t="s">
        <v>1132</v>
      </c>
      <c r="D370" s="2" t="s">
        <v>219</v>
      </c>
      <c r="E370" s="2" t="s">
        <v>14</v>
      </c>
      <c r="F370" s="2" t="s">
        <v>15</v>
      </c>
      <c r="G370" s="2" t="s">
        <v>1133</v>
      </c>
      <c r="H370" s="2" t="s">
        <v>124</v>
      </c>
      <c r="I370" s="2" t="str">
        <f>IFERROR(__xludf.DUMMYFUNCTION("GOOGLETRANSLATE(C370,""fr"",""en"")"),"Customer at AXA, for almost 10 years and having my home insurance, family mutuals, civil liability, legal protection.
I decided to take my car insurance at home via click and go.
And what misfortune !!
They never receive emails and letters, if you insi"&amp;"st that it checks their mail and mailbox boxes, miracle they find.
All the bell sounds are different from one interlocutor to another. Since last January, I have been at AXA for my auto insurance and the necessary to transfer the file of my old insurance"&amp;" to them is still not carried out.
Today at the end of June, I continue to pay two insurance in two different boxes.
Honestly, I have never expressed my opinion on the internet but the click and go agency and a pure disaster. I am not will be because "&amp;"no self -confidence. In addition to losing money, the quality of their work is deplorable.
An advice. Favor your small local AXA agencies or your advisers because Click and Go wear a bad image to this very good insurance company that is AXA.")</f>
        <v>Customer at AXA, for almost 10 years and having my home insurance, family mutuals, civil liability, legal protection.
I decided to take my car insurance at home via click and go.
And what misfortune !!
They never receive emails and letters, if you insist that it checks their mail and mailbox boxes, miracle they find.
All the bell sounds are different from one interlocutor to another. Since last January, I have been at AXA for my auto insurance and the necessary to transfer the file of my old insurance to them is still not carried out.
Today at the end of June, I continue to pay two insurance in two different boxes.
Honestly, I have never expressed my opinion on the internet but the click and go agency and a pure disaster. I am not will be because no self -confidence. In addition to losing money, the quality of their work is deplorable.
An advice. Favor your small local AXA agencies or your advisers because Click and Go wear a bad image to this very good insurance company that is AXA.</v>
      </c>
    </row>
    <row r="371" ht="15.75" customHeight="1">
      <c r="A371" s="2">
        <v>3.0</v>
      </c>
      <c r="B371" s="2" t="s">
        <v>1134</v>
      </c>
      <c r="C371" s="2" t="s">
        <v>1135</v>
      </c>
      <c r="D371" s="2" t="s">
        <v>241</v>
      </c>
      <c r="E371" s="2" t="s">
        <v>233</v>
      </c>
      <c r="F371" s="2" t="s">
        <v>15</v>
      </c>
      <c r="G371" s="2" t="s">
        <v>1136</v>
      </c>
      <c r="H371" s="2" t="s">
        <v>109</v>
      </c>
      <c r="I371" s="2" t="str">
        <f>IFERROR(__xludf.DUMMYFUNCTION("GOOGLETRANSLATE(C371,""fr"",""en"")"),"I would like to have better reimbursements for all that is dental, for glasses and hearing devices. I lost a lot of money, at the beginning of 2020 for dental problems. I still have dental problems, but I do not dare to be treated, not reimbursed enough. "&amp;"Too small retirement and I am alone. Yes I am disgusted and very sad .. thank you for hearing me.")</f>
        <v>I would like to have better reimbursements for all that is dental, for glasses and hearing devices. I lost a lot of money, at the beginning of 2020 for dental problems. I still have dental problems, but I do not dare to be treated, not reimbursed enough. Too small retirement and I am alone. Yes I am disgusted and very sad .. thank you for hearing me.</v>
      </c>
    </row>
    <row r="372" ht="15.75" customHeight="1">
      <c r="A372" s="2">
        <v>3.0</v>
      </c>
      <c r="B372" s="2" t="s">
        <v>1137</v>
      </c>
      <c r="C372" s="2" t="s">
        <v>1138</v>
      </c>
      <c r="D372" s="2" t="s">
        <v>39</v>
      </c>
      <c r="E372" s="2" t="s">
        <v>14</v>
      </c>
      <c r="F372" s="2" t="s">
        <v>15</v>
      </c>
      <c r="G372" s="2" t="s">
        <v>263</v>
      </c>
      <c r="H372" s="2" t="s">
        <v>113</v>
      </c>
      <c r="I372" s="2" t="str">
        <f>IFERROR(__xludf.DUMMYFUNCTION("GOOGLETRANSLATE(C372,""fr"",""en"")"),"I am satisfied with the services good value for money accessible to all the stock markets I start a strong direct insurance effective insurance effective without making an appointment")</f>
        <v>I am satisfied with the services good value for money accessible to all the stock markets I start a strong direct insurance effective insurance effective without making an appointment</v>
      </c>
    </row>
    <row r="373" ht="15.75" customHeight="1">
      <c r="A373" s="2">
        <v>5.0</v>
      </c>
      <c r="B373" s="2" t="s">
        <v>1139</v>
      </c>
      <c r="C373" s="2" t="s">
        <v>1140</v>
      </c>
      <c r="D373" s="2" t="s">
        <v>162</v>
      </c>
      <c r="E373" s="2" t="s">
        <v>45</v>
      </c>
      <c r="F373" s="2" t="s">
        <v>15</v>
      </c>
      <c r="G373" s="2" t="s">
        <v>728</v>
      </c>
      <c r="H373" s="2" t="s">
        <v>27</v>
      </c>
      <c r="I373" s="2" t="str">
        <f>IFERROR(__xludf.DUMMYFUNCTION("GOOGLETRANSLATE(C373,""fr"",""en"")"),"I thank Angelique for her listening and her professionalism, she informed me perfectly and showed great sympathy.
An increase for the youth of insurance!")</f>
        <v>I thank Angelique for her listening and her professionalism, she informed me perfectly and showed great sympathy.
An increase for the youth of insurance!</v>
      </c>
    </row>
    <row r="374" ht="15.75" customHeight="1">
      <c r="A374" s="2">
        <v>3.0</v>
      </c>
      <c r="B374" s="2" t="s">
        <v>1141</v>
      </c>
      <c r="C374" s="2" t="s">
        <v>1142</v>
      </c>
      <c r="D374" s="2" t="s">
        <v>49</v>
      </c>
      <c r="E374" s="2" t="s">
        <v>14</v>
      </c>
      <c r="F374" s="2" t="s">
        <v>15</v>
      </c>
      <c r="G374" s="2" t="s">
        <v>617</v>
      </c>
      <c r="H374" s="2" t="s">
        <v>27</v>
      </c>
      <c r="I374" s="2" t="str">
        <f>IFERROR(__xludf.DUMMYFUNCTION("GOOGLETRANSLATE(C374,""fr"",""en"")"),"Overall satisfied for 2 years except that my contributions are starting to increase VGV. I have already withdrawn two contracts a vehicle and a GAV. Current terminations ....")</f>
        <v>Overall satisfied for 2 years except that my contributions are starting to increase VGV. I have already withdrawn two contracts a vehicle and a GAV. Current terminations ....</v>
      </c>
    </row>
    <row r="375" ht="15.75" customHeight="1">
      <c r="A375" s="2">
        <v>5.0</v>
      </c>
      <c r="B375" s="2" t="s">
        <v>1143</v>
      </c>
      <c r="C375" s="2" t="s">
        <v>1144</v>
      </c>
      <c r="D375" s="2" t="s">
        <v>30</v>
      </c>
      <c r="E375" s="2" t="s">
        <v>31</v>
      </c>
      <c r="F375" s="2" t="s">
        <v>15</v>
      </c>
      <c r="G375" s="2" t="s">
        <v>1145</v>
      </c>
      <c r="H375" s="2" t="s">
        <v>77</v>
      </c>
      <c r="I375" s="2" t="str">
        <f>IFERROR(__xludf.DUMMYFUNCTION("GOOGLETRANSLATE(C375,""fr"",""en"")"),"I am satisfied with your offer and your very interesting and very competitive price, I thank you in advance for your understanding good evening to you")</f>
        <v>I am satisfied with your offer and your very interesting and very competitive price, I thank you in advance for your understanding good evening to you</v>
      </c>
    </row>
    <row r="376" ht="15.75" customHeight="1">
      <c r="A376" s="2">
        <v>1.0</v>
      </c>
      <c r="B376" s="2" t="s">
        <v>1146</v>
      </c>
      <c r="C376" s="2" t="s">
        <v>1147</v>
      </c>
      <c r="D376" s="2" t="s">
        <v>123</v>
      </c>
      <c r="E376" s="2" t="s">
        <v>233</v>
      </c>
      <c r="F376" s="2" t="s">
        <v>15</v>
      </c>
      <c r="G376" s="2" t="s">
        <v>1148</v>
      </c>
      <c r="H376" s="2" t="s">
        <v>22</v>
      </c>
      <c r="I376" s="2" t="str">
        <f>IFERROR(__xludf.DUMMYFUNCTION("GOOGLETRANSLATE(C376,""fr"",""en"")"),"I sent the documents for a death capital on 08/08/2016, by registered letter with AR, from no news, what to do?")</f>
        <v>I sent the documents for a death capital on 08/08/2016, by registered letter with AR, from no news, what to do?</v>
      </c>
    </row>
    <row r="377" ht="15.75" customHeight="1">
      <c r="A377" s="2">
        <v>5.0</v>
      </c>
      <c r="B377" s="2" t="s">
        <v>1149</v>
      </c>
      <c r="C377" s="2" t="s">
        <v>1150</v>
      </c>
      <c r="D377" s="2" t="s">
        <v>25</v>
      </c>
      <c r="E377" s="2" t="s">
        <v>14</v>
      </c>
      <c r="F377" s="2" t="s">
        <v>15</v>
      </c>
      <c r="G377" s="2" t="s">
        <v>1151</v>
      </c>
      <c r="H377" s="2" t="s">
        <v>101</v>
      </c>
      <c r="I377" s="2" t="str">
        <f>IFERROR(__xludf.DUMMYFUNCTION("GOOGLETRANSLATE(C377,""fr"",""en"")"),"Simple and practical because we avoid all the trips and possibly the Desagreables plus the reception and the lost time. In addition on the Internet it is very fast")</f>
        <v>Simple and practical because we avoid all the trips and possibly the Desagreables plus the reception and the lost time. In addition on the Internet it is very fast</v>
      </c>
    </row>
    <row r="378" ht="15.75" customHeight="1">
      <c r="A378" s="2">
        <v>5.0</v>
      </c>
      <c r="B378" s="2" t="s">
        <v>1152</v>
      </c>
      <c r="C378" s="2" t="s">
        <v>1153</v>
      </c>
      <c r="D378" s="2" t="s">
        <v>1129</v>
      </c>
      <c r="E378" s="2" t="s">
        <v>429</v>
      </c>
      <c r="F378" s="2" t="s">
        <v>15</v>
      </c>
      <c r="G378" s="2" t="s">
        <v>1154</v>
      </c>
      <c r="H378" s="2" t="s">
        <v>17</v>
      </c>
      <c r="I378" s="2" t="str">
        <f>IFERROR(__xludf.DUMMYFUNCTION("GOOGLETRANSLATE(C378,""fr"",""en"")"),"Very good supervision, follow-up and responsiveness from Zen Up and particularly the collaborator in charge of the file and her superior who supplied during the holidays thereof.")</f>
        <v>Very good supervision, follow-up and responsiveness from Zen Up and particularly the collaborator in charge of the file and her superior who supplied during the holidays thereof.</v>
      </c>
    </row>
    <row r="379" ht="15.75" customHeight="1">
      <c r="A379" s="2">
        <v>1.0</v>
      </c>
      <c r="B379" s="2" t="s">
        <v>1155</v>
      </c>
      <c r="C379" s="2" t="s">
        <v>1156</v>
      </c>
      <c r="D379" s="2" t="s">
        <v>162</v>
      </c>
      <c r="E379" s="2" t="s">
        <v>45</v>
      </c>
      <c r="F379" s="2" t="s">
        <v>15</v>
      </c>
      <c r="G379" s="2" t="s">
        <v>1157</v>
      </c>
      <c r="H379" s="2" t="s">
        <v>543</v>
      </c>
      <c r="I379" s="2" t="str">
        <f>IFERROR(__xludf.DUMMYFUNCTION("GOOGLETRANSLATE(C379,""fr"",""en"")"),"Hello,
Call for subscription nor my third -party payment card for 2019, suddenly I was not warned of the increase in prices (from 198 euros in 2018 the contributions increased to 224 in 2019). In February Drawer 439 euros (January A been paid twice (regu"&amp;"lar by card on January 28)). I made opposition to all their direct debit and I decided to send them a registered termination request with AR. They did not take into account the change of 'Address but on the other hand the change of Rib was done. How weird"&amp;".")</f>
        <v>Hello,
Call for subscription nor my third -party payment card for 2019, suddenly I was not warned of the increase in prices (from 198 euros in 2018 the contributions increased to 224 in 2019). In February Drawer 439 euros (January A been paid twice (regular by card on January 28)). I made opposition to all their direct debit and I decided to send them a registered termination request with AR. They did not take into account the change of 'Address but on the other hand the change of Rib was done. How weird.</v>
      </c>
    </row>
    <row r="380" ht="15.75" customHeight="1">
      <c r="A380" s="2">
        <v>4.0</v>
      </c>
      <c r="B380" s="2" t="s">
        <v>1158</v>
      </c>
      <c r="C380" s="2" t="s">
        <v>1159</v>
      </c>
      <c r="D380" s="2" t="s">
        <v>1058</v>
      </c>
      <c r="E380" s="2" t="s">
        <v>347</v>
      </c>
      <c r="F380" s="2" t="s">
        <v>15</v>
      </c>
      <c r="G380" s="2" t="s">
        <v>354</v>
      </c>
      <c r="H380" s="2" t="s">
        <v>77</v>
      </c>
      <c r="I380" s="2" t="str">
        <f>IFERROR(__xludf.DUMMYFUNCTION("GOOGLETRANSLATE(C380,""fr"",""en"")"),"I do not regret having signed an ""animal health"" insurance contract at ECA
The claims are treated quickly. And the prices of the premium are relatively competitive.")</f>
        <v>I do not regret having signed an "animal health" insurance contract at ECA
The claims are treated quickly. And the prices of the premium are relatively competitive.</v>
      </c>
    </row>
    <row r="381" ht="15.75" customHeight="1">
      <c r="A381" s="2">
        <v>4.0</v>
      </c>
      <c r="B381" s="2" t="s">
        <v>1160</v>
      </c>
      <c r="C381" s="2" t="s">
        <v>1161</v>
      </c>
      <c r="D381" s="2" t="s">
        <v>13</v>
      </c>
      <c r="E381" s="2" t="s">
        <v>50</v>
      </c>
      <c r="F381" s="2" t="s">
        <v>15</v>
      </c>
      <c r="G381" s="2" t="s">
        <v>1162</v>
      </c>
      <c r="H381" s="2" t="s">
        <v>109</v>
      </c>
      <c r="I381" s="2" t="str">
        <f>IFERROR(__xludf.DUMMYFUNCTION("GOOGLETRANSLATE(C381,""fr"",""en"")"),"Many thanks for the welcome, the kindness and efficiency of Louise who managed my disaster of January 24, 2021 concerning an electric damage on my pellet boiler. The regulations were made very quickly after sending the invoices.")</f>
        <v>Many thanks for the welcome, the kindness and efficiency of Louise who managed my disaster of January 24, 2021 concerning an electric damage on my pellet boiler. The regulations were made very quickly after sending the invoices.</v>
      </c>
    </row>
    <row r="382" ht="15.75" customHeight="1">
      <c r="A382" s="2">
        <v>5.0</v>
      </c>
      <c r="B382" s="2" t="s">
        <v>1163</v>
      </c>
      <c r="C382" s="2" t="s">
        <v>1164</v>
      </c>
      <c r="D382" s="2" t="s">
        <v>39</v>
      </c>
      <c r="E382" s="2" t="s">
        <v>14</v>
      </c>
      <c r="F382" s="2" t="s">
        <v>15</v>
      </c>
      <c r="G382" s="2" t="s">
        <v>523</v>
      </c>
      <c r="H382" s="2" t="s">
        <v>84</v>
      </c>
      <c r="I382" s="2" t="str">
        <f>IFERROR(__xludf.DUMMYFUNCTION("GOOGLETRANSLATE(C382,""fr"",""en"")"),"At the top as usual. Pleasant and fast people
3rd cars insure at home. I recommend 100%.
Too bad you do not assure sports cars")</f>
        <v>At the top as usual. Pleasant and fast people
3rd cars insure at home. I recommend 100%.
Too bad you do not assure sports cars</v>
      </c>
    </row>
    <row r="383" ht="15.75" customHeight="1">
      <c r="A383" s="2">
        <v>1.0</v>
      </c>
      <c r="B383" s="2" t="s">
        <v>1165</v>
      </c>
      <c r="C383" s="2" t="s">
        <v>1166</v>
      </c>
      <c r="D383" s="2" t="s">
        <v>361</v>
      </c>
      <c r="E383" s="2" t="s">
        <v>50</v>
      </c>
      <c r="F383" s="2" t="s">
        <v>15</v>
      </c>
      <c r="G383" s="2" t="s">
        <v>1167</v>
      </c>
      <c r="H383" s="2" t="s">
        <v>22</v>
      </c>
      <c r="I383" s="2" t="str">
        <f>IFERROR(__xludf.DUMMYFUNCTION("GOOGLETRANSLATE(C383,""fr"",""en"")"),"More dissatisfied than me I think it does not exist.")</f>
        <v>More dissatisfied than me I think it does not exist.</v>
      </c>
    </row>
    <row r="384" ht="15.75" customHeight="1">
      <c r="A384" s="2">
        <v>4.0</v>
      </c>
      <c r="B384" s="2" t="s">
        <v>1168</v>
      </c>
      <c r="C384" s="2" t="s">
        <v>1169</v>
      </c>
      <c r="D384" s="2" t="s">
        <v>25</v>
      </c>
      <c r="E384" s="2" t="s">
        <v>14</v>
      </c>
      <c r="F384" s="2" t="s">
        <v>15</v>
      </c>
      <c r="G384" s="2" t="s">
        <v>715</v>
      </c>
      <c r="H384" s="2" t="s">
        <v>17</v>
      </c>
      <c r="I384" s="2" t="str">
        <f>IFERROR(__xludf.DUMMYFUNCTION("GOOGLETRANSLATE(C384,""fr"",""en"")"),"I appreciated the kindness of the interlocutors on the phone, the responsiveness in the exchanges, the appropriate prices at my request and the possibility of having a proposal adapted to my situation.")</f>
        <v>I appreciated the kindness of the interlocutors on the phone, the responsiveness in the exchanges, the appropriate prices at my request and the possibility of having a proposal adapted to my situation.</v>
      </c>
    </row>
    <row r="385" ht="15.75" customHeight="1">
      <c r="A385" s="2">
        <v>4.0</v>
      </c>
      <c r="B385" s="2" t="s">
        <v>1170</v>
      </c>
      <c r="C385" s="2" t="s">
        <v>1171</v>
      </c>
      <c r="D385" s="2" t="s">
        <v>162</v>
      </c>
      <c r="E385" s="2" t="s">
        <v>45</v>
      </c>
      <c r="F385" s="2" t="s">
        <v>15</v>
      </c>
      <c r="G385" s="2" t="s">
        <v>1172</v>
      </c>
      <c r="H385" s="2" t="s">
        <v>295</v>
      </c>
      <c r="I385" s="2" t="str">
        <f>IFERROR(__xludf.DUMMYFUNCTION("GOOGLETRANSLATE(C385,""fr"",""en"")"),"No problems very good contact and clear information with Nelly")</f>
        <v>No problems very good contact and clear information with Nelly</v>
      </c>
    </row>
    <row r="386" ht="15.75" customHeight="1">
      <c r="A386" s="2">
        <v>4.0</v>
      </c>
      <c r="B386" s="2" t="s">
        <v>1173</v>
      </c>
      <c r="C386" s="2" t="s">
        <v>1174</v>
      </c>
      <c r="D386" s="2" t="s">
        <v>67</v>
      </c>
      <c r="E386" s="2" t="s">
        <v>14</v>
      </c>
      <c r="F386" s="2" t="s">
        <v>15</v>
      </c>
      <c r="G386" s="2" t="s">
        <v>992</v>
      </c>
      <c r="H386" s="2" t="s">
        <v>113</v>
      </c>
      <c r="I386" s="2" t="str">
        <f>IFERROR(__xludf.DUMMYFUNCTION("GOOGLETRANSLATE(C386,""fr"",""en"")"),"I am satisfied with the services, and do not want any change in the future !! Being old, I don't want anything more! So I wish you a good day!
")</f>
        <v>I am satisfied with the services, and do not want any change in the future !! Being old, I don't want anything more! So I wish you a good day!
</v>
      </c>
    </row>
    <row r="387" ht="15.75" customHeight="1">
      <c r="A387" s="2">
        <v>2.0</v>
      </c>
      <c r="B387" s="2" t="s">
        <v>1175</v>
      </c>
      <c r="C387" s="2" t="s">
        <v>1176</v>
      </c>
      <c r="D387" s="2" t="s">
        <v>39</v>
      </c>
      <c r="E387" s="2" t="s">
        <v>14</v>
      </c>
      <c r="F387" s="2" t="s">
        <v>15</v>
      </c>
      <c r="G387" s="2" t="s">
        <v>1177</v>
      </c>
      <c r="H387" s="2" t="s">
        <v>27</v>
      </c>
      <c r="I387" s="2" t="str">
        <f>IFERROR(__xludf.DUMMYFUNCTION("GOOGLETRANSLATE(C387,""fr"",""en"")"),"I do not understand that my subscription increases so much each year; In addition on your site we do not see the details. However, I do not have a declared claim.")</f>
        <v>I do not understand that my subscription increases so much each year; In addition on your site we do not see the details. However, I do not have a declared claim.</v>
      </c>
    </row>
    <row r="388" ht="15.75" customHeight="1">
      <c r="A388" s="2">
        <v>4.0</v>
      </c>
      <c r="B388" s="2" t="s">
        <v>1178</v>
      </c>
      <c r="C388" s="2" t="s">
        <v>1179</v>
      </c>
      <c r="D388" s="2" t="s">
        <v>241</v>
      </c>
      <c r="E388" s="2" t="s">
        <v>45</v>
      </c>
      <c r="F388" s="2" t="s">
        <v>15</v>
      </c>
      <c r="G388" s="2" t="s">
        <v>1180</v>
      </c>
      <c r="H388" s="2" t="s">
        <v>424</v>
      </c>
      <c r="I388" s="2" t="str">
        <f>IFERROR(__xludf.DUMMYFUNCTION("GOOGLETRANSLATE(C388,""fr"",""en"")"),"Very welcome telephone, immediate response person listening. I recommend the MGP, a pity that the subscription remains high. An effort would be interesting.")</f>
        <v>Very welcome telephone, immediate response person listening. I recommend the MGP, a pity that the subscription remains high. An effort would be interesting.</v>
      </c>
    </row>
    <row r="389" ht="15.75" customHeight="1">
      <c r="A389" s="2">
        <v>1.0</v>
      </c>
      <c r="B389" s="2" t="s">
        <v>1181</v>
      </c>
      <c r="C389" s="2" t="s">
        <v>1182</v>
      </c>
      <c r="D389" s="2" t="s">
        <v>20</v>
      </c>
      <c r="E389" s="2" t="s">
        <v>14</v>
      </c>
      <c r="F389" s="2" t="s">
        <v>15</v>
      </c>
      <c r="G389" s="2" t="s">
        <v>1183</v>
      </c>
      <c r="H389" s="2" t="s">
        <v>216</v>
      </c>
      <c r="I389" s="2" t="str">
        <f>IFERROR(__xludf.DUMMYFUNCTION("GOOGLETRANSLATE(C389,""fr"",""en"")"),"After 10 years of insurance at home without any accident, they refused to ensure my spouse who had just obtained his license knowing that I use the car of time 80%. But they wanted to know nothing by comparing my spouse to an 18 -year -old lol (he was 30 "&amp;"years old at the time and I was pregnant)")</f>
        <v>After 10 years of insurance at home without any accident, they refused to ensure my spouse who had just obtained his license knowing that I use the car of time 80%. But they wanted to know nothing by comparing my spouse to an 18 -year -old lol (he was 30 years old at the time and I was pregnant)</v>
      </c>
    </row>
    <row r="390" ht="15.75" customHeight="1">
      <c r="A390" s="2">
        <v>1.0</v>
      </c>
      <c r="B390" s="2" t="s">
        <v>1184</v>
      </c>
      <c r="C390" s="2" t="s">
        <v>1185</v>
      </c>
      <c r="D390" s="2" t="s">
        <v>39</v>
      </c>
      <c r="E390" s="2" t="s">
        <v>14</v>
      </c>
      <c r="F390" s="2" t="s">
        <v>15</v>
      </c>
      <c r="G390" s="2" t="s">
        <v>248</v>
      </c>
      <c r="H390" s="2" t="s">
        <v>249</v>
      </c>
      <c r="I390" s="2" t="str">
        <f>IFERROR(__xludf.DUMMYFUNCTION("GOOGLETRANSLATE(C390,""fr"",""en"")"),"Raissed two weeks ago, my car was brought by insurance in a garage where their expert is apparently not embellished to pass, nothing happens they are supposed to bring my car to another garage so that their expert can Coming but I have no news, knowing th"&amp;"at I work 50 hours a week in the medical with my car so in the meantime I cannot treat the elders of my region and when I call them I have been changed 4 times from services for Tell me that I have to wait they are not aware of anything I have the impress"&amp;"ion that everyone at Direct Insurance does not care and the I no longer have any news is really a shame this insurance !!!")</f>
        <v>Raissed two weeks ago, my car was brought by insurance in a garage where their expert is apparently not embellished to pass, nothing happens they are supposed to bring my car to another garage so that their expert can Coming but I have no news, knowing that I work 50 hours a week in the medical with my car so in the meantime I cannot treat the elders of my region and when I call them I have been changed 4 times from services for Tell me that I have to wait they are not aware of anything I have the impression that everyone at Direct Insurance does not care and the I no longer have any news is really a shame this insurance !!!</v>
      </c>
    </row>
    <row r="391" ht="15.75" customHeight="1">
      <c r="A391" s="2">
        <v>3.0</v>
      </c>
      <c r="B391" s="2" t="s">
        <v>1186</v>
      </c>
      <c r="C391" s="2" t="s">
        <v>1187</v>
      </c>
      <c r="D391" s="2" t="s">
        <v>13</v>
      </c>
      <c r="E391" s="2" t="s">
        <v>14</v>
      </c>
      <c r="F391" s="2" t="s">
        <v>15</v>
      </c>
      <c r="G391" s="2" t="s">
        <v>1035</v>
      </c>
      <c r="H391" s="2" t="s">
        <v>1036</v>
      </c>
      <c r="I391" s="2" t="str">
        <f>IFERROR(__xludf.DUMMYFUNCTION("GOOGLETRANSLATE(C391,""fr"",""en"")"),"Insured at home for over 10 years, I had non -responsible accidents and care and very fast. 2 vehicle declared in wrecks and in 15 days we had the refund on our accounts. The prices are correct, I always make the insurance comparator and certainly, there "&amp;"are less expensive but Pacifica is the only one to have good guarantee at correct prices and affordable deductibles.
A little disappointed to see that Charente Maritime to sell it prices are different for all insurance. Also pay attention to the subscrip"&amp;"tion of a new contract to well resume the due date otherwise you will be shifted as a bonus. Insured since 2009 I am 0.68 instead of 0.64 because of the contract lag")</f>
        <v>Insured at home for over 10 years, I had non -responsible accidents and care and very fast. 2 vehicle declared in wrecks and in 15 days we had the refund on our accounts. The prices are correct, I always make the insurance comparator and certainly, there are less expensive but Pacifica is the only one to have good guarantee at correct prices and affordable deductibles.
A little disappointed to see that Charente Maritime to sell it prices are different for all insurance. Also pay attention to the subscription of a new contract to well resume the due date otherwise you will be shifted as a bonus. Insured since 2009 I am 0.68 instead of 0.64 because of the contract lag</v>
      </c>
    </row>
    <row r="392" ht="15.75" customHeight="1">
      <c r="A392" s="2">
        <v>5.0</v>
      </c>
      <c r="B392" s="2" t="s">
        <v>1188</v>
      </c>
      <c r="C392" s="2" t="s">
        <v>1189</v>
      </c>
      <c r="D392" s="2" t="s">
        <v>1129</v>
      </c>
      <c r="E392" s="2" t="s">
        <v>429</v>
      </c>
      <c r="F392" s="2" t="s">
        <v>15</v>
      </c>
      <c r="G392" s="2" t="s">
        <v>1190</v>
      </c>
      <c r="H392" s="2" t="s">
        <v>424</v>
      </c>
      <c r="I392" s="2" t="str">
        <f>IFERROR(__xludf.DUMMYFUNCTION("GOOGLETRANSLATE(C392,""fr"",""en"")"),"Simple, professional and friendly contact with the Zen Up Consilier. Easy and quick subscription. Insurance accepts sports so saying ""at risk"" which are refused by many insurers. EXCELLENT!")</f>
        <v>Simple, professional and friendly contact with the Zen Up Consilier. Easy and quick subscription. Insurance accepts sports so saying "at risk" which are refused by many insurers. EXCELLENT!</v>
      </c>
    </row>
    <row r="393" ht="15.75" customHeight="1">
      <c r="A393" s="2">
        <v>5.0</v>
      </c>
      <c r="B393" s="2" t="s">
        <v>1191</v>
      </c>
      <c r="C393" s="2" t="s">
        <v>1192</v>
      </c>
      <c r="D393" s="2" t="s">
        <v>25</v>
      </c>
      <c r="E393" s="2" t="s">
        <v>14</v>
      </c>
      <c r="F393" s="2" t="s">
        <v>15</v>
      </c>
      <c r="G393" s="2" t="s">
        <v>388</v>
      </c>
      <c r="H393" s="2" t="s">
        <v>388</v>
      </c>
      <c r="I393" s="2" t="str">
        <f>IFERROR(__xludf.DUMMYFUNCTION("GOOGLETRANSLATE(C393,""fr"",""en"")"),"Very attentive, and the advisers are in France easier for press release. I signed 2 auto contracts at home. Continue like that ...")</f>
        <v>Very attentive, and the advisers are in France easier for press release. I signed 2 auto contracts at home. Continue like that ...</v>
      </c>
    </row>
    <row r="394" ht="15.75" customHeight="1">
      <c r="A394" s="2">
        <v>5.0</v>
      </c>
      <c r="B394" s="2" t="s">
        <v>1193</v>
      </c>
      <c r="C394" s="2" t="s">
        <v>1194</v>
      </c>
      <c r="D394" s="2" t="s">
        <v>35</v>
      </c>
      <c r="E394" s="2" t="s">
        <v>31</v>
      </c>
      <c r="F394" s="2" t="s">
        <v>15</v>
      </c>
      <c r="G394" s="2" t="s">
        <v>1195</v>
      </c>
      <c r="H394" s="2" t="s">
        <v>317</v>
      </c>
      <c r="I394" s="2" t="str">
        <f>IFERROR(__xludf.DUMMYFUNCTION("GOOGLETRANSLATE(C394,""fr"",""en"")"),"Value for money very satisfactory service. The management of my last claim (motorcycle flight) went very well from start to finish. The expertise was correct.")</f>
        <v>Value for money very satisfactory service. The management of my last claim (motorcycle flight) went very well from start to finish. The expertise was correct.</v>
      </c>
    </row>
    <row r="395" ht="15.75" customHeight="1">
      <c r="A395" s="2">
        <v>5.0</v>
      </c>
      <c r="B395" s="2" t="s">
        <v>1196</v>
      </c>
      <c r="C395" s="2" t="s">
        <v>1197</v>
      </c>
      <c r="D395" s="2" t="s">
        <v>25</v>
      </c>
      <c r="E395" s="2" t="s">
        <v>14</v>
      </c>
      <c r="F395" s="2" t="s">
        <v>15</v>
      </c>
      <c r="G395" s="2" t="s">
        <v>1198</v>
      </c>
      <c r="H395" s="2" t="s">
        <v>101</v>
      </c>
      <c r="I395" s="2" t="str">
        <f>IFERROR(__xludf.DUMMYFUNCTION("GOOGLETRANSLATE(C395,""fr"",""en"")"),"Satisfied, correct waiting on the phone, quick answer to the questions asked. Very correct price, correct and professional interlocutor. Quick management.")</f>
        <v>Satisfied, correct waiting on the phone, quick answer to the questions asked. Very correct price, correct and professional interlocutor. Quick management.</v>
      </c>
    </row>
    <row r="396" ht="15.75" customHeight="1">
      <c r="A396" s="2">
        <v>2.0</v>
      </c>
      <c r="B396" s="2" t="s">
        <v>1199</v>
      </c>
      <c r="C396" s="2" t="s">
        <v>1200</v>
      </c>
      <c r="D396" s="2" t="s">
        <v>39</v>
      </c>
      <c r="E396" s="2" t="s">
        <v>14</v>
      </c>
      <c r="F396" s="2" t="s">
        <v>15</v>
      </c>
      <c r="G396" s="2" t="s">
        <v>205</v>
      </c>
      <c r="H396" s="2" t="s">
        <v>101</v>
      </c>
      <c r="I396" s="2" t="str">
        <f>IFERROR(__xludf.DUMMYFUNCTION("GOOGLETRANSLATE(C396,""fr"",""en"")"),"How is it that when you want to have a scooter on Diressassurance, and by asking for a quote on your site, we end up with a RUN insurance contract from AXA?")</f>
        <v>How is it that when you want to have a scooter on Diressassurance, and by asking for a quote on your site, we end up with a RUN insurance contract from AXA?</v>
      </c>
    </row>
    <row r="397" ht="15.75" customHeight="1">
      <c r="A397" s="2">
        <v>1.0</v>
      </c>
      <c r="B397" s="2" t="s">
        <v>1201</v>
      </c>
      <c r="C397" s="2" t="s">
        <v>1202</v>
      </c>
      <c r="D397" s="2" t="s">
        <v>39</v>
      </c>
      <c r="E397" s="2" t="s">
        <v>50</v>
      </c>
      <c r="F397" s="2" t="s">
        <v>15</v>
      </c>
      <c r="G397" s="2" t="s">
        <v>1203</v>
      </c>
      <c r="H397" s="2" t="s">
        <v>109</v>
      </c>
      <c r="I397" s="2" t="str">
        <f>IFERROR(__xludf.DUMMYFUNCTION("GOOGLETRANSLATE(C397,""fr"",""en"")"),"The problem with them is the increase in prices each year. Each time when approaching the deadline I wondered how to face it, especially since the following month was Christmas.
Yet at the beginning I had chosen them because compared to other insurers, t"&amp;"heir price was more attractive, finally seemed to me the least worse, I had already terminated others (Axa Matmut) and finally from year to year 'Increase surprised me every time and I stayed telling me that I had chosen it because elsewhere it was worse "&amp;"and then in the last opinion (2020) I fell in love, fed up the anguish of payment (payable without Deadline) I looked on the net and took online insurance, they took care of everything, even termination, I divided the invoice almost in 2 and I pay a minim"&amp;"al monthly sum each month, total happiness And more anxiety! I wonder why I didn't do it earlier? I trusted and it doesn't pay! I do not recommend them at all, the only thing that interests them is our money, for the rest, they remain deaf to your request"&amp;"s and besides I hastened with joy to answer their questionnaire to say it following them to their ""sadness"" to see me go lol")</f>
        <v>The problem with them is the increase in prices each year. Each time when approaching the deadline I wondered how to face it, especially since the following month was Christmas.
Yet at the beginning I had chosen them because compared to other insurers, their price was more attractive, finally seemed to me the least worse, I had already terminated others (Axa Matmut) and finally from year to year 'Increase surprised me every time and I stayed telling me that I had chosen it because elsewhere it was worse and then in the last opinion (2020) I fell in love, fed up the anguish of payment (payable without Deadline) I looked on the net and took online insurance, they took care of everything, even termination, I divided the invoice almost in 2 and I pay a minimal monthly sum each month, total happiness And more anxiety! I wonder why I didn't do it earlier? I trusted and it doesn't pay! I do not recommend them at all, the only thing that interests them is our money, for the rest, they remain deaf to your requests and besides I hastened with joy to answer their questionnaire to say it following them to their "sadness" to see me go lol</v>
      </c>
    </row>
    <row r="398" ht="15.75" customHeight="1">
      <c r="A398" s="2">
        <v>3.0</v>
      </c>
      <c r="B398" s="2" t="s">
        <v>1204</v>
      </c>
      <c r="C398" s="2" t="s">
        <v>1205</v>
      </c>
      <c r="D398" s="2" t="s">
        <v>39</v>
      </c>
      <c r="E398" s="2" t="s">
        <v>14</v>
      </c>
      <c r="F398" s="2" t="s">
        <v>15</v>
      </c>
      <c r="G398" s="2" t="s">
        <v>134</v>
      </c>
      <c r="H398" s="2" t="s">
        <v>101</v>
      </c>
      <c r="I398" s="2" t="str">
        <f>IFERROR(__xludf.DUMMYFUNCTION("GOOGLETRANSLATE(C398,""fr"",""en"")"),"I am satisfied with certain contracts but others are still high and you do not ensure all the motorcycles I therefore have other contracts with another insurer")</f>
        <v>I am satisfied with certain contracts but others are still high and you do not ensure all the motorcycles I therefore have other contracts with another insurer</v>
      </c>
    </row>
    <row r="399" ht="15.75" customHeight="1">
      <c r="A399" s="2">
        <v>3.0</v>
      </c>
      <c r="B399" s="2" t="s">
        <v>1206</v>
      </c>
      <c r="C399" s="2" t="s">
        <v>1207</v>
      </c>
      <c r="D399" s="2" t="s">
        <v>466</v>
      </c>
      <c r="E399" s="2" t="s">
        <v>429</v>
      </c>
      <c r="F399" s="2" t="s">
        <v>15</v>
      </c>
      <c r="G399" s="2" t="s">
        <v>1208</v>
      </c>
      <c r="H399" s="2" t="s">
        <v>847</v>
      </c>
      <c r="I399" s="2" t="str">
        <f>IFERROR(__xludf.DUMMYFUNCTION("GOOGLETRANSLATE(C399,""fr"",""en"")"),"Recognized in 80% professional disability and 40% functional disability by the insurer himself, this insurer refuses to take charge of my mortgage under cover of a very ambiguous calculation method of their information notice. What is the use of a mortgag"&amp;"e loan if your medical situation deprives you of 80% of a professional activity and therefore of resources allowing you to reimburse a mortgage. So beware prudence, to escape absolutely to the benefit of a company which is really there to fulfill the expe"&amp;"cted role of insurance in the event of a claim and not simply to collect insurance premiums for 20 years!")</f>
        <v>Recognized in 80% professional disability and 40% functional disability by the insurer himself, this insurer refuses to take charge of my mortgage under cover of a very ambiguous calculation method of their information notice. What is the use of a mortgage loan if your medical situation deprives you of 80% of a professional activity and therefore of resources allowing you to reimburse a mortgage. So beware prudence, to escape absolutely to the benefit of a company which is really there to fulfill the expected role of insurance in the event of a claim and not simply to collect insurance premiums for 20 years!</v>
      </c>
    </row>
    <row r="400" ht="15.75" customHeight="1">
      <c r="A400" s="2">
        <v>1.0</v>
      </c>
      <c r="B400" s="2" t="s">
        <v>1209</v>
      </c>
      <c r="C400" s="2" t="s">
        <v>1210</v>
      </c>
      <c r="D400" s="2" t="s">
        <v>731</v>
      </c>
      <c r="E400" s="2" t="s">
        <v>233</v>
      </c>
      <c r="F400" s="2" t="s">
        <v>15</v>
      </c>
      <c r="G400" s="2" t="s">
        <v>308</v>
      </c>
      <c r="H400" s="2" t="s">
        <v>309</v>
      </c>
      <c r="I400" s="2" t="str">
        <f>IFERROR(__xludf.DUMMYFUNCTION("GOOGLETRANSLATE(C400,""fr"",""en"")"),"Practices not in accordance with the insurance code, unanswered questions, extraordinary deadlines, an obvious lack of respect for their customers. And in addition to the partners of the Caisse d'Epargne!")</f>
        <v>Practices not in accordance with the insurance code, unanswered questions, extraordinary deadlines, an obvious lack of respect for their customers. And in addition to the partners of the Caisse d'Epargne!</v>
      </c>
    </row>
    <row r="401" ht="15.75" customHeight="1">
      <c r="A401" s="2">
        <v>1.0</v>
      </c>
      <c r="B401" s="2" t="s">
        <v>1211</v>
      </c>
      <c r="C401" s="2" t="s">
        <v>1212</v>
      </c>
      <c r="D401" s="2" t="s">
        <v>323</v>
      </c>
      <c r="E401" s="2" t="s">
        <v>45</v>
      </c>
      <c r="F401" s="2" t="s">
        <v>15</v>
      </c>
      <c r="G401" s="2" t="s">
        <v>1213</v>
      </c>
      <c r="H401" s="2" t="s">
        <v>317</v>
      </c>
      <c r="I401" s="2" t="str">
        <f>IFERROR(__xludf.DUMMYFUNCTION("GOOGLETRANSLATE(C401,""fr"",""en"")"),"High contributions for derisory reimbursements. Excess fees remain practically the responsibility of the insured at 80%/90% on average.")</f>
        <v>High contributions for derisory reimbursements. Excess fees remain practically the responsibility of the insured at 80%/90% on average.</v>
      </c>
    </row>
    <row r="402" ht="15.75" customHeight="1">
      <c r="A402" s="2">
        <v>5.0</v>
      </c>
      <c r="B402" s="2" t="s">
        <v>1214</v>
      </c>
      <c r="C402" s="2" t="s">
        <v>1215</v>
      </c>
      <c r="D402" s="2" t="s">
        <v>39</v>
      </c>
      <c r="E402" s="2" t="s">
        <v>14</v>
      </c>
      <c r="F402" s="2" t="s">
        <v>15</v>
      </c>
      <c r="G402" s="2" t="s">
        <v>144</v>
      </c>
      <c r="H402" s="2" t="s">
        <v>113</v>
      </c>
      <c r="I402" s="2" t="str">
        <f>IFERROR(__xludf.DUMMYFUNCTION("GOOGLETRANSLATE(C402,""fr"",""en"")"),"Super value for money, advised on a clear phone, validation of the fast contract. I did not have a claim so cannot give an opinion on this subject.")</f>
        <v>Super value for money, advised on a clear phone, validation of the fast contract. I did not have a claim so cannot give an opinion on this subject.</v>
      </c>
    </row>
    <row r="403" ht="15.75" customHeight="1">
      <c r="A403" s="2">
        <v>2.0</v>
      </c>
      <c r="B403" s="2" t="s">
        <v>1216</v>
      </c>
      <c r="C403" s="2" t="s">
        <v>1217</v>
      </c>
      <c r="D403" s="2" t="s">
        <v>259</v>
      </c>
      <c r="E403" s="2" t="s">
        <v>14</v>
      </c>
      <c r="F403" s="2" t="s">
        <v>15</v>
      </c>
      <c r="G403" s="2" t="s">
        <v>414</v>
      </c>
      <c r="H403" s="2" t="s">
        <v>414</v>
      </c>
      <c r="I403" s="2" t="str">
        <f>IFERROR(__xludf.DUMMYFUNCTION("GOOGLETRANSLATE(C403,""fr"",""en"")"),"Modification of an inadmissible price ... Following a sale that could not take place I have reassured a vehicle already assured the Macif ... same guarantees except a deductible which goes from 340 to 250 euros ... in return The price goes from 137 to 197"&amp;" euros that is to say an increase in nearly 50%...")</f>
        <v>Modification of an inadmissible price ... Following a sale that could not take place I have reassured a vehicle already assured the Macif ... same guarantees except a deductible which goes from 340 to 250 euros ... in return The price goes from 137 to 197 euros that is to say an increase in nearly 50%...</v>
      </c>
    </row>
    <row r="404" ht="15.75" customHeight="1">
      <c r="A404" s="2">
        <v>4.0</v>
      </c>
      <c r="B404" s="2" t="s">
        <v>1218</v>
      </c>
      <c r="C404" s="2" t="s">
        <v>1219</v>
      </c>
      <c r="D404" s="2" t="s">
        <v>162</v>
      </c>
      <c r="E404" s="2" t="s">
        <v>45</v>
      </c>
      <c r="F404" s="2" t="s">
        <v>15</v>
      </c>
      <c r="G404" s="2" t="s">
        <v>1220</v>
      </c>
      <c r="H404" s="2" t="s">
        <v>69</v>
      </c>
      <c r="I404" s="2" t="str">
        <f>IFERROR(__xludf.DUMMYFUNCTION("GOOGLETRANSLATE(C404,""fr"",""en"")"),"Gwendal A was super very good care, politicized friendliness and patience are its qualities I am very satisfied")</f>
        <v>Gwendal A was super very good care, politicized friendliness and patience are its qualities I am very satisfied</v>
      </c>
    </row>
    <row r="405" ht="15.75" customHeight="1">
      <c r="A405" s="2">
        <v>1.0</v>
      </c>
      <c r="B405" s="2" t="s">
        <v>1221</v>
      </c>
      <c r="C405" s="2" t="s">
        <v>1222</v>
      </c>
      <c r="D405" s="2" t="s">
        <v>39</v>
      </c>
      <c r="E405" s="2" t="s">
        <v>14</v>
      </c>
      <c r="F405" s="2" t="s">
        <v>15</v>
      </c>
      <c r="G405" s="2" t="s">
        <v>1223</v>
      </c>
      <c r="H405" s="2" t="s">
        <v>73</v>
      </c>
      <c r="I405" s="2" t="str">
        <f>IFERROR(__xludf.DUMMYFUNCTION("GOOGLETRANSLATE(C405,""fr"",""en"")"),"You have just increased my contribution without reason, so not satisfied. You save crazy sums and your only response and increase contributions")</f>
        <v>You have just increased my contribution without reason, so not satisfied. You save crazy sums and your only response and increase contributions</v>
      </c>
    </row>
    <row r="406" ht="15.75" customHeight="1">
      <c r="A406" s="2">
        <v>4.0</v>
      </c>
      <c r="B406" s="2" t="s">
        <v>1224</v>
      </c>
      <c r="C406" s="2" t="s">
        <v>1225</v>
      </c>
      <c r="D406" s="2" t="s">
        <v>25</v>
      </c>
      <c r="E406" s="2" t="s">
        <v>14</v>
      </c>
      <c r="F406" s="2" t="s">
        <v>15</v>
      </c>
      <c r="G406" s="2" t="s">
        <v>120</v>
      </c>
      <c r="H406" s="2" t="s">
        <v>120</v>
      </c>
      <c r="I406" s="2" t="str">
        <f>IFERROR(__xludf.DUMMYFUNCTION("GOOGLETRANSLATE(C406,""fr"",""en"")"),"Good ! The correspondents of the Olivier Assurances are competent and sympathetic ... The price is average, but acceptable in relation to the guarantees proposed. Thank you.")</f>
        <v>Good ! The correspondents of the Olivier Assurances are competent and sympathetic ... The price is average, but acceptable in relation to the guarantees proposed. Thank you.</v>
      </c>
    </row>
    <row r="407" ht="15.75" customHeight="1">
      <c r="A407" s="2">
        <v>2.0</v>
      </c>
      <c r="B407" s="2" t="s">
        <v>1226</v>
      </c>
      <c r="C407" s="2" t="s">
        <v>1227</v>
      </c>
      <c r="D407" s="2" t="s">
        <v>39</v>
      </c>
      <c r="E407" s="2" t="s">
        <v>14</v>
      </c>
      <c r="F407" s="2" t="s">
        <v>15</v>
      </c>
      <c r="G407" s="2" t="s">
        <v>1228</v>
      </c>
      <c r="H407" s="2" t="s">
        <v>109</v>
      </c>
      <c r="I407" s="2" t="str">
        <f>IFERROR(__xludf.DUMMYFUNCTION("GOOGLETRANSLATE(C407,""fr"",""en"")"),"The price is expensive I think it's too chef
it's too expensive
Because in France, the French are increasingly poor.
They think the price is expensive")</f>
        <v>The price is expensive I think it's too chef
it's too expensive
Because in France, the French are increasingly poor.
They think the price is expensive</v>
      </c>
    </row>
    <row r="408" ht="15.75" customHeight="1">
      <c r="A408" s="2">
        <v>5.0</v>
      </c>
      <c r="B408" s="2" t="s">
        <v>1229</v>
      </c>
      <c r="C408" s="2" t="s">
        <v>1230</v>
      </c>
      <c r="D408" s="2" t="s">
        <v>25</v>
      </c>
      <c r="E408" s="2" t="s">
        <v>14</v>
      </c>
      <c r="F408" s="2" t="s">
        <v>15</v>
      </c>
      <c r="G408" s="2" t="s">
        <v>1231</v>
      </c>
      <c r="H408" s="2" t="s">
        <v>113</v>
      </c>
      <c r="I408" s="2" t="str">
        <f>IFERROR(__xludf.DUMMYFUNCTION("GOOGLETRANSLATE(C408,""fr"",""en"")"),"Excellent very good reasonable price warm welcome very available at listening cheap price well explained very well accompanied and accompanied supported super")</f>
        <v>Excellent very good reasonable price warm welcome very available at listening cheap price well explained very well accompanied and accompanied supported super</v>
      </c>
    </row>
    <row r="409" ht="15.75" customHeight="1">
      <c r="A409" s="2">
        <v>3.0</v>
      </c>
      <c r="B409" s="2" t="s">
        <v>1232</v>
      </c>
      <c r="C409" s="2" t="s">
        <v>1233</v>
      </c>
      <c r="D409" s="2" t="s">
        <v>67</v>
      </c>
      <c r="E409" s="2" t="s">
        <v>14</v>
      </c>
      <c r="F409" s="2" t="s">
        <v>15</v>
      </c>
      <c r="G409" s="2" t="s">
        <v>1234</v>
      </c>
      <c r="H409" s="2" t="s">
        <v>57</v>
      </c>
      <c r="I409" s="2" t="str">
        <f>IFERROR(__xludf.DUMMYFUNCTION("GOOGLETRANSLATE(C409,""fr"",""en"")"),"Customer for 1988, 30 years and no claim. Bonus 50 %. A month ago I was checked positive in blood alcohol level at 0.62 I have 4 months of license suspension. This is the first time, I am not saying that it is good, I am not proud ... well the GMF turned "&amp;"to me like a malprople !!!! I never had an accident!")</f>
        <v>Customer for 1988, 30 years and no claim. Bonus 50 %. A month ago I was checked positive in blood alcohol level at 0.62 I have 4 months of license suspension. This is the first time, I am not saying that it is good, I am not proud ... well the GMF turned to me like a malprople !!!! I never had an accident!</v>
      </c>
    </row>
    <row r="410" ht="15.75" customHeight="1">
      <c r="A410" s="2">
        <v>1.0</v>
      </c>
      <c r="B410" s="2" t="s">
        <v>1235</v>
      </c>
      <c r="C410" s="2" t="s">
        <v>1236</v>
      </c>
      <c r="D410" s="2" t="s">
        <v>20</v>
      </c>
      <c r="E410" s="2" t="s">
        <v>50</v>
      </c>
      <c r="F410" s="2" t="s">
        <v>15</v>
      </c>
      <c r="G410" s="2" t="s">
        <v>1237</v>
      </c>
      <c r="H410" s="2" t="s">
        <v>539</v>
      </c>
      <c r="I410" s="2" t="str">
        <f>IFERROR(__xludf.DUMMYFUNCTION("GOOGLETRANSLATE(C410,""fr"",""en"")"),"The MAAF has just terminated the insurance contract of an 84 -year -old lady sick for 2 claims in 36 months after 17 years without declaration in full assumed. They showed total indifference in the face of difficulties for her to reassure herself and the "&amp;"anxiety in which this situation put her")</f>
        <v>The MAAF has just terminated the insurance contract of an 84 -year -old lady sick for 2 claims in 36 months after 17 years without declaration in full assumed. They showed total indifference in the face of difficulties for her to reassure herself and the anxiety in which this situation put her</v>
      </c>
    </row>
    <row r="411" ht="15.75" customHeight="1">
      <c r="A411" s="2">
        <v>1.0</v>
      </c>
      <c r="B411" s="2" t="s">
        <v>1238</v>
      </c>
      <c r="C411" s="2" t="s">
        <v>1239</v>
      </c>
      <c r="D411" s="2" t="s">
        <v>339</v>
      </c>
      <c r="E411" s="2" t="s">
        <v>45</v>
      </c>
      <c r="F411" s="2" t="s">
        <v>15</v>
      </c>
      <c r="G411" s="2" t="s">
        <v>1240</v>
      </c>
      <c r="H411" s="2" t="s">
        <v>109</v>
      </c>
      <c r="I411" s="2" t="str">
        <f>IFERROR(__xludf.DUMMYFUNCTION("GOOGLETRANSLATE(C411,""fr"",""en"")"),"We were forced to take this mutual with my husband's work in January 2021.
For more than a month, I have been waiting for the management of glasses. The wait is too long and I can't find it normal. My optician (for 10 years) to try to join them on nume"&amp;"rous occasions but they ended up hanging on her.
I had two advisers on the phone, a first to whom we probably gave standard answers, a second fifteen days after which was able to make things happen.
I am not used to doing in consumerism but I find tha"&amp;"t when you pay a mutual, an answer in the coming days is due. My case is absolutely not serious but if unfortunately a person is in a situation such as an emergency hospitalization, a pair of broken glasses without having spare glasses ... etc ... their l"&amp;"ack of responsiveness does not suggest nothing good.
")</f>
        <v>We were forced to take this mutual with my husband's work in January 2021.
For more than a month, I have been waiting for the management of glasses. The wait is too long and I can't find it normal. My optician (for 10 years) to try to join them on numerous occasions but they ended up hanging on her.
I had two advisers on the phone, a first to whom we probably gave standard answers, a second fifteen days after which was able to make things happen.
I am not used to doing in consumerism but I find that when you pay a mutual, an answer in the coming days is due. My case is absolutely not serious but if unfortunately a person is in a situation such as an emergency hospitalization, a pair of broken glasses without having spare glasses ... etc ... their lack of responsiveness does not suggest nothing good.
</v>
      </c>
    </row>
    <row r="412" ht="15.75" customHeight="1">
      <c r="A412" s="2">
        <v>1.0</v>
      </c>
      <c r="B412" s="2" t="s">
        <v>1241</v>
      </c>
      <c r="C412" s="2" t="s">
        <v>1242</v>
      </c>
      <c r="D412" s="2" t="s">
        <v>162</v>
      </c>
      <c r="E412" s="2" t="s">
        <v>45</v>
      </c>
      <c r="F412" s="2" t="s">
        <v>15</v>
      </c>
      <c r="G412" s="2" t="s">
        <v>774</v>
      </c>
      <c r="H412" s="2" t="s">
        <v>113</v>
      </c>
      <c r="I412" s="2" t="str">
        <f>IFERROR(__xludf.DUMMYFUNCTION("GOOGLETRANSLATE(C412,""fr"",""en"")"),"absolutely deplorable. Super nice driver then nothingness.
No file sent, despite several reminders. 0.06 ct of retreat for a pair of glasses, progressive lenses I crü has a bad joke
Periodontics treatment 140 € No frame. Mutual this pretends to be inter"&amp;"esting, for them has no interest, for, the member I forgot. Thank you Santia")</f>
        <v>absolutely deplorable. Super nice driver then nothingness.
No file sent, despite several reminders. 0.06 ct of retreat for a pair of glasses, progressive lenses I crü has a bad joke
Periodontics treatment 140 € No frame. Mutual this pretends to be interesting, for them has no interest, for, the member I forgot. Thank you Santia</v>
      </c>
    </row>
    <row r="413" ht="15.75" customHeight="1">
      <c r="A413" s="2">
        <v>5.0</v>
      </c>
      <c r="B413" s="2" t="s">
        <v>1243</v>
      </c>
      <c r="C413" s="2" t="s">
        <v>1244</v>
      </c>
      <c r="D413" s="2" t="s">
        <v>25</v>
      </c>
      <c r="E413" s="2" t="s">
        <v>14</v>
      </c>
      <c r="F413" s="2" t="s">
        <v>15</v>
      </c>
      <c r="G413" s="2" t="s">
        <v>1245</v>
      </c>
      <c r="H413" s="2" t="s">
        <v>101</v>
      </c>
      <c r="I413" s="2" t="str">
        <f>IFERROR(__xludf.DUMMYFUNCTION("GOOGLETRANSLATE(C413,""fr"",""en"")"),"Very satisfied. Very professional advisers, they are easy to reach and answer the questions perfectly. The prices are very correct compared to the competition")</f>
        <v>Very satisfied. Very professional advisers, they are easy to reach and answer the questions perfectly. The prices are very correct compared to the competition</v>
      </c>
    </row>
    <row r="414" ht="15.75" customHeight="1">
      <c r="A414" s="2">
        <v>1.0</v>
      </c>
      <c r="B414" s="2" t="s">
        <v>1246</v>
      </c>
      <c r="C414" s="2" t="s">
        <v>1247</v>
      </c>
      <c r="D414" s="2" t="s">
        <v>49</v>
      </c>
      <c r="E414" s="2" t="s">
        <v>96</v>
      </c>
      <c r="F414" s="2" t="s">
        <v>15</v>
      </c>
      <c r="G414" s="2" t="s">
        <v>1248</v>
      </c>
      <c r="H414" s="2" t="s">
        <v>202</v>
      </c>
      <c r="I414" s="2" t="str">
        <f>IFERROR(__xludf.DUMMYFUNCTION("GOOGLETRANSLATE(C414,""fr"",""en"")"),"Inadmissible! Beneficiary of the life insurance of my father who died in 09/2018, still no payment has reached me despite the many emails and telephone exchanges with the death compensation for the service of the death of Allianzvie")</f>
        <v>Inadmissible! Beneficiary of the life insurance of my father who died in 09/2018, still no payment has reached me despite the many emails and telephone exchanges with the death compensation for the service of the death of Allianzvie</v>
      </c>
    </row>
    <row r="415" ht="15.75" customHeight="1">
      <c r="A415" s="2">
        <v>4.0</v>
      </c>
      <c r="B415" s="2" t="s">
        <v>1249</v>
      </c>
      <c r="C415" s="2" t="s">
        <v>1250</v>
      </c>
      <c r="D415" s="2" t="s">
        <v>107</v>
      </c>
      <c r="E415" s="2" t="s">
        <v>45</v>
      </c>
      <c r="F415" s="2" t="s">
        <v>15</v>
      </c>
      <c r="G415" s="2" t="s">
        <v>1251</v>
      </c>
      <c r="H415" s="2" t="s">
        <v>109</v>
      </c>
      <c r="I415" s="2" t="str">
        <f>IFERROR(__xludf.DUMMYFUNCTION("GOOGLETRANSLATE(C415,""fr"",""en"")"),"Following our telephone interview today with the hostess who welcomed me ""Angelique"" I wish to put the maximum satisfaction note for her professionalism and his very explicit responses.
Mr CAPPO ROGER")</f>
        <v>Following our telephone interview today with the hostess who welcomed me "Angelique" I wish to put the maximum satisfaction note for her professionalism and his very explicit responses.
Mr CAPPO ROGER</v>
      </c>
    </row>
    <row r="416" ht="15.75" customHeight="1">
      <c r="A416" s="2">
        <v>3.0</v>
      </c>
      <c r="B416" s="2" t="s">
        <v>1252</v>
      </c>
      <c r="C416" s="2" t="s">
        <v>1253</v>
      </c>
      <c r="D416" s="2" t="s">
        <v>20</v>
      </c>
      <c r="E416" s="2" t="s">
        <v>14</v>
      </c>
      <c r="F416" s="2" t="s">
        <v>15</v>
      </c>
      <c r="G416" s="2" t="s">
        <v>1254</v>
      </c>
      <c r="H416" s="2" t="s">
        <v>120</v>
      </c>
      <c r="I416" s="2" t="str">
        <f>IFERROR(__xludf.DUMMYFUNCTION("GOOGLETRANSLATE(C416,""fr"",""en"")"),"Victim of a hanging at the exit of a roundabout, my insurance said that I was completely responsible and therefore, I was not entitled to any compensation ???????
The exit of this roundabout is two -way, I was in the one on the left and the vehicle on my"&amp;" right struck me, for Maaf I am at fault.
Question: on what criteria is the insurance based so as not to reimburse me a hundred when there is an identified third party?
There is nothing to do, it is more the maaf that he prefers!")</f>
        <v>Victim of a hanging at the exit of a roundabout, my insurance said that I was completely responsible and therefore, I was not entitled to any compensation ???????
The exit of this roundabout is two -way, I was in the one on the left and the vehicle on my right struck me, for Maaf I am at fault.
Question: on what criteria is the insurance based so as not to reimburse me a hundred when there is an identified third party?
There is nothing to do, it is more the maaf that he prefers!</v>
      </c>
    </row>
    <row r="417" ht="15.75" customHeight="1">
      <c r="A417" s="2">
        <v>1.0</v>
      </c>
      <c r="B417" s="2" t="s">
        <v>1255</v>
      </c>
      <c r="C417" s="2" t="s">
        <v>1256</v>
      </c>
      <c r="D417" s="2" t="s">
        <v>346</v>
      </c>
      <c r="E417" s="2" t="s">
        <v>347</v>
      </c>
      <c r="F417" s="2" t="s">
        <v>15</v>
      </c>
      <c r="G417" s="2" t="s">
        <v>1257</v>
      </c>
      <c r="H417" s="2" t="s">
        <v>857</v>
      </c>
      <c r="I417" s="2" t="str">
        <f>IFERROR(__xludf.DUMMYFUNCTION("GOOGLETRANSLATE(C417,""fr"",""en"")"),"Simply liars, before contract I am told 20 euros of reimbursement on rabbit castration and once signed and the operation made, no refund, just liars !!!!!!!!!!!!")</f>
        <v>Simply liars, before contract I am told 20 euros of reimbursement on rabbit castration and once signed and the operation made, no refund, just liars !!!!!!!!!!!!</v>
      </c>
    </row>
    <row r="418" ht="15.75" customHeight="1">
      <c r="A418" s="2">
        <v>4.0</v>
      </c>
      <c r="B418" s="2" t="s">
        <v>1258</v>
      </c>
      <c r="C418" s="2" t="s">
        <v>1259</v>
      </c>
      <c r="D418" s="2" t="s">
        <v>67</v>
      </c>
      <c r="E418" s="2" t="s">
        <v>14</v>
      </c>
      <c r="F418" s="2" t="s">
        <v>15</v>
      </c>
      <c r="G418" s="2" t="s">
        <v>523</v>
      </c>
      <c r="H418" s="2" t="s">
        <v>84</v>
      </c>
      <c r="I418" s="2" t="str">
        <f>IFERROR(__xludf.DUMMYFUNCTION("GOOGLETRANSLATE(C418,""fr"",""en"")"),"I am satisfied with the service.
The prices remain average.
Agencies complete the online services very well.
To recommend in my entourage.")</f>
        <v>I am satisfied with the service.
The prices remain average.
Agencies complete the online services very well.
To recommend in my entourage.</v>
      </c>
    </row>
    <row r="419" ht="15.75" customHeight="1">
      <c r="A419" s="2">
        <v>4.0</v>
      </c>
      <c r="B419" s="2" t="s">
        <v>1260</v>
      </c>
      <c r="C419" s="2" t="s">
        <v>1261</v>
      </c>
      <c r="D419" s="2" t="s">
        <v>30</v>
      </c>
      <c r="E419" s="2" t="s">
        <v>31</v>
      </c>
      <c r="F419" s="2" t="s">
        <v>15</v>
      </c>
      <c r="G419" s="2" t="s">
        <v>813</v>
      </c>
      <c r="H419" s="2" t="s">
        <v>101</v>
      </c>
      <c r="I419" s="2" t="str">
        <f>IFERROR(__xludf.DUMMYFUNCTION("GOOGLETRANSLATE(C419,""fr"",""en"")"),"Fast and efficient, very satisfied
Quote delivered quickly. Facilitate to validate the quote by email
 Easy to reach a phone advice
I recommend")</f>
        <v>Fast and efficient, very satisfied
Quote delivered quickly. Facilitate to validate the quote by email
 Easy to reach a phone advice
I recommend</v>
      </c>
    </row>
    <row r="420" ht="15.75" customHeight="1">
      <c r="A420" s="2">
        <v>1.0</v>
      </c>
      <c r="B420" s="2" t="s">
        <v>1262</v>
      </c>
      <c r="C420" s="2" t="s">
        <v>1263</v>
      </c>
      <c r="D420" s="2" t="s">
        <v>293</v>
      </c>
      <c r="E420" s="2" t="s">
        <v>45</v>
      </c>
      <c r="F420" s="2" t="s">
        <v>15</v>
      </c>
      <c r="G420" s="2" t="s">
        <v>1264</v>
      </c>
      <c r="H420" s="2" t="s">
        <v>27</v>
      </c>
      <c r="I420" s="2" t="str">
        <f>IFERROR(__xludf.DUMMYFUNCTION("GOOGLETRANSLATE(C420,""fr"",""en"")"),"I am extremely disappointed with this mutual, I stayed there for more than 2 years with the biggest formula! About 120-130/ month, I had to terminate a compulsory mutual insurance company on my work dated November 1, 2020, I took it a few months later to "&amp;"terminate my mutual insurance Pandemic who did not allow me to send the mail before and result not only, he refuses to reimburse me in proportion to my employer's mutual insurance company, but in addition, they will still take me for 2 months a shame to f"&amp;"lee Do not subscribe! Today even when we are a good payer we put you away ... About 120-130/ month, I had to terminate a mandatory mutual insurance company due to my work dated November 1, 2020, I got there A few months later to terminate my mutual insura"&amp;"nce company at Génération and also due to the situation of pandemic which did not allow me to send the mail before and result it not only, he refuses to reimburse me in proportion to the mutual of my employer, But in addition, they will still take me for "&amp;"2 months a shame to flee do not subscribe especially! I do not know who manages the Google sheet on your side, but believe that I would leave my opinion on all the opinion platforms that there is so that everyone knows what you are doing! ASHAMED !")</f>
        <v>I am extremely disappointed with this mutual, I stayed there for more than 2 years with the biggest formula! About 120-130/ month, I had to terminate a compulsory mutual insurance company on my work dated November 1, 2020, I took it a few months later to terminate my mutual insurance Pandemic who did not allow me to send the mail before and result not only, he refuses to reimburse me in proportion to my employer's mutual insurance company, but in addition, they will still take me for 2 months a shame to flee Do not subscribe! Today even when we are a good payer we put you away ... About 120-130/ month, I had to terminate a mandatory mutual insurance company due to my work dated November 1, 2020, I got there A few months later to terminate my mutual insurance company at Génération and also due to the situation of pandemic which did not allow me to send the mail before and result it not only, he refuses to reimburse me in proportion to the mutual of my employer, But in addition, they will still take me for 2 months a shame to flee do not subscribe especially! I do not know who manages the Google sheet on your side, but believe that I would leave my opinion on all the opinion platforms that there is so that everyone knows what you are doing! ASHAMED !</v>
      </c>
    </row>
    <row r="421" ht="15.75" customHeight="1">
      <c r="A421" s="2">
        <v>4.0</v>
      </c>
      <c r="B421" s="2" t="s">
        <v>1265</v>
      </c>
      <c r="C421" s="2" t="s">
        <v>1266</v>
      </c>
      <c r="D421" s="2" t="s">
        <v>67</v>
      </c>
      <c r="E421" s="2" t="s">
        <v>14</v>
      </c>
      <c r="F421" s="2" t="s">
        <v>15</v>
      </c>
      <c r="G421" s="2" t="s">
        <v>1267</v>
      </c>
      <c r="H421" s="2" t="s">
        <v>84</v>
      </c>
      <c r="I421" s="2" t="str">
        <f>IFERROR(__xludf.DUMMYFUNCTION("GOOGLETRANSLATE(C421,""fr"",""en"")"),"I am satisfied with the service. The prices are correct and I quickly get my certificate or information requested both on home insurance and on car insurance")</f>
        <v>I am satisfied with the service. The prices are correct and I quickly get my certificate or information requested both on home insurance and on car insurance</v>
      </c>
    </row>
    <row r="422" ht="15.75" customHeight="1">
      <c r="A422" s="2">
        <v>2.0</v>
      </c>
      <c r="B422" s="2" t="s">
        <v>1268</v>
      </c>
      <c r="C422" s="2" t="s">
        <v>1269</v>
      </c>
      <c r="D422" s="2" t="s">
        <v>49</v>
      </c>
      <c r="E422" s="2" t="s">
        <v>50</v>
      </c>
      <c r="F422" s="2" t="s">
        <v>15</v>
      </c>
      <c r="G422" s="2" t="s">
        <v>120</v>
      </c>
      <c r="H422" s="2" t="s">
        <v>131</v>
      </c>
      <c r="I422" s="2" t="str">
        <f>IFERROR(__xludf.DUMMYFUNCTION("GOOGLETRANSLATE(C422,""fr"",""en"")"),"Cheap insurance but when I terminate we learn that this is done on J+30. Either this insurance makes pay a month more than necessary !!! Precision not made of course at the time of subscription since we are supposed to read all the small lines !!!")</f>
        <v>Cheap insurance but when I terminate we learn that this is done on J+30. Either this insurance makes pay a month more than necessary !!! Precision not made of course at the time of subscription since we are supposed to read all the small lines !!!</v>
      </c>
    </row>
    <row r="423" ht="15.75" customHeight="1">
      <c r="A423" s="2">
        <v>1.0</v>
      </c>
      <c r="B423" s="2" t="s">
        <v>1270</v>
      </c>
      <c r="C423" s="2" t="s">
        <v>1271</v>
      </c>
      <c r="D423" s="2" t="s">
        <v>49</v>
      </c>
      <c r="E423" s="2" t="s">
        <v>14</v>
      </c>
      <c r="F423" s="2" t="s">
        <v>15</v>
      </c>
      <c r="G423" s="2" t="s">
        <v>1272</v>
      </c>
      <c r="H423" s="2" t="s">
        <v>424</v>
      </c>
      <c r="I423" s="2" t="str">
        <f>IFERROR(__xludf.DUMMYFUNCTION("GOOGLETRANSLATE(C423,""fr"",""en"")"),"Your insurance is too expensive and currently consults to change it
He was counted for me when I was not wrong
But the other driver was also assured at Allianz they deemed a 50/50
This company being a big customer with them")</f>
        <v>Your insurance is too expensive and currently consults to change it
He was counted for me when I was not wrong
But the other driver was also assured at Allianz they deemed a 50/50
This company being a big customer with them</v>
      </c>
    </row>
    <row r="424" ht="15.75" customHeight="1">
      <c r="A424" s="2">
        <v>2.0</v>
      </c>
      <c r="B424" s="2" t="s">
        <v>1273</v>
      </c>
      <c r="C424" s="2" t="s">
        <v>1274</v>
      </c>
      <c r="D424" s="2" t="s">
        <v>55</v>
      </c>
      <c r="E424" s="2" t="s">
        <v>14</v>
      </c>
      <c r="F424" s="2" t="s">
        <v>15</v>
      </c>
      <c r="G424" s="2" t="s">
        <v>1275</v>
      </c>
      <c r="H424" s="2" t="s">
        <v>212</v>
      </c>
      <c r="I424" s="2" t="str">
        <f>IFERROR(__xludf.DUMMYFUNCTION("GOOGLETRANSLATE(C424,""fr"",""en"")"),"Watch out for optional services including repatriation assistance with loan car
Assessed any risk and taking with breakdown and accident option 0km No loan vehicle included in the basic assistance pay option to add Bonus additional 50 to 311st annual any"&amp;" risk and 200th of rental fees for return to my home At my expense a shame with 2 children in the evening on weekends requires termination")</f>
        <v>Watch out for optional services including repatriation assistance with loan car
Assessed any risk and taking with breakdown and accident option 0km No loan vehicle included in the basic assistance pay option to add Bonus additional 50 to 311st annual any risk and 200th of rental fees for return to my home At my expense a shame with 2 children in the evening on weekends requires termination</v>
      </c>
    </row>
    <row r="425" ht="15.75" customHeight="1">
      <c r="A425" s="2">
        <v>5.0</v>
      </c>
      <c r="B425" s="2" t="s">
        <v>1276</v>
      </c>
      <c r="C425" s="2" t="s">
        <v>1277</v>
      </c>
      <c r="D425" s="2" t="s">
        <v>25</v>
      </c>
      <c r="E425" s="2" t="s">
        <v>14</v>
      </c>
      <c r="F425" s="2" t="s">
        <v>15</v>
      </c>
      <c r="G425" s="2" t="s">
        <v>1278</v>
      </c>
      <c r="H425" s="2" t="s">
        <v>101</v>
      </c>
      <c r="I425" s="2" t="str">
        <f>IFERROR(__xludf.DUMMYFUNCTION("GOOGLETRANSLATE(C425,""fr"",""en"")"),"Hyper attractive price, staff on the end of the nice and competent line.")</f>
        <v>Hyper attractive price, staff on the end of the nice and competent line.</v>
      </c>
    </row>
    <row r="426" ht="15.75" customHeight="1">
      <c r="A426" s="2">
        <v>1.0</v>
      </c>
      <c r="B426" s="2" t="s">
        <v>1279</v>
      </c>
      <c r="C426" s="2" t="s">
        <v>1280</v>
      </c>
      <c r="D426" s="2" t="s">
        <v>13</v>
      </c>
      <c r="E426" s="2" t="s">
        <v>14</v>
      </c>
      <c r="F426" s="2" t="s">
        <v>15</v>
      </c>
      <c r="G426" s="2" t="s">
        <v>1281</v>
      </c>
      <c r="H426" s="2" t="s">
        <v>785</v>
      </c>
      <c r="I426" s="2" t="str">
        <f>IFERROR(__xludf.DUMMYFUNCTION("GOOGLETRANSLATE(C426,""fr"",""en"")"),"In 4 months, 4 different people on the phone and always black blahs. In the end, no termination was made for my car insurance, so 4 times more money have been debited, ashamed.")</f>
        <v>In 4 months, 4 different people on the phone and always black blahs. In the end, no termination was made for my car insurance, so 4 times more money have been debited, ashamed.</v>
      </c>
    </row>
    <row r="427" ht="15.75" customHeight="1">
      <c r="A427" s="2">
        <v>4.0</v>
      </c>
      <c r="B427" s="2" t="s">
        <v>1282</v>
      </c>
      <c r="C427" s="2" t="s">
        <v>1283</v>
      </c>
      <c r="D427" s="2" t="s">
        <v>39</v>
      </c>
      <c r="E427" s="2" t="s">
        <v>14</v>
      </c>
      <c r="F427" s="2" t="s">
        <v>15</v>
      </c>
      <c r="G427" s="2" t="s">
        <v>286</v>
      </c>
      <c r="H427" s="2" t="s">
        <v>27</v>
      </c>
      <c r="I427" s="2" t="str">
        <f>IFERROR(__xludf.DUMMYFUNCTION("GOOGLETRANSLATE(C427,""fr"",""en"")"),"Satisfied very simple and easy to recommend
Correct and intuitive ergonomics which allow you to manage the data necessary to constitute the file")</f>
        <v>Satisfied very simple and easy to recommend
Correct and intuitive ergonomics which allow you to manage the data necessary to constitute the file</v>
      </c>
    </row>
    <row r="428" ht="15.75" customHeight="1">
      <c r="A428" s="2">
        <v>5.0</v>
      </c>
      <c r="B428" s="2" t="s">
        <v>1284</v>
      </c>
      <c r="C428" s="2" t="s">
        <v>1285</v>
      </c>
      <c r="D428" s="2" t="s">
        <v>39</v>
      </c>
      <c r="E428" s="2" t="s">
        <v>14</v>
      </c>
      <c r="F428" s="2" t="s">
        <v>15</v>
      </c>
      <c r="G428" s="2" t="s">
        <v>194</v>
      </c>
      <c r="H428" s="2" t="s">
        <v>77</v>
      </c>
      <c r="I428" s="2" t="str">
        <f>IFERROR(__xludf.DUMMYFUNCTION("GOOGLETRANSLATE(C428,""fr"",""en"")"),"I am satisfied with the service can do better even so that prices be to wear it from everyone because it is not yet the case")</f>
        <v>I am satisfied with the service can do better even so that prices be to wear it from everyone because it is not yet the case</v>
      </c>
    </row>
    <row r="429" ht="15.75" customHeight="1">
      <c r="A429" s="2">
        <v>3.0</v>
      </c>
      <c r="B429" s="2" t="s">
        <v>1286</v>
      </c>
      <c r="C429" s="2" t="s">
        <v>1287</v>
      </c>
      <c r="D429" s="2" t="s">
        <v>67</v>
      </c>
      <c r="E429" s="2" t="s">
        <v>14</v>
      </c>
      <c r="F429" s="2" t="s">
        <v>15</v>
      </c>
      <c r="G429" s="2" t="s">
        <v>104</v>
      </c>
      <c r="H429" s="2" t="s">
        <v>84</v>
      </c>
      <c r="I429" s="2" t="str">
        <f>IFERROR(__xludf.DUMMYFUNCTION("GOOGLETRANSLATE(C429,""fr"",""en"")"),"Hello,
Unfortunately there is an error in terms of name on the scoal insurance certificate and extra school of my son. I can't print her and put her back to her school on time")</f>
        <v>Hello,
Unfortunately there is an error in terms of name on the scoal insurance certificate and extra school of my son. I can't print her and put her back to her school on time</v>
      </c>
    </row>
    <row r="430" ht="15.75" customHeight="1">
      <c r="A430" s="2">
        <v>1.0</v>
      </c>
      <c r="B430" s="2" t="s">
        <v>1288</v>
      </c>
      <c r="C430" s="2" t="s">
        <v>1289</v>
      </c>
      <c r="D430" s="2" t="s">
        <v>123</v>
      </c>
      <c r="E430" s="2" t="s">
        <v>45</v>
      </c>
      <c r="F430" s="2" t="s">
        <v>15</v>
      </c>
      <c r="G430" s="2" t="s">
        <v>1290</v>
      </c>
      <c r="H430" s="2" t="s">
        <v>974</v>
      </c>
      <c r="I430" s="2" t="str">
        <f>IFERROR(__xludf.DUMMYFUNCTION("GOOGLETRANSLATE(C430,""fr"",""en"")"),"Very expensive naughty mutual and low reimbursements, very poor reimbursement management")</f>
        <v>Very expensive naughty mutual and low reimbursements, very poor reimbursement management</v>
      </c>
    </row>
    <row r="431" ht="15.75" customHeight="1">
      <c r="A431" s="2">
        <v>4.0</v>
      </c>
      <c r="B431" s="2" t="s">
        <v>1291</v>
      </c>
      <c r="C431" s="2" t="s">
        <v>1292</v>
      </c>
      <c r="D431" s="2" t="s">
        <v>39</v>
      </c>
      <c r="E431" s="2" t="s">
        <v>14</v>
      </c>
      <c r="F431" s="2" t="s">
        <v>15</v>
      </c>
      <c r="G431" s="2" t="s">
        <v>1293</v>
      </c>
      <c r="H431" s="2" t="s">
        <v>84</v>
      </c>
      <c r="I431" s="2" t="str">
        <f>IFERROR(__xludf.DUMMYFUNCTION("GOOGLETRANSLATE(C431,""fr"",""en"")"),"Sataisfis of the service. Navigation on the site and filling up very well thought out questionnaires. Not yet perfect but much better than competition")</f>
        <v>Sataisfis of the service. Navigation on the site and filling up very well thought out questionnaires. Not yet perfect but much better than competition</v>
      </c>
    </row>
    <row r="432" ht="15.75" customHeight="1">
      <c r="A432" s="2">
        <v>2.0</v>
      </c>
      <c r="B432" s="2" t="s">
        <v>1294</v>
      </c>
      <c r="C432" s="2" t="s">
        <v>1295</v>
      </c>
      <c r="D432" s="2" t="s">
        <v>339</v>
      </c>
      <c r="E432" s="2" t="s">
        <v>45</v>
      </c>
      <c r="F432" s="2" t="s">
        <v>15</v>
      </c>
      <c r="G432" s="2" t="s">
        <v>1296</v>
      </c>
      <c r="H432" s="2" t="s">
        <v>131</v>
      </c>
      <c r="I432" s="2" t="str">
        <f>IFERROR(__xludf.DUMMYFUNCTION("GOOGLETRANSLATE(C432,""fr"",""en"")"),"Double sample this month of November 2020. Excuse invoked by contact (after 6 calls counting 10:43 am waiting in all) this is the reason for the covid ???? Knowing the operating modes concerning the samples, we know that it is neither the COVVIR nor a com"&amp;"puter malfunction (invoked in an email) which is the reason for this double sample. We must stop taking us for c .....
Part of the reimbursement of my blood analyzes (usually supported) this time not supported.
Optical file waiting for 15 days and t"&amp;"his morning I am inquired that Mercer is processing the files of 21/10/2020 and we are on November 24, 2020. Reason invoked for the delay ""Le Covid"". And we could not give me a coherent answer as to the date I could recover my glasses. It's a shame.")</f>
        <v>Double sample this month of November 2020. Excuse invoked by contact (after 6 calls counting 10:43 am waiting in all) this is the reason for the covid ???? Knowing the operating modes concerning the samples, we know that it is neither the COVVIR nor a computer malfunction (invoked in an email) which is the reason for this double sample. We must stop taking us for c .....
Part of the reimbursement of my blood analyzes (usually supported) this time not supported.
Optical file waiting for 15 days and this morning I am inquired that Mercer is processing the files of 21/10/2020 and we are on November 24, 2020. Reason invoked for the delay "Le Covid". And we could not give me a coherent answer as to the date I could recover my glasses. It's a shame.</v>
      </c>
    </row>
    <row r="433" ht="15.75" customHeight="1">
      <c r="A433" s="2">
        <v>1.0</v>
      </c>
      <c r="B433" s="2" t="s">
        <v>1297</v>
      </c>
      <c r="C433" s="2" t="s">
        <v>1298</v>
      </c>
      <c r="D433" s="2" t="s">
        <v>44</v>
      </c>
      <c r="E433" s="2" t="s">
        <v>45</v>
      </c>
      <c r="F433" s="2" t="s">
        <v>15</v>
      </c>
      <c r="G433" s="2" t="s">
        <v>497</v>
      </c>
      <c r="H433" s="2" t="s">
        <v>101</v>
      </c>
      <c r="I433" s="2" t="str">
        <f>IFERROR(__xludf.DUMMYFUNCTION("GOOGLETRANSLATE(C433,""fr"",""en"")"),"To run away absolutely
Contributing for two years, I did not need them. The first time I have used them, impossible to reach them, whatever the medium. The clinic that operated on me could not have care, so I had to advance the costs. Since then, no refu"&amp;"nd has been sent to me.
So I terminated this complementary completely in not recommending, which corresponds to the overwhelming majority of opinions. Since the termination, a miracle, I have received emails, but still no refund.
How are they still allo"&amp;"wed to intervene in the complementary mutual market?")</f>
        <v>To run away absolutely
Contributing for two years, I did not need them. The first time I have used them, impossible to reach them, whatever the medium. The clinic that operated on me could not have care, so I had to advance the costs. Since then, no refund has been sent to me.
So I terminated this complementary completely in not recommending, which corresponds to the overwhelming majority of opinions. Since the termination, a miracle, I have received emails, but still no refund.
How are they still allowed to intervene in the complementary mutual market?</v>
      </c>
    </row>
    <row r="434" ht="15.75" customHeight="1">
      <c r="A434" s="2">
        <v>1.0</v>
      </c>
      <c r="B434" s="2" t="s">
        <v>1299</v>
      </c>
      <c r="C434" s="2" t="s">
        <v>1300</v>
      </c>
      <c r="D434" s="2" t="s">
        <v>219</v>
      </c>
      <c r="E434" s="2" t="s">
        <v>50</v>
      </c>
      <c r="F434" s="2" t="s">
        <v>15</v>
      </c>
      <c r="G434" s="2" t="s">
        <v>1301</v>
      </c>
      <c r="H434" s="2" t="s">
        <v>857</v>
      </c>
      <c r="I434" s="2" t="str">
        <f>IFERROR(__xludf.DUMMYFUNCTION("GOOGLETRANSLATE(C434,""fr"",""en"")"),"36 years of loyalty rewarded ...
My parents, then joint ownership, and myself for my personal property, are customers at AXA for over 36 years, in Alès, in the same agency having headed several successive brokers.
Although Axa did not have all this ti"&amp;"me (36 years) to suffer from late payment, lately, joint ownership and I have to note that some of our goods have not been insured in continuity:
? One, following a co -ownership, passing by a volunteer trustee to a professional trustee (to whom we have "&amp;"imposed the choice of insurance);
? The other, following the termination of a contract for an apartment sold in this same building.
A tangle of actions and negative elements, lack of communication, due to the lightness of how to process files and its cu"&amp;"stomers by AXA penalizes us (truncated addresses, no contribution call sent therefore received before January 2017, content of erroneous letters, € 672 to be reimbursed for joint ownership which were not, € 672 fired on the account of another customer, ca"&amp;"ll and reminder of the contribution claimed to the amounts that vary ..., error on the 'Assignment of an apartment during a contract termination, etc.: the list is long ...)
Despite decades of loyalty to Axa, despite my accessibility, the broker of whi"&amp;"ch for other purposes used, no alert has been reported to me, and a claim is refused to be studied to, in the end, a “partial” delay payment which justifies, according to AXA, a suspension of contract.
In a LRAR of June 8, 2017, I claimed from the AXA "&amp;"agency explanations and an amicable solution, I will not deliberately be answered.
Following my phone call from July 12, the broker and I agreed on an appointment on July 17, 2017. This interview will have lasted at most 15 minutes and, even if it was no"&amp;"t said with words, I was led to understand that if I am not happy, I am invited to change insurance, agency and broker.
After 36 years, the pill is bitter.")</f>
        <v>36 years of loyalty rewarded ...
My parents, then joint ownership, and myself for my personal property, are customers at AXA for over 36 years, in Alès, in the same agency having headed several successive brokers.
Although Axa did not have all this time (36 years) to suffer from late payment, lately, joint ownership and I have to note that some of our goods have not been insured in continuity:
? One, following a co -ownership, passing by a volunteer trustee to a professional trustee (to whom we have imposed the choice of insurance);
? The other, following the termination of a contract for an apartment sold in this same building.
A tangle of actions and negative elements, lack of communication, due to the lightness of how to process files and its customers by AXA penalizes us (truncated addresses, no contribution call sent therefore received before January 2017, content of erroneous letters, € 672 to be reimbursed for joint ownership which were not, € 672 fired on the account of another customer, call and reminder of the contribution claimed to the amounts that vary ..., error on the 'Assignment of an apartment during a contract termination, etc.: the list is long ...)
Despite decades of loyalty to Axa, despite my accessibility, the broker of which for other purposes used, no alert has been reported to me, and a claim is refused to be studied to, in the end, a “partial” delay payment which justifies, according to AXA, a suspension of contract.
In a LRAR of June 8, 2017, I claimed from the AXA agency explanations and an amicable solution, I will not deliberately be answered.
Following my phone call from July 12, the broker and I agreed on an appointment on July 17, 2017. This interview will have lasted at most 15 minutes and, even if it was not said with words, I was led to understand that if I am not happy, I am invited to change insurance, agency and broker.
After 36 years, the pill is bitter.</v>
      </c>
    </row>
    <row r="435" ht="15.75" customHeight="1">
      <c r="A435" s="2">
        <v>5.0</v>
      </c>
      <c r="B435" s="2" t="s">
        <v>1302</v>
      </c>
      <c r="C435" s="2" t="s">
        <v>1303</v>
      </c>
      <c r="D435" s="2" t="s">
        <v>39</v>
      </c>
      <c r="E435" s="2" t="s">
        <v>14</v>
      </c>
      <c r="F435" s="2" t="s">
        <v>15</v>
      </c>
      <c r="G435" s="2" t="s">
        <v>155</v>
      </c>
      <c r="H435" s="2" t="s">
        <v>101</v>
      </c>
      <c r="I435" s="2" t="str">
        <f>IFERROR(__xludf.DUMMYFUNCTION("GOOGLETRANSLATE(C435,""fr"",""en"")"),"I am satisfied with the service, the prices suit me, the online subscription is a plus, which gives time to pour the documents. I recommend")</f>
        <v>I am satisfied with the service, the prices suit me, the online subscription is a plus, which gives time to pour the documents. I recommend</v>
      </c>
    </row>
    <row r="436" ht="15.75" customHeight="1">
      <c r="A436" s="2">
        <v>5.0</v>
      </c>
      <c r="B436" s="2" t="s">
        <v>1304</v>
      </c>
      <c r="C436" s="2" t="s">
        <v>1305</v>
      </c>
      <c r="D436" s="2" t="s">
        <v>30</v>
      </c>
      <c r="E436" s="2" t="s">
        <v>31</v>
      </c>
      <c r="F436" s="2" t="s">
        <v>15</v>
      </c>
      <c r="G436" s="2" t="s">
        <v>937</v>
      </c>
      <c r="H436" s="2" t="s">
        <v>120</v>
      </c>
      <c r="I436" s="2" t="str">
        <f>IFERROR(__xludf.DUMMYFUNCTION("GOOGLETRANSLATE(C436,""fr"",""en"")"),"I am satisfied with the speed of membership. I hope I don't have to use the coverage of this insurance often. And I will study the automotive proposal.")</f>
        <v>I am satisfied with the speed of membership. I hope I don't have to use the coverage of this insurance often. And I will study the automotive proposal.</v>
      </c>
    </row>
    <row r="437" ht="15.75" customHeight="1">
      <c r="A437" s="2">
        <v>3.0</v>
      </c>
      <c r="B437" s="2" t="s">
        <v>1306</v>
      </c>
      <c r="C437" s="2" t="s">
        <v>1307</v>
      </c>
      <c r="D437" s="2" t="s">
        <v>123</v>
      </c>
      <c r="E437" s="2" t="s">
        <v>45</v>
      </c>
      <c r="F437" s="2" t="s">
        <v>15</v>
      </c>
      <c r="G437" s="2" t="s">
        <v>1308</v>
      </c>
      <c r="H437" s="2" t="s">
        <v>424</v>
      </c>
      <c r="I437" s="2" t="str">
        <f>IFERROR(__xludf.DUMMYFUNCTION("GOOGLETRANSLATE(C437,""fr"",""en"")"),"2048 € per year, renewal of glasses remains at the expense 0 ?????
AG2R supports glass and frame up to € 16.40 or almost € 95 in my pocket (Afflelou)
Thank you AG2R !!!!!!")</f>
        <v>2048 € per year, renewal of glasses remains at the expense 0 ?????
AG2R supports glass and frame up to € 16.40 or almost € 95 in my pocket (Afflelou)
Thank you AG2R !!!!!!</v>
      </c>
    </row>
    <row r="438" ht="15.75" customHeight="1">
      <c r="A438" s="2">
        <v>2.0</v>
      </c>
      <c r="B438" s="2" t="s">
        <v>1309</v>
      </c>
      <c r="C438" s="2" t="s">
        <v>1310</v>
      </c>
      <c r="D438" s="2" t="s">
        <v>208</v>
      </c>
      <c r="E438" s="2" t="s">
        <v>14</v>
      </c>
      <c r="F438" s="2" t="s">
        <v>15</v>
      </c>
      <c r="G438" s="2" t="s">
        <v>1311</v>
      </c>
      <c r="H438" s="2" t="s">
        <v>164</v>
      </c>
      <c r="I438" s="2" t="str">
        <f>IFERROR(__xludf.DUMMYFUNCTION("GOOGLETRANSLATE(C438,""fr"",""en"")"),"Hello. Following an electronic failure immobilizing our car in Greece, refusal of Matmut Assistance to set up the Rappatriation for people (4) to France .... on the pretext that I have called on the brand towing of the brand to be Towed in a brand dealer "&amp;"(diagnosis and faster repair). Customer for 25 years with 4 contracts with them (which I will soon terminate), I find this scandalous attitude")</f>
        <v>Hello. Following an electronic failure immobilizing our car in Greece, refusal of Matmut Assistance to set up the Rappatriation for people (4) to France .... on the pretext that I have called on the brand towing of the brand to be Towed in a brand dealer (diagnosis and faster repair). Customer for 25 years with 4 contracts with them (which I will soon terminate), I find this scandalous attitude</v>
      </c>
    </row>
    <row r="439" ht="15.75" customHeight="1">
      <c r="A439" s="2">
        <v>4.0</v>
      </c>
      <c r="B439" s="2" t="s">
        <v>1312</v>
      </c>
      <c r="C439" s="2" t="s">
        <v>1313</v>
      </c>
      <c r="D439" s="2" t="s">
        <v>39</v>
      </c>
      <c r="E439" s="2" t="s">
        <v>14</v>
      </c>
      <c r="F439" s="2" t="s">
        <v>15</v>
      </c>
      <c r="G439" s="2" t="s">
        <v>1245</v>
      </c>
      <c r="H439" s="2" t="s">
        <v>101</v>
      </c>
      <c r="I439" s="2" t="str">
        <f>IFERROR(__xludf.DUMMYFUNCTION("GOOGLETRANSLATE(C439,""fr"",""en"")"),"I am satisfied with the service. Not much insurance accepts the international permit, but that if.
During my breakdown they were effective. very good")</f>
        <v>I am satisfied with the service. Not much insurance accepts the international permit, but that if.
During my breakdown they were effective. very good</v>
      </c>
    </row>
    <row r="440" ht="15.75" customHeight="1">
      <c r="A440" s="2">
        <v>4.0</v>
      </c>
      <c r="B440" s="2" t="s">
        <v>1314</v>
      </c>
      <c r="C440" s="2" t="s">
        <v>1315</v>
      </c>
      <c r="D440" s="2" t="s">
        <v>30</v>
      </c>
      <c r="E440" s="2" t="s">
        <v>31</v>
      </c>
      <c r="F440" s="2" t="s">
        <v>15</v>
      </c>
      <c r="G440" s="2" t="s">
        <v>1316</v>
      </c>
      <c r="H440" s="2" t="s">
        <v>84</v>
      </c>
      <c r="I440" s="2" t="str">
        <f>IFERROR(__xludf.DUMMYFUNCTION("GOOGLETRANSLATE(C440,""fr"",""en"")"),"I am waiting to see in the event of an accident if the services will be up to the task
If the operators are easy to reach even for simple assessment of my contract or other")</f>
        <v>I am waiting to see in the event of an accident if the services will be up to the task
If the operators are easy to reach even for simple assessment of my contract or other</v>
      </c>
    </row>
    <row r="441" ht="15.75" customHeight="1">
      <c r="A441" s="2">
        <v>2.0</v>
      </c>
      <c r="B441" s="2" t="s">
        <v>1317</v>
      </c>
      <c r="C441" s="2" t="s">
        <v>1318</v>
      </c>
      <c r="D441" s="2" t="s">
        <v>67</v>
      </c>
      <c r="E441" s="2" t="s">
        <v>50</v>
      </c>
      <c r="F441" s="2" t="s">
        <v>15</v>
      </c>
      <c r="G441" s="2" t="s">
        <v>1319</v>
      </c>
      <c r="H441" s="2" t="s">
        <v>290</v>
      </c>
      <c r="I441" s="2" t="str">
        <f>IFERROR(__xludf.DUMMYFUNCTION("GOOGLETRANSLATE(C441,""fr"",""en"")"),"Nine months on December 10 that I suffered water damage, and I am still awaiting payment to start the work.")</f>
        <v>Nine months on December 10 that I suffered water damage, and I am still awaiting payment to start the work.</v>
      </c>
    </row>
    <row r="442" ht="15.75" customHeight="1">
      <c r="A442" s="2">
        <v>1.0</v>
      </c>
      <c r="B442" s="2" t="s">
        <v>1320</v>
      </c>
      <c r="C442" s="2" t="s">
        <v>1321</v>
      </c>
      <c r="D442" s="2" t="s">
        <v>176</v>
      </c>
      <c r="E442" s="2" t="s">
        <v>96</v>
      </c>
      <c r="F442" s="2" t="s">
        <v>15</v>
      </c>
      <c r="G442" s="2" t="s">
        <v>1322</v>
      </c>
      <c r="H442" s="2" t="s">
        <v>594</v>
      </c>
      <c r="I442" s="2" t="str">
        <f>IFERROR(__xludf.DUMMYFUNCTION("GOOGLETRANSLATE(C442,""fr"",""en"")"),"Since 2/01/2020 I await the transformation of my monosupport life insurance into multi -support. While at other insurers I carried out the same operation and in 3 weeks it was treated
In addition AFER forces me to subscribe 10% of my capital in Eurocrois"&amp;"sance and among other life insurance this obligation does not even exist")</f>
        <v>Since 2/01/2020 I await the transformation of my monosupport life insurance into multi -support. While at other insurers I carried out the same operation and in 3 weeks it was treated
In addition AFER forces me to subscribe 10% of my capital in Eurocroissance and among other life insurance this obligation does not even exist</v>
      </c>
    </row>
    <row r="443" ht="15.75" customHeight="1">
      <c r="A443" s="2">
        <v>3.0</v>
      </c>
      <c r="B443" s="2" t="s">
        <v>1323</v>
      </c>
      <c r="C443" s="2" t="s">
        <v>1324</v>
      </c>
      <c r="D443" s="2" t="s">
        <v>39</v>
      </c>
      <c r="E443" s="2" t="s">
        <v>14</v>
      </c>
      <c r="F443" s="2" t="s">
        <v>15</v>
      </c>
      <c r="G443" s="2" t="s">
        <v>116</v>
      </c>
      <c r="H443" s="2" t="s">
        <v>109</v>
      </c>
      <c r="I443" s="2" t="str">
        <f>IFERROR(__xludf.DUMMYFUNCTION("GOOGLETRANSLATE(C443,""fr"",""en"")"),"An increase in 2019 in view of the price of auto parts which had increased
Increase in 2020 despite the confinement during which cars did not leave the garage (3000 km instead of the usual 15,000) ... I am waiting for 2021")</f>
        <v>An increase in 2019 in view of the price of auto parts which had increased
Increase in 2020 despite the confinement during which cars did not leave the garage (3000 km instead of the usual 15,000) ... I am waiting for 2021</v>
      </c>
    </row>
    <row r="444" ht="15.75" customHeight="1">
      <c r="A444" s="2">
        <v>4.0</v>
      </c>
      <c r="B444" s="2" t="s">
        <v>1325</v>
      </c>
      <c r="C444" s="2" t="s">
        <v>1326</v>
      </c>
      <c r="D444" s="2" t="s">
        <v>39</v>
      </c>
      <c r="E444" s="2" t="s">
        <v>14</v>
      </c>
      <c r="F444" s="2" t="s">
        <v>15</v>
      </c>
      <c r="G444" s="2" t="s">
        <v>36</v>
      </c>
      <c r="H444" s="2" t="s">
        <v>17</v>
      </c>
      <c r="I444" s="2" t="str">
        <f>IFERROR(__xludf.DUMMYFUNCTION("GOOGLETRANSLATE(C444,""fr"",""en"")"),"Perfect easy and fast very good experience with my old vehicle which was insured at Direct Insurance No worries and as soon as I have a direct C question with the app")</f>
        <v>Perfect easy and fast very good experience with my old vehicle which was insured at Direct Insurance No worries and as soon as I have a direct C question with the app</v>
      </c>
    </row>
    <row r="445" ht="15.75" customHeight="1">
      <c r="A445" s="2">
        <v>1.0</v>
      </c>
      <c r="B445" s="2" t="s">
        <v>1327</v>
      </c>
      <c r="C445" s="2" t="s">
        <v>1328</v>
      </c>
      <c r="D445" s="2" t="s">
        <v>977</v>
      </c>
      <c r="E445" s="2" t="s">
        <v>233</v>
      </c>
      <c r="F445" s="2" t="s">
        <v>15</v>
      </c>
      <c r="G445" s="2" t="s">
        <v>1329</v>
      </c>
      <c r="H445" s="2" t="s">
        <v>637</v>
      </c>
      <c r="I445" s="2" t="str">
        <f>IFERROR(__xludf.DUMMYFUNCTION("GOOGLETRANSLATE(C445,""fr"",""en"")"),"I am completely disillusioned, on work stoppages, from 12/30/19 until April 6, 2020, no compensation collected to date, lies on the phone, abusive processing times, no professional conscience for a contribution for the Mutual of more than 150 € for an adu"&amp;"lt and two children, and 20 € for foresight. The contributions are deducted from my salary without delay, however. I strongly advise against, my community the CD94 has also broken its partnership with interior via Gras Savoye.")</f>
        <v>I am completely disillusioned, on work stoppages, from 12/30/19 until April 6, 2020, no compensation collected to date, lies on the phone, abusive processing times, no professional conscience for a contribution for the Mutual of more than 150 € for an adult and two children, and 20 € for foresight. The contributions are deducted from my salary without delay, however. I strongly advise against, my community the CD94 has also broken its partnership with interior via Gras Savoye.</v>
      </c>
    </row>
    <row r="446" ht="15.75" customHeight="1">
      <c r="A446" s="2">
        <v>3.0</v>
      </c>
      <c r="B446" s="2" t="s">
        <v>1330</v>
      </c>
      <c r="C446" s="2" t="s">
        <v>1331</v>
      </c>
      <c r="D446" s="2" t="s">
        <v>323</v>
      </c>
      <c r="E446" s="2" t="s">
        <v>45</v>
      </c>
      <c r="F446" s="2" t="s">
        <v>15</v>
      </c>
      <c r="G446" s="2" t="s">
        <v>1332</v>
      </c>
      <c r="H446" s="2" t="s">
        <v>159</v>
      </c>
      <c r="I446" s="2" t="str">
        <f>IFERROR(__xludf.DUMMYFUNCTION("GOOGLETRANSLATE(C446,""fr"",""en"")"),"Failing to be able to contact the MGEN directly, I fell back on its website.
I am not naive in computer science and I must say that it is a tool unsuitable for needs and therefore completely ineffective. One can only submit a question if your request com"&amp;"es into those proposed and provided by the designer of the site. It is not enough to offer a satisfactory tool for the mental structures of computer scientists or responding to the concern not to disturb the MGEN too much! This site has no doubt and obvio"&amp;"usly and unfortunately have been tested by a sufficient number of users. ! Everything happens as if we could not disturb the staff by questions to which he would not be used to it.
If for happiness a question comes within the framework of those planned, "&amp;"no acknowledgment of receipt is sent to the applicant, so that one cannot know if the sending of the successful message and it is impossible to have a history of these requests.
Finally I fell back to a telephone communication during the announced time c"&amp;"ore: Impossible to obtain a contact !!!!
But it is not the only setback with the MGEN: several times my travel reimbursement files for the follow -up of cancer have been lost !!
But who we laugh at.
The MGEN is a expensive mutual insurance company whos"&amp;"e contact services to the affiliates is completely insufficient and poses the problem of competence and probably that of the professional conscience of certain staff !!!!
I also met competent and dedicated people at the MGEN, but you understood, I am exa"&amp;"sperated by the casualness of some others. In general, the management of the MGEN is deplorable. When administrative officials move to put an end to these dysfunctions that, according to the many negative internet opinions, I am not the only one to share?"&amp;"
Gérard Maurice")</f>
        <v>Failing to be able to contact the MGEN directly, I fell back on its website.
I am not naive in computer science and I must say that it is a tool unsuitable for needs and therefore completely ineffective. One can only submit a question if your request comes into those proposed and provided by the designer of the site. It is not enough to offer a satisfactory tool for the mental structures of computer scientists or responding to the concern not to disturb the MGEN too much! This site has no doubt and obviously and unfortunately have been tested by a sufficient number of users. ! Everything happens as if we could not disturb the staff by questions to which he would not be used to it.
If for happiness a question comes within the framework of those planned, no acknowledgment of receipt is sent to the applicant, so that one cannot know if the sending of the successful message and it is impossible to have a history of these requests.
Finally I fell back to a telephone communication during the announced time core: Impossible to obtain a contact !!!!
But it is not the only setback with the MGEN: several times my travel reimbursement files for the follow -up of cancer have been lost !!
But who we laugh at.
The MGEN is a expensive mutual insurance company whose contact services to the affiliates is completely insufficient and poses the problem of competence and probably that of the professional conscience of certain staff !!!!
I also met competent and dedicated people at the MGEN, but you understood, I am exasperated by the casualness of some others. In general, the management of the MGEN is deplorable. When administrative officials move to put an end to these dysfunctions that, according to the many negative internet opinions, I am not the only one to share?
Gérard Maurice</v>
      </c>
    </row>
    <row r="447" ht="15.75" customHeight="1">
      <c r="A447" s="2">
        <v>5.0</v>
      </c>
      <c r="B447" s="2" t="s">
        <v>1333</v>
      </c>
      <c r="C447" s="2" t="s">
        <v>1334</v>
      </c>
      <c r="D447" s="2" t="s">
        <v>39</v>
      </c>
      <c r="E447" s="2" t="s">
        <v>14</v>
      </c>
      <c r="F447" s="2" t="s">
        <v>15</v>
      </c>
      <c r="G447" s="2" t="s">
        <v>1335</v>
      </c>
      <c r="H447" s="2" t="s">
        <v>77</v>
      </c>
      <c r="I447" s="2" t="str">
        <f>IFERROR(__xludf.DUMMYFUNCTION("GOOGLETRANSLATE(C447,""fr"",""en"")"),"The site is well done, clear when the conditions you can subscribe to.
The registration is simple and quick, the prices correct.
I have not yet started my contract so no opinion in the event of a claim")</f>
        <v>The site is well done, clear when the conditions you can subscribe to.
The registration is simple and quick, the prices correct.
I have not yet started my contract so no opinion in the event of a claim</v>
      </c>
    </row>
    <row r="448" ht="15.75" customHeight="1">
      <c r="A448" s="2">
        <v>4.0</v>
      </c>
      <c r="B448" s="2" t="s">
        <v>1336</v>
      </c>
      <c r="C448" s="2" t="s">
        <v>1337</v>
      </c>
      <c r="D448" s="2" t="s">
        <v>30</v>
      </c>
      <c r="E448" s="2" t="s">
        <v>31</v>
      </c>
      <c r="F448" s="2" t="s">
        <v>15</v>
      </c>
      <c r="G448" s="2" t="s">
        <v>1042</v>
      </c>
      <c r="H448" s="2" t="s">
        <v>77</v>
      </c>
      <c r="I448" s="2" t="str">
        <f>IFERROR(__xludf.DUMMYFUNCTION("GOOGLETRANSLATE(C448,""fr"",""en"")"),"Efficiency and speed in order to be able to ensure a vehicle on weekends! Access to the site without incident Thank you for your line services cordially.")</f>
        <v>Efficiency and speed in order to be able to ensure a vehicle on weekends! Access to the site without incident Thank you for your line services cordially.</v>
      </c>
    </row>
    <row r="449" ht="15.75" customHeight="1">
      <c r="A449" s="2">
        <v>3.0</v>
      </c>
      <c r="B449" s="2" t="s">
        <v>1338</v>
      </c>
      <c r="C449" s="2" t="s">
        <v>1339</v>
      </c>
      <c r="D449" s="2" t="s">
        <v>162</v>
      </c>
      <c r="E449" s="2" t="s">
        <v>45</v>
      </c>
      <c r="F449" s="2" t="s">
        <v>15</v>
      </c>
      <c r="G449" s="2" t="s">
        <v>889</v>
      </c>
      <c r="H449" s="2" t="s">
        <v>431</v>
      </c>
      <c r="I449" s="2" t="str">
        <f>IFERROR(__xludf.DUMMYFUNCTION("GOOGLETRANSLATE(C449,""fr"",""en"")"),"With Caroline I was finally able to have courteous and effective human contact")</f>
        <v>With Caroline I was finally able to have courteous and effective human contact</v>
      </c>
    </row>
    <row r="450" ht="15.75" customHeight="1">
      <c r="A450" s="2">
        <v>5.0</v>
      </c>
      <c r="B450" s="2" t="s">
        <v>1340</v>
      </c>
      <c r="C450" s="2" t="s">
        <v>1341</v>
      </c>
      <c r="D450" s="2" t="s">
        <v>39</v>
      </c>
      <c r="E450" s="2" t="s">
        <v>14</v>
      </c>
      <c r="F450" s="2" t="s">
        <v>15</v>
      </c>
      <c r="G450" s="2" t="s">
        <v>263</v>
      </c>
      <c r="H450" s="2" t="s">
        <v>113</v>
      </c>
      <c r="I450" s="2" t="str">
        <f>IFERROR(__xludf.DUMMYFUNCTION("GOOGLETRANSLATE(C450,""fr"",""en"")"),"I am very satisfied with the service has taken reason.
Very good advisor by phone I highly recommend direct insurance.
Excellent insurance")</f>
        <v>I am very satisfied with the service has taken reason.
Very good advisor by phone I highly recommend direct insurance.
Excellent insurance</v>
      </c>
    </row>
    <row r="451" ht="15.75" customHeight="1">
      <c r="A451" s="2">
        <v>4.0</v>
      </c>
      <c r="B451" s="2" t="s">
        <v>1342</v>
      </c>
      <c r="C451" s="2" t="s">
        <v>1343</v>
      </c>
      <c r="D451" s="2" t="s">
        <v>361</v>
      </c>
      <c r="E451" s="2" t="s">
        <v>14</v>
      </c>
      <c r="F451" s="2" t="s">
        <v>15</v>
      </c>
      <c r="G451" s="2" t="s">
        <v>197</v>
      </c>
      <c r="H451" s="2" t="s">
        <v>198</v>
      </c>
      <c r="I451" s="2" t="str">
        <f>IFERROR(__xludf.DUMMYFUNCTION("GOOGLETRANSLATE(C451,""fr"",""en"")"),"Very good insurance in terms of communication and claims settlement, however the rates remain high. It is so much for me, after a long loyalty, to renegotiate my contracts and to see other proposals.")</f>
        <v>Very good insurance in terms of communication and claims settlement, however the rates remain high. It is so much for me, after a long loyalty, to renegotiate my contracts and to see other proposals.</v>
      </c>
    </row>
    <row r="452" ht="15.75" customHeight="1">
      <c r="A452" s="2">
        <v>1.0</v>
      </c>
      <c r="B452" s="2" t="s">
        <v>1344</v>
      </c>
      <c r="C452" s="2" t="s">
        <v>1345</v>
      </c>
      <c r="D452" s="2" t="s">
        <v>39</v>
      </c>
      <c r="E452" s="2" t="s">
        <v>14</v>
      </c>
      <c r="F452" s="2" t="s">
        <v>15</v>
      </c>
      <c r="G452" s="2" t="s">
        <v>1346</v>
      </c>
      <c r="H452" s="2" t="s">
        <v>77</v>
      </c>
      <c r="I452" s="2" t="str">
        <f>IFERROR(__xludf.DUMMYFUNCTION("GOOGLETRANSLATE(C452,""fr"",""en"")"),"Very disappointed that the termination fees costs me more expensive than the contract itself thank you for making your law as you see fit it is apparent to steam for ensuring a vehicle 1 month I find it exaggerating I am very very disappointed this n is n"&amp;"ot the first time but the last")</f>
        <v>Very disappointed that the termination fees costs me more expensive than the contract itself thank you for making your law as you see fit it is apparent to steam for ensuring a vehicle 1 month I find it exaggerating I am very very disappointed this n is not the first time but the last</v>
      </c>
    </row>
    <row r="453" ht="15.75" customHeight="1">
      <c r="A453" s="2">
        <v>4.0</v>
      </c>
      <c r="B453" s="2" t="s">
        <v>1347</v>
      </c>
      <c r="C453" s="2" t="s">
        <v>1348</v>
      </c>
      <c r="D453" s="2" t="s">
        <v>39</v>
      </c>
      <c r="E453" s="2" t="s">
        <v>14</v>
      </c>
      <c r="F453" s="2" t="s">
        <v>15</v>
      </c>
      <c r="G453" s="2" t="s">
        <v>181</v>
      </c>
      <c r="H453" s="2" t="s">
        <v>109</v>
      </c>
      <c r="I453" s="2" t="str">
        <f>IFERROR(__xludf.DUMMYFUNCTION("GOOGLETRANSLATE(C453,""fr"",""en"")"),"The subscription is very simple, the counselors compuders and available. The transmission of documents fairly easy: not possible for me to transmit them via the application or the site but the essential that was possible by email. Good price.")</f>
        <v>The subscription is very simple, the counselors compuders and available. The transmission of documents fairly easy: not possible for me to transmit them via the application or the site but the essential that was possible by email. Good price.</v>
      </c>
    </row>
    <row r="454" ht="15.75" customHeight="1">
      <c r="A454" s="2">
        <v>5.0</v>
      </c>
      <c r="B454" s="2" t="s">
        <v>1349</v>
      </c>
      <c r="C454" s="2" t="s">
        <v>1350</v>
      </c>
      <c r="D454" s="2" t="s">
        <v>25</v>
      </c>
      <c r="E454" s="2" t="s">
        <v>14</v>
      </c>
      <c r="F454" s="2" t="s">
        <v>15</v>
      </c>
      <c r="G454" s="2" t="s">
        <v>1264</v>
      </c>
      <c r="H454" s="2" t="s">
        <v>27</v>
      </c>
      <c r="I454" s="2" t="str">
        <f>IFERROR(__xludf.DUMMYFUNCTION("GOOGLETRANSLATE(C454,""fr"",""en"")"),"Very satisfied with my insurance at the Insurance Olivier. Simple and very practical to subscribe online for a novice like me. The administrative approach was rather simple.")</f>
        <v>Very satisfied with my insurance at the Insurance Olivier. Simple and very practical to subscribe online for a novice like me. The administrative approach was rather simple.</v>
      </c>
    </row>
    <row r="455" ht="15.75" customHeight="1">
      <c r="A455" s="2">
        <v>5.0</v>
      </c>
      <c r="B455" s="2" t="s">
        <v>1351</v>
      </c>
      <c r="C455" s="2" t="s">
        <v>1352</v>
      </c>
      <c r="D455" s="2" t="s">
        <v>39</v>
      </c>
      <c r="E455" s="2" t="s">
        <v>14</v>
      </c>
      <c r="F455" s="2" t="s">
        <v>15</v>
      </c>
      <c r="G455" s="2" t="s">
        <v>17</v>
      </c>
      <c r="H455" s="2" t="s">
        <v>17</v>
      </c>
      <c r="I455" s="2" t="str">
        <f>IFERROR(__xludf.DUMMYFUNCTION("GOOGLETRANSLATE(C455,""fr"",""en"")"),"I am really satisfied with the prices and the website and the explanations that direct insurance provide in addition their formula are really accessible at all prices")</f>
        <v>I am really satisfied with the prices and the website and the explanations that direct insurance provide in addition their formula are really accessible at all prices</v>
      </c>
    </row>
    <row r="456" ht="15.75" customHeight="1">
      <c r="A456" s="2">
        <v>5.0</v>
      </c>
      <c r="B456" s="2" t="s">
        <v>1353</v>
      </c>
      <c r="C456" s="2" t="s">
        <v>1354</v>
      </c>
      <c r="D456" s="2" t="s">
        <v>30</v>
      </c>
      <c r="E456" s="2" t="s">
        <v>31</v>
      </c>
      <c r="F456" s="2" t="s">
        <v>15</v>
      </c>
      <c r="G456" s="2" t="s">
        <v>16</v>
      </c>
      <c r="H456" s="2" t="s">
        <v>17</v>
      </c>
      <c r="I456" s="2" t="str">
        <f>IFERROR(__xludf.DUMMYFUNCTION("GOOGLETRANSLATE(C456,""fr"",""en"")"),"Great. Recommendation from my seller, and after using a comparator, it turns out to be the best offer. So thank you Pipou Tralala")</f>
        <v>Great. Recommendation from my seller, and after using a comparator, it turns out to be the best offer. So thank you Pipou Tralala</v>
      </c>
    </row>
    <row r="457" ht="15.75" customHeight="1">
      <c r="A457" s="2">
        <v>4.0</v>
      </c>
      <c r="B457" s="2" t="s">
        <v>1355</v>
      </c>
      <c r="C457" s="2" t="s">
        <v>1356</v>
      </c>
      <c r="D457" s="2" t="s">
        <v>30</v>
      </c>
      <c r="E457" s="2" t="s">
        <v>31</v>
      </c>
      <c r="F457" s="2" t="s">
        <v>15</v>
      </c>
      <c r="G457" s="2" t="s">
        <v>32</v>
      </c>
      <c r="H457" s="2" t="s">
        <v>27</v>
      </c>
      <c r="I457" s="2" t="str">
        <f>IFERROR(__xludf.DUMMYFUNCTION("GOOGLETRANSLATE(C457,""fr"",""en"")"),"I am satisfied with the simplicity and speed of the site, the price is unbeatable. There is a big difference with my usual insurer")</f>
        <v>I am satisfied with the simplicity and speed of the site, the price is unbeatable. There is a big difference with my usual insurer</v>
      </c>
    </row>
    <row r="458" ht="15.75" customHeight="1">
      <c r="A458" s="2">
        <v>2.0</v>
      </c>
      <c r="B458" s="2" t="s">
        <v>1357</v>
      </c>
      <c r="C458" s="2" t="s">
        <v>1358</v>
      </c>
      <c r="D458" s="2" t="s">
        <v>55</v>
      </c>
      <c r="E458" s="2" t="s">
        <v>14</v>
      </c>
      <c r="F458" s="2" t="s">
        <v>15</v>
      </c>
      <c r="G458" s="2" t="s">
        <v>46</v>
      </c>
      <c r="H458" s="2" t="s">
        <v>41</v>
      </c>
      <c r="I458" s="2" t="str">
        <f>IFERROR(__xludf.DUMMYFUNCTION("GOOGLETRANSLATE(C458,""fr"",""en"")"),"With this insurance I wish you never having an attachment your vehicle will never be repaired; on a shock our vehicle will never be repaired")</f>
        <v>With this insurance I wish you never having an attachment your vehicle will never be repaired; on a shock our vehicle will never be repaired</v>
      </c>
    </row>
    <row r="459" ht="15.75" customHeight="1">
      <c r="A459" s="2">
        <v>5.0</v>
      </c>
      <c r="B459" s="2" t="s">
        <v>1359</v>
      </c>
      <c r="C459" s="2" t="s">
        <v>1360</v>
      </c>
      <c r="D459" s="2" t="s">
        <v>39</v>
      </c>
      <c r="E459" s="2" t="s">
        <v>14</v>
      </c>
      <c r="F459" s="2" t="s">
        <v>15</v>
      </c>
      <c r="G459" s="2" t="s">
        <v>837</v>
      </c>
      <c r="H459" s="2" t="s">
        <v>84</v>
      </c>
      <c r="I459" s="2" t="str">
        <f>IFERROR(__xludf.DUMMYFUNCTION("GOOGLETRANSLATE(C459,""fr"",""en"")"),"I am very satisfied with the service, the site is fast, efficient and fluid, the prices offered are much cheaper and better than in competitors.")</f>
        <v>I am very satisfied with the service, the site is fast, efficient and fluid, the prices offered are much cheaper and better than in competitors.</v>
      </c>
    </row>
    <row r="460" ht="15.75" customHeight="1">
      <c r="A460" s="2">
        <v>1.0</v>
      </c>
      <c r="B460" s="2" t="s">
        <v>1361</v>
      </c>
      <c r="C460" s="2" t="s">
        <v>1362</v>
      </c>
      <c r="D460" s="2" t="s">
        <v>87</v>
      </c>
      <c r="E460" s="2" t="s">
        <v>14</v>
      </c>
      <c r="F460" s="2" t="s">
        <v>15</v>
      </c>
      <c r="G460" s="2" t="s">
        <v>1363</v>
      </c>
      <c r="H460" s="2" t="s">
        <v>414</v>
      </c>
      <c r="I460" s="2" t="str">
        <f>IFERROR(__xludf.DUMMYFUNCTION("GOOGLETRANSLATE(C460,""fr"",""en"")"),"To avoid ! Service CLITTAU Bled, we half understand what they tell us ... High price for more than basic guarantees ... This is my first insurer, I should have gone elsewhere ... I asked to terminate By following the procedure (Hamon law, it was my assueu"&amp;"r property who was responsible for terminating, by sending a registered mail, to April 28, so that my new insurance takes effect on May 31, the legal period of minimum 30 days. .. To date no response despite an acknowledgment of receipt on May 5 of the re"&amp;"gistered mail. And always withdrawn. I will turn against this insurance.")</f>
        <v>To avoid ! Service CLITTAU Bled, we half understand what they tell us ... High price for more than basic guarantees ... This is my first insurer, I should have gone elsewhere ... I asked to terminate By following the procedure (Hamon law, it was my assueur property who was responsible for terminating, by sending a registered mail, to April 28, so that my new insurance takes effect on May 31, the legal period of minimum 30 days. .. To date no response despite an acknowledgment of receipt on May 5 of the registered mail. And always withdrawn. I will turn against this insurance.</v>
      </c>
    </row>
    <row r="461" ht="15.75" customHeight="1">
      <c r="A461" s="2">
        <v>5.0</v>
      </c>
      <c r="B461" s="2" t="s">
        <v>1364</v>
      </c>
      <c r="C461" s="2" t="s">
        <v>1365</v>
      </c>
      <c r="D461" s="2" t="s">
        <v>241</v>
      </c>
      <c r="E461" s="2" t="s">
        <v>233</v>
      </c>
      <c r="F461" s="2" t="s">
        <v>15</v>
      </c>
      <c r="G461" s="2" t="s">
        <v>1136</v>
      </c>
      <c r="H461" s="2" t="s">
        <v>109</v>
      </c>
      <c r="I461" s="2" t="str">
        <f>IFERROR(__xludf.DUMMYFUNCTION("GOOGLETRANSLATE(C461,""fr"",""en"")"),"I am very satisfied with the police mutual of the police and I am ready to recommend it to all people in particular with regard to reimbursements")</f>
        <v>I am very satisfied with the police mutual of the police and I am ready to recommend it to all people in particular with regard to reimbursements</v>
      </c>
    </row>
    <row r="462" ht="15.75" customHeight="1">
      <c r="A462" s="2">
        <v>3.0</v>
      </c>
      <c r="B462" s="2" t="s">
        <v>1366</v>
      </c>
      <c r="C462" s="2" t="s">
        <v>1367</v>
      </c>
      <c r="D462" s="2" t="s">
        <v>162</v>
      </c>
      <c r="E462" s="2" t="s">
        <v>45</v>
      </c>
      <c r="F462" s="2" t="s">
        <v>15</v>
      </c>
      <c r="G462" s="2" t="s">
        <v>1368</v>
      </c>
      <c r="H462" s="2" t="s">
        <v>164</v>
      </c>
      <c r="I462" s="2" t="str">
        <f>IFERROR(__xludf.DUMMYFUNCTION("GOOGLETRANSLATE(C462,""fr"",""en"")"),"Thanks to Ikram for his very clear explanations during our telephone conversation last Thursday (July 18). I had several questions and I had the desired answers thanks to her.")</f>
        <v>Thanks to Ikram for his very clear explanations during our telephone conversation last Thursday (July 18). I had several questions and I had the desired answers thanks to her.</v>
      </c>
    </row>
    <row r="463" ht="15.75" customHeight="1">
      <c r="A463" s="2">
        <v>5.0</v>
      </c>
      <c r="B463" s="2" t="s">
        <v>1369</v>
      </c>
      <c r="C463" s="2" t="s">
        <v>1370</v>
      </c>
      <c r="D463" s="2" t="s">
        <v>25</v>
      </c>
      <c r="E463" s="2" t="s">
        <v>14</v>
      </c>
      <c r="F463" s="2" t="s">
        <v>15</v>
      </c>
      <c r="G463" s="2" t="s">
        <v>1293</v>
      </c>
      <c r="H463" s="2" t="s">
        <v>84</v>
      </c>
      <c r="I463" s="2" t="str">
        <f>IFERROR(__xludf.DUMMYFUNCTION("GOOGLETRANSLATE(C463,""fr"",""en"")"),"I am satisfied with my interview with the advisor for the conclusion of this contract. Simple and practical. Interesting prices, interesting choice. Appreciated speed.")</f>
        <v>I am satisfied with my interview with the advisor for the conclusion of this contract. Simple and practical. Interesting prices, interesting choice. Appreciated speed.</v>
      </c>
    </row>
    <row r="464" ht="15.75" customHeight="1">
      <c r="A464" s="2">
        <v>4.0</v>
      </c>
      <c r="B464" s="2" t="s">
        <v>1371</v>
      </c>
      <c r="C464" s="2" t="s">
        <v>1372</v>
      </c>
      <c r="D464" s="2" t="s">
        <v>30</v>
      </c>
      <c r="E464" s="2" t="s">
        <v>31</v>
      </c>
      <c r="F464" s="2" t="s">
        <v>15</v>
      </c>
      <c r="G464" s="2" t="s">
        <v>1373</v>
      </c>
      <c r="H464" s="2" t="s">
        <v>101</v>
      </c>
      <c r="I464" s="2" t="str">
        <f>IFERROR(__xludf.DUMMYFUNCTION("GOOGLETRANSLATE(C464,""fr"",""en"")"),"Hello,
As everything went well for the Honda Transalp as for my first two 125, I renew my confidence, to follow
Best regards
Roselyne Laurent")</f>
        <v>Hello,
As everything went well for the Honda Transalp as for my first two 125, I renew my confidence, to follow
Best regards
Roselyne Laurent</v>
      </c>
    </row>
    <row r="465" ht="15.75" customHeight="1">
      <c r="A465" s="2">
        <v>3.0</v>
      </c>
      <c r="B465" s="2" t="s">
        <v>1374</v>
      </c>
      <c r="C465" s="2" t="s">
        <v>1375</v>
      </c>
      <c r="D465" s="2" t="s">
        <v>259</v>
      </c>
      <c r="E465" s="2" t="s">
        <v>50</v>
      </c>
      <c r="F465" s="2" t="s">
        <v>15</v>
      </c>
      <c r="G465" s="2" t="s">
        <v>1376</v>
      </c>
      <c r="H465" s="2" t="s">
        <v>543</v>
      </c>
      <c r="I465" s="2" t="str">
        <f>IFERROR(__xludf.DUMMYFUNCTION("GOOGLETRANSLATE(C465,""fr"",""en"")")," I decided to terminate my contract, because increased, I have been a widow and a retirement since October! I phone, the person recognizes that it is expensive, for me alone and in addition I am on an old contract, he tells me to refer to the Hammon law, "&amp;"to terminate. Refusal of termination, the Hammon law, does not fall into their insurance codes. 2nd phone call, return the same letter without alluding to the Hammon law, which I did! To date no return, I have not even received, the return of the acknowle"&amp;"dgment of receipt, even if La Poste confirms the distribution of my letter! So I am 11 euros for acknowledgment of receipt, and always at the same point! I did not expect this kind of practice of the part of the Macif! I don't know how to do it!")</f>
        <v> I decided to terminate my contract, because increased, I have been a widow and a retirement since October! I phone, the person recognizes that it is expensive, for me alone and in addition I am on an old contract, he tells me to refer to the Hammon law, to terminate. Refusal of termination, the Hammon law, does not fall into their insurance codes. 2nd phone call, return the same letter without alluding to the Hammon law, which I did! To date no return, I have not even received, the return of the acknowledgment of receipt, even if La Poste confirms the distribution of my letter! So I am 11 euros for acknowledgment of receipt, and always at the same point! I did not expect this kind of practice of the part of the Macif! I don't know how to do it!</v>
      </c>
    </row>
    <row r="466" ht="15.75" customHeight="1">
      <c r="A466" s="2">
        <v>5.0</v>
      </c>
      <c r="B466" s="2" t="s">
        <v>1377</v>
      </c>
      <c r="C466" s="2" t="s">
        <v>1378</v>
      </c>
      <c r="D466" s="2" t="s">
        <v>67</v>
      </c>
      <c r="E466" s="2" t="s">
        <v>14</v>
      </c>
      <c r="F466" s="2" t="s">
        <v>15</v>
      </c>
      <c r="G466" s="2" t="s">
        <v>707</v>
      </c>
      <c r="H466" s="2" t="s">
        <v>17</v>
      </c>
      <c r="I466" s="2" t="str">
        <f>IFERROR(__xludf.DUMMYFUNCTION("GOOGLETRANSLATE(C466,""fr"",""en"")"),"I am satisfied with the prices and services offered by the GMF.
Advisers are always available.
The responses to requests are fast.
An effective team.")</f>
        <v>I am satisfied with the prices and services offered by the GMF.
Advisers are always available.
The responses to requests are fast.
An effective team.</v>
      </c>
    </row>
    <row r="467" ht="15.75" customHeight="1">
      <c r="A467" s="2">
        <v>1.0</v>
      </c>
      <c r="B467" s="2" t="s">
        <v>1379</v>
      </c>
      <c r="C467" s="2" t="s">
        <v>1380</v>
      </c>
      <c r="D467" s="2" t="s">
        <v>137</v>
      </c>
      <c r="E467" s="2" t="s">
        <v>429</v>
      </c>
      <c r="F467" s="2" t="s">
        <v>15</v>
      </c>
      <c r="G467" s="2" t="s">
        <v>1381</v>
      </c>
      <c r="H467" s="2" t="s">
        <v>388</v>
      </c>
      <c r="I467" s="2" t="str">
        <f>IFERROR(__xludf.DUMMYFUNCTION("GOOGLETRANSLATE(C467,""fr"",""en"")"),"If you have time to waste money to put in medical examinations n hesitate more April is the company you need between managers who go out of periphrase to tell you that the doctor advice cannot decide and that he wants again and more and more exams it will"&amp;" have sold 3 weeks and it will take new exams of course dear readers and my case is that of someone in good health of 66 years. For others I let you imagine")</f>
        <v>If you have time to waste money to put in medical examinations n hesitate more April is the company you need between managers who go out of periphrase to tell you that the doctor advice cannot decide and that he wants again and more and more exams it will have sold 3 weeks and it will take new exams of course dear readers and my case is that of someone in good health of 66 years. For others I let you imagine</v>
      </c>
    </row>
    <row r="468" ht="15.75" customHeight="1">
      <c r="A468" s="2">
        <v>3.0</v>
      </c>
      <c r="B468" s="2" t="s">
        <v>1382</v>
      </c>
      <c r="C468" s="2" t="s">
        <v>1383</v>
      </c>
      <c r="D468" s="2" t="s">
        <v>25</v>
      </c>
      <c r="E468" s="2" t="s">
        <v>14</v>
      </c>
      <c r="F468" s="2" t="s">
        <v>15</v>
      </c>
      <c r="G468" s="2" t="s">
        <v>1293</v>
      </c>
      <c r="H468" s="2" t="s">
        <v>84</v>
      </c>
      <c r="I468" s="2" t="str">
        <f>IFERROR(__xludf.DUMMYFUNCTION("GOOGLETRANSLATE(C468,""fr"",""en"")"),"The price I suit by contribution to competition and I am satisfied with the service of the speed of the execution of documents not always easy to open")</f>
        <v>The price I suit by contribution to competition and I am satisfied with the service of the speed of the execution of documents not always easy to open</v>
      </c>
    </row>
    <row r="469" ht="15.75" customHeight="1">
      <c r="A469" s="2">
        <v>3.0</v>
      </c>
      <c r="B469" s="2" t="s">
        <v>1384</v>
      </c>
      <c r="C469" s="2" t="s">
        <v>1385</v>
      </c>
      <c r="D469" s="2" t="s">
        <v>20</v>
      </c>
      <c r="E469" s="2" t="s">
        <v>31</v>
      </c>
      <c r="F469" s="2" t="s">
        <v>15</v>
      </c>
      <c r="G469" s="2" t="s">
        <v>1386</v>
      </c>
      <c r="H469" s="2" t="s">
        <v>131</v>
      </c>
      <c r="I469" s="2" t="str">
        <f>IFERROR(__xludf.DUMMYFUNCTION("GOOGLETRANSLATE(C469,""fr"",""en"")"),"The services are impeccable
However, it goes a strong tendency to increase the prices from one year to the next despite the absence of a claim
More than 10%
I negotiate my auto motorcycle housing rates every year
And am tired of these clumsy attempts "&amp;"to make me pay for Maaf advertisements.")</f>
        <v>The services are impeccable
However, it goes a strong tendency to increase the prices from one year to the next despite the absence of a claim
More than 10%
I negotiate my auto motorcycle housing rates every year
And am tired of these clumsy attempts to make me pay for Maaf advertisements.</v>
      </c>
    </row>
    <row r="470" ht="15.75" customHeight="1">
      <c r="A470" s="2">
        <v>2.0</v>
      </c>
      <c r="B470" s="2" t="s">
        <v>1387</v>
      </c>
      <c r="C470" s="2" t="s">
        <v>1388</v>
      </c>
      <c r="D470" s="2" t="s">
        <v>39</v>
      </c>
      <c r="E470" s="2" t="s">
        <v>14</v>
      </c>
      <c r="F470" s="2" t="s">
        <v>15</v>
      </c>
      <c r="G470" s="2" t="s">
        <v>108</v>
      </c>
      <c r="H470" s="2" t="s">
        <v>109</v>
      </c>
      <c r="I470" s="2" t="str">
        <f>IFERROR(__xludf.DUMMYFUNCTION("GOOGLETRANSLATE(C470,""fr"",""en"")"),"I am not satisfied, I have already taken my subscription when my file is not validated, because the gray card is in the name of my PACS friends, and misses the period from 15-02-2019 to 27-03 -2019 on my information statement, period of Tranfere which was"&amp;" not taken up by the former insurer")</f>
        <v>I am not satisfied, I have already taken my subscription when my file is not validated, because the gray card is in the name of my PACS friends, and misses the period from 15-02-2019 to 27-03 -2019 on my information statement, period of Tranfere which was not taken up by the former insurer</v>
      </c>
    </row>
    <row r="471" ht="15.75" customHeight="1">
      <c r="A471" s="2">
        <v>2.0</v>
      </c>
      <c r="B471" s="2" t="s">
        <v>1389</v>
      </c>
      <c r="C471" s="2" t="s">
        <v>1390</v>
      </c>
      <c r="D471" s="2" t="s">
        <v>67</v>
      </c>
      <c r="E471" s="2" t="s">
        <v>14</v>
      </c>
      <c r="F471" s="2" t="s">
        <v>15</v>
      </c>
      <c r="G471" s="2" t="s">
        <v>1391</v>
      </c>
      <c r="H471" s="2" t="s">
        <v>476</v>
      </c>
      <c r="I471" s="2" t="str">
        <f>IFERROR(__xludf.DUMMYFUNCTION("GOOGLETRANSLATE(C471,""fr"",""en"")"),"Voila, I had a non -marked accident with a motorist who fled after being aware of the damage caused to my car (according to my GMF insurer, there is no escape since the person c 'stopped...!!). I had time to recover the license plate as well as the vehicl"&amp;"e brand. Unfortunately I did not think of scoring witnesses on the observation (in precipitation and anger). In the end I will find myself paying the franchise because the GMF does not want to do anything more than waiting for the person with whom I had t"&amp;"he accident this denounces ... !! It is true that a dishonest person often has remorse ... so here I am with an accidental car, which will certainly be repaired, but I should pay the deductible obviously ... For once, it is not So much the sum to pay that"&amp;" bothers me, but rather the way in which the GMF to process this file. I find it quite normal by paying insurance, we benefit from a support, which was not the case here. Grosomodo, I was explained to me that even being injured I could not have done much "&amp;"if I had not had witnesses. So here, if one day you have this kind of problem, you will know how GMF will deal with your case: complicated, we don't do it!")</f>
        <v>Voila, I had a non -marked accident with a motorist who fled after being aware of the damage caused to my car (according to my GMF insurer, there is no escape since the person c 'stopped...!!). I had time to recover the license plate as well as the vehicle brand. Unfortunately I did not think of scoring witnesses on the observation (in precipitation and anger). In the end I will find myself paying the franchise because the GMF does not want to do anything more than waiting for the person with whom I had the accident this denounces ... !! It is true that a dishonest person often has remorse ... so here I am with an accidental car, which will certainly be repaired, but I should pay the deductible obviously ... For once, it is not So much the sum to pay that bothers me, but rather the way in which the GMF to process this file. I find it quite normal by paying insurance, we benefit from a support, which was not the case here. Grosomodo, I was explained to me that even being injured I could not have done much if I had not had witnesses. So here, if one day you have this kind of problem, you will know how GMF will deal with your case: complicated, we don't do it!</v>
      </c>
    </row>
    <row r="472" ht="15.75" customHeight="1">
      <c r="A472" s="2">
        <v>2.0</v>
      </c>
      <c r="B472" s="2" t="s">
        <v>1392</v>
      </c>
      <c r="C472" s="2" t="s">
        <v>1393</v>
      </c>
      <c r="D472" s="2" t="s">
        <v>39</v>
      </c>
      <c r="E472" s="2" t="s">
        <v>14</v>
      </c>
      <c r="F472" s="2" t="s">
        <v>15</v>
      </c>
      <c r="G472" s="2" t="s">
        <v>1394</v>
      </c>
      <c r="H472" s="2" t="s">
        <v>101</v>
      </c>
      <c r="I472" s="2" t="str">
        <f>IFERROR(__xludf.DUMMYFUNCTION("GOOGLETRANSLATE(C472,""fr"",""en"")"),"insurance with a satisfactory level for the price.
However, Direct Insurance is reactive but not very conciliatory and commercial during an accident or damage")</f>
        <v>insurance with a satisfactory level for the price.
However, Direct Insurance is reactive but not very conciliatory and commercial during an accident or damage</v>
      </c>
    </row>
    <row r="473" ht="15.75" customHeight="1">
      <c r="A473" s="2">
        <v>2.0</v>
      </c>
      <c r="B473" s="2" t="s">
        <v>1395</v>
      </c>
      <c r="C473" s="2" t="s">
        <v>1396</v>
      </c>
      <c r="D473" s="2" t="s">
        <v>162</v>
      </c>
      <c r="E473" s="2" t="s">
        <v>45</v>
      </c>
      <c r="F473" s="2" t="s">
        <v>15</v>
      </c>
      <c r="G473" s="2" t="s">
        <v>109</v>
      </c>
      <c r="H473" s="2" t="s">
        <v>109</v>
      </c>
      <c r="I473" s="2" t="str">
        <f>IFERROR(__xludf.DUMMYFUNCTION("GOOGLETRANSLATE(C473,""fr"",""en"")"),"Mutual very disappointing, we are in March and consultations to do since, at the beginning of January and the other in early February ... I complained to their service to have the reimbursements, but this day always. At the end of the year I would look fo"&amp;"r a more serious new mutual ...")</f>
        <v>Mutual very disappointing, we are in March and consultations to do since, at the beginning of January and the other in early February ... I complained to their service to have the reimbursements, but this day always. At the end of the year I would look for a more serious new mutual ...</v>
      </c>
    </row>
    <row r="474" ht="15.75" customHeight="1">
      <c r="A474" s="2">
        <v>2.0</v>
      </c>
      <c r="B474" s="2" t="s">
        <v>1397</v>
      </c>
      <c r="C474" s="2" t="s">
        <v>1398</v>
      </c>
      <c r="D474" s="2" t="s">
        <v>67</v>
      </c>
      <c r="E474" s="2" t="s">
        <v>50</v>
      </c>
      <c r="F474" s="2" t="s">
        <v>15</v>
      </c>
      <c r="G474" s="2" t="s">
        <v>1399</v>
      </c>
      <c r="H474" s="2" t="s">
        <v>69</v>
      </c>
      <c r="I474" s="2" t="str">
        <f>IFERROR(__xludf.DUMMYFUNCTION("GOOGLETRANSLATE(C474,""fr"",""en"")"),"A disaster This insurance. To flee urgently!")</f>
        <v>A disaster This insurance. To flee urgently!</v>
      </c>
    </row>
    <row r="475" ht="15.75" customHeight="1">
      <c r="A475" s="2">
        <v>3.0</v>
      </c>
      <c r="B475" s="2" t="s">
        <v>1400</v>
      </c>
      <c r="C475" s="2" t="s">
        <v>1401</v>
      </c>
      <c r="D475" s="2" t="s">
        <v>162</v>
      </c>
      <c r="E475" s="2" t="s">
        <v>45</v>
      </c>
      <c r="F475" s="2" t="s">
        <v>15</v>
      </c>
      <c r="G475" s="2" t="s">
        <v>1402</v>
      </c>
      <c r="H475" s="2" t="s">
        <v>594</v>
      </c>
      <c r="I475" s="2" t="str">
        <f>IFERROR(__xludf.DUMMYFUNCTION("GOOGLETRANSLATE(C475,""fr"",""en"")"),"Gwendal has very kind and managed to solve my problem. His responses were clear. Set of good insurer. SetiSfit of these service despite a long wait.")</f>
        <v>Gwendal has very kind and managed to solve my problem. His responses were clear. Set of good insurer. SetiSfit of these service despite a long wait.</v>
      </c>
    </row>
    <row r="476" ht="15.75" customHeight="1">
      <c r="A476" s="2">
        <v>1.0</v>
      </c>
      <c r="B476" s="2" t="s">
        <v>1403</v>
      </c>
      <c r="C476" s="2" t="s">
        <v>1404</v>
      </c>
      <c r="D476" s="2" t="s">
        <v>293</v>
      </c>
      <c r="E476" s="2" t="s">
        <v>45</v>
      </c>
      <c r="F476" s="2" t="s">
        <v>15</v>
      </c>
      <c r="G476" s="2" t="s">
        <v>1405</v>
      </c>
      <c r="H476" s="2" t="s">
        <v>52</v>
      </c>
      <c r="I476" s="2" t="str">
        <f>IFERROR(__xludf.DUMMYFUNCTION("GOOGLETRANSLATE(C476,""fr"",""en"")"),"Inadmissible! Very expensive, a sample that increases! And in addition impossible to terminate even a business mutual! 6 months that I try, and they refuse! Completely unacceptable!")</f>
        <v>Inadmissible! Very expensive, a sample that increases! And in addition impossible to terminate even a business mutual! 6 months that I try, and they refuse! Completely unacceptable!</v>
      </c>
    </row>
    <row r="477" ht="15.75" customHeight="1">
      <c r="A477" s="2">
        <v>4.0</v>
      </c>
      <c r="B477" s="2" t="s">
        <v>1406</v>
      </c>
      <c r="C477" s="2" t="s">
        <v>1407</v>
      </c>
      <c r="D477" s="2" t="s">
        <v>25</v>
      </c>
      <c r="E477" s="2" t="s">
        <v>14</v>
      </c>
      <c r="F477" s="2" t="s">
        <v>15</v>
      </c>
      <c r="G477" s="2" t="s">
        <v>1408</v>
      </c>
      <c r="H477" s="2" t="s">
        <v>198</v>
      </c>
      <c r="I477" s="2" t="str">
        <f>IFERROR(__xludf.DUMMYFUNCTION("GOOGLETRANSLATE(C477,""fr"",""en"")"),"I give a very favorable opinion for the olive assurances for their availability and a welcome at the top and especially for their unbeatable prices and I would recumend it to all my loved ones")</f>
        <v>I give a very favorable opinion for the olive assurances for their availability and a welcome at the top and especially for their unbeatable prices and I would recumend it to all my loved ones</v>
      </c>
    </row>
    <row r="478" ht="15.75" customHeight="1">
      <c r="A478" s="2">
        <v>3.0</v>
      </c>
      <c r="B478" s="2" t="s">
        <v>1409</v>
      </c>
      <c r="C478" s="2" t="s">
        <v>1410</v>
      </c>
      <c r="D478" s="2" t="s">
        <v>67</v>
      </c>
      <c r="E478" s="2" t="s">
        <v>14</v>
      </c>
      <c r="F478" s="2" t="s">
        <v>15</v>
      </c>
      <c r="G478" s="2" t="s">
        <v>728</v>
      </c>
      <c r="H478" s="2" t="s">
        <v>27</v>
      </c>
      <c r="I478" s="2" t="str">
        <f>IFERROR(__xludf.DUMMYFUNCTION("GOOGLETRANSLATE(C478,""fr"",""en"")"),"Good responsiveness as to requests for modifications (addition of conductors)
The advisers are kind and effective.
The prices remain high and the modularity remains limited!")</f>
        <v>Good responsiveness as to requests for modifications (addition of conductors)
The advisers are kind and effective.
The prices remain high and the modularity remains limited!</v>
      </c>
    </row>
    <row r="479" ht="15.75" customHeight="1">
      <c r="A479" s="2">
        <v>4.0</v>
      </c>
      <c r="B479" s="2" t="s">
        <v>1411</v>
      </c>
      <c r="C479" s="2" t="s">
        <v>1412</v>
      </c>
      <c r="D479" s="2" t="s">
        <v>25</v>
      </c>
      <c r="E479" s="2" t="s">
        <v>14</v>
      </c>
      <c r="F479" s="2" t="s">
        <v>15</v>
      </c>
      <c r="G479" s="2" t="s">
        <v>1231</v>
      </c>
      <c r="H479" s="2" t="s">
        <v>113</v>
      </c>
      <c r="I479" s="2" t="str">
        <f>IFERROR(__xludf.DUMMYFUNCTION("GOOGLETRANSLATE(C479,""fr"",""en"")"),"I'm satisfied,
The prices are correct and reasonable.
Simple and easy, very practical to do.
A quote sent quickly.
thank you
Cordially")</f>
        <v>I'm satisfied,
The prices are correct and reasonable.
Simple and easy, very practical to do.
A quote sent quickly.
thank you
Cordially</v>
      </c>
    </row>
    <row r="480" ht="15.75" customHeight="1">
      <c r="A480" s="2">
        <v>1.0</v>
      </c>
      <c r="B480" s="2" t="s">
        <v>1413</v>
      </c>
      <c r="C480" s="2" t="s">
        <v>1414</v>
      </c>
      <c r="D480" s="2" t="s">
        <v>259</v>
      </c>
      <c r="E480" s="2" t="s">
        <v>14</v>
      </c>
      <c r="F480" s="2" t="s">
        <v>15</v>
      </c>
      <c r="G480" s="2" t="s">
        <v>1415</v>
      </c>
      <c r="H480" s="2" t="s">
        <v>253</v>
      </c>
      <c r="I480" s="2" t="str">
        <f>IFERROR(__xludf.DUMMYFUNCTION("GOOGLETRANSLATE(C480,""fr"",""en"")"),"Following an termination I note that the insurance indicated in my opinion of situation a damage without care; I contact the sinister service which informs me that on April 9, 2017 I made a declaration of a claim; What is true not being able to reach them"&amp;" I made an online declaration; But on the 10th as she attests I canceled this declaration to take the repair at my charge since it concerned a rear view mirror and that the deductible was greater than the repair. Faced with my astonishment that this damag"&amp;"e appears when nothing has been done by insurance; I ask for a rectification of my notice of situation, which is normal, it repeats me tirelessly yes but you made a statement yes but it was canceled, which it recognizes yes but we have mandated an expert;"&amp;" No expert contacted me and no mail or email was sent to me; In front of his optus side I ask him annoyed when the expert was mandated? She answers me on April 11 I noticed that if on the 10 she validates the fact that I canceled the care, why on the 11 w"&amp;"e mandate an expert ... and there I am hanging on the nose!
 I am responsible for a customer service and I will never accept such behavior of my employees!
In addition I discover after the termination of my contract that only auto insurance is terminate"&amp;"d but on the other hand I continue to pay an accident guarantee, which for me is linked to the car contract, because there is no separate schedule and Nothing specifies that these are two different contracts")</f>
        <v>Following an termination I note that the insurance indicated in my opinion of situation a damage without care; I contact the sinister service which informs me that on April 9, 2017 I made a declaration of a claim; What is true not being able to reach them I made an online declaration; But on the 10th as she attests I canceled this declaration to take the repair at my charge since it concerned a rear view mirror and that the deductible was greater than the repair. Faced with my astonishment that this damage appears when nothing has been done by insurance; I ask for a rectification of my notice of situation, which is normal, it repeats me tirelessly yes but you made a statement yes but it was canceled, which it recognizes yes but we have mandated an expert; No expert contacted me and no mail or email was sent to me; In front of his optus side I ask him annoyed when the expert was mandated? She answers me on April 11 I noticed that if on the 10 she validates the fact that I canceled the care, why on the 11 we mandate an expert ... and there I am hanging on the nose!
 I am responsible for a customer service and I will never accept such behavior of my employees!
In addition I discover after the termination of my contract that only auto insurance is terminated but on the other hand I continue to pay an accident guarantee, which for me is linked to the car contract, because there is no separate schedule and Nothing specifies that these are two different contracts</v>
      </c>
    </row>
    <row r="481" ht="15.75" customHeight="1">
      <c r="A481" s="2">
        <v>2.0</v>
      </c>
      <c r="B481" s="2" t="s">
        <v>1416</v>
      </c>
      <c r="C481" s="2" t="s">
        <v>1417</v>
      </c>
      <c r="D481" s="2" t="s">
        <v>39</v>
      </c>
      <c r="E481" s="2" t="s">
        <v>50</v>
      </c>
      <c r="F481" s="2" t="s">
        <v>15</v>
      </c>
      <c r="G481" s="2" t="s">
        <v>1418</v>
      </c>
      <c r="H481" s="2" t="s">
        <v>238</v>
      </c>
      <c r="I481" s="2" t="str">
        <f>IFERROR(__xludf.DUMMYFUNCTION("GOOGLETRANSLATE(C481,""fr"",""en"")"),"I find a little expensive, because for the moment I am unemployed.
So I did not see the sponsorship option because I was sponsored by a friend
Otherwise the service and easy to use.")</f>
        <v>I find a little expensive, because for the moment I am unemployed.
So I did not see the sponsorship option because I was sponsored by a friend
Otherwise the service and easy to use.</v>
      </c>
    </row>
    <row r="482" ht="15.75" customHeight="1">
      <c r="A482" s="2">
        <v>4.0</v>
      </c>
      <c r="B482" s="2" t="s">
        <v>1419</v>
      </c>
      <c r="C482" s="2" t="s">
        <v>1420</v>
      </c>
      <c r="D482" s="2" t="s">
        <v>30</v>
      </c>
      <c r="E482" s="2" t="s">
        <v>31</v>
      </c>
      <c r="F482" s="2" t="s">
        <v>15</v>
      </c>
      <c r="G482" s="2" t="s">
        <v>1421</v>
      </c>
      <c r="H482" s="2" t="s">
        <v>101</v>
      </c>
      <c r="I482" s="2" t="str">
        <f>IFERROR(__xludf.DUMMYFUNCTION("GOOGLETRANSLATE(C482,""fr"",""en"")"),"For a young license, in any risk + additional guarantees, from a pricing point of view it is quite high. However, the proposed guarantees are worth a look, simply because it is difficult to find them elsewhere and/or also complete. It is very simple I hav"&amp;"e not seen at any insurer so many choices and modulation of guarantee options, for solutions however essential in my eyes (0km assistance with towing, loan vehicle in the event of an accident, reimbursement accessories + equipment, etc.).")</f>
        <v>For a young license, in any risk + additional guarantees, from a pricing point of view it is quite high. However, the proposed guarantees are worth a look, simply because it is difficult to find them elsewhere and/or also complete. It is very simple I have not seen at any insurer so many choices and modulation of guarantee options, for solutions however essential in my eyes (0km assistance with towing, loan vehicle in the event of an accident, reimbursement accessories + equipment, etc.).</v>
      </c>
    </row>
    <row r="483" ht="15.75" customHeight="1">
      <c r="A483" s="2">
        <v>1.0</v>
      </c>
      <c r="B483" s="2" t="s">
        <v>1422</v>
      </c>
      <c r="C483" s="2" t="s">
        <v>1423</v>
      </c>
      <c r="D483" s="2" t="s">
        <v>123</v>
      </c>
      <c r="E483" s="2" t="s">
        <v>45</v>
      </c>
      <c r="F483" s="2" t="s">
        <v>15</v>
      </c>
      <c r="G483" s="2" t="s">
        <v>1424</v>
      </c>
      <c r="H483" s="2" t="s">
        <v>22</v>
      </c>
      <c r="I483" s="2" t="str">
        <f>IFERROR(__xludf.DUMMYFUNCTION("GOOGLETRANSLATE(C483,""fr"",""en"")"),"A real comedy. It's been 5 weeks since I sent my statements and I still have nothing to reimburse. When I call I come across televisional cars that wander me. The first tells me that it takes 16 working days, the 2nd 22 working days, the 3rd told me that "&amp;"I was reimbursed ..... there is fed up. I don't pay for anything. My question is simple when will I be reimbursed?")</f>
        <v>A real comedy. It's been 5 weeks since I sent my statements and I still have nothing to reimburse. When I call I come across televisional cars that wander me. The first tells me that it takes 16 working days, the 2nd 22 working days, the 3rd told me that I was reimbursed ..... there is fed up. I don't pay for anything. My question is simple when will I be reimbursed?</v>
      </c>
    </row>
    <row r="484" ht="15.75" customHeight="1">
      <c r="A484" s="2">
        <v>1.0</v>
      </c>
      <c r="B484" s="2" t="s">
        <v>1425</v>
      </c>
      <c r="C484" s="2" t="s">
        <v>1426</v>
      </c>
      <c r="D484" s="2" t="s">
        <v>219</v>
      </c>
      <c r="E484" s="2" t="s">
        <v>14</v>
      </c>
      <c r="F484" s="2" t="s">
        <v>15</v>
      </c>
      <c r="G484" s="2" t="s">
        <v>1427</v>
      </c>
      <c r="H484" s="2" t="s">
        <v>57</v>
      </c>
      <c r="I484" s="2" t="str">
        <f>IFERROR(__xludf.DUMMYFUNCTION("GOOGLETRANSLATE(C484,""fr"",""en"")"),"Can an AXA manager contact one of his partners to ask him to quickly send me my information statement? For the moment I have received advertising and a kind of request for an appointment to discuss, but I don't want to chat, I want to take off. (Terminati"&amp;"on Hamon law)")</f>
        <v>Can an AXA manager contact one of his partners to ask him to quickly send me my information statement? For the moment I have received advertising and a kind of request for an appointment to discuss, but I don't want to chat, I want to take off. (Termination Hamon law)</v>
      </c>
    </row>
    <row r="485" ht="15.75" customHeight="1">
      <c r="A485" s="2">
        <v>5.0</v>
      </c>
      <c r="B485" s="2" t="s">
        <v>1428</v>
      </c>
      <c r="C485" s="2" t="s">
        <v>1429</v>
      </c>
      <c r="D485" s="2" t="s">
        <v>30</v>
      </c>
      <c r="E485" s="2" t="s">
        <v>31</v>
      </c>
      <c r="F485" s="2" t="s">
        <v>15</v>
      </c>
      <c r="G485" s="2" t="s">
        <v>728</v>
      </c>
      <c r="H485" s="2" t="s">
        <v>27</v>
      </c>
      <c r="I485" s="2" t="str">
        <f>IFERROR(__xludf.DUMMYFUNCTION("GOOGLETRANSLATE(C485,""fr"",""en"")"),"Very welcome, fast and simple
Best prices I found after many quote
Price and formulas very well
to see in the long term
Nothing else to add")</f>
        <v>Very welcome, fast and simple
Best prices I found after many quote
Price and formulas very well
to see in the long term
Nothing else to add</v>
      </c>
    </row>
    <row r="486" ht="15.75" customHeight="1">
      <c r="A486" s="2">
        <v>2.0</v>
      </c>
      <c r="B486" s="2" t="s">
        <v>1430</v>
      </c>
      <c r="C486" s="2" t="s">
        <v>1431</v>
      </c>
      <c r="D486" s="2" t="s">
        <v>219</v>
      </c>
      <c r="E486" s="2" t="s">
        <v>14</v>
      </c>
      <c r="F486" s="2" t="s">
        <v>15</v>
      </c>
      <c r="G486" s="2" t="s">
        <v>1432</v>
      </c>
      <c r="H486" s="2" t="s">
        <v>330</v>
      </c>
      <c r="I486" s="2" t="str">
        <f>IFERROR(__xludf.DUMMYFUNCTION("GOOGLETRANSLATE(C486,""fr"",""en"")"),"Hello,
I had an accident not responsible and it's been almost 5 months since the troubles started.
The accident vehicle was repatriated to a garage of my choice. AXA forced me to have it moved to an approved garage for expertise.
The expert must have m"&amp;"oved 3 times because they failed to agree from the start.
The new mechanic refused to lend me a vehicle as long as the repairs were not officially launched when Ixa had certified me that it was possible.
Then the mechanic made things drag, I had to call"&amp;" to find out where it was and there surprised he can't find the pieces ... In short, I try to manage for myself it takes a Shortly and when finally finds at the end of a month ... I am told that it is not possible because they are not VHU certified pieces"&amp;". All this time lost. So I hold the case, I ask for the sale of the vehicle because it's been 4 months since I fight to save my car! And there I am refused to sell. I am in all my states because I learned that the guard costs were still running and that a"&amp;"nxa is supposed to take care of it but with their decision, I do not know what to think ... we arrive on the 5th month of worries . I have been under relaxing for a few days because the situation becomes unlivable. I am waiting for the sale of the sale to"&amp;" buy me a vehicle, but after this refusal: what to think? I have been on foot for all this time so I have my family and colleagues conveyed. Imagine my life and that of those around me because no one has been able to be reactive. I am disappointed. I cry "&amp;"with every phone call. I do not know what to do.")</f>
        <v>Hello,
I had an accident not responsible and it's been almost 5 months since the troubles started.
The accident vehicle was repatriated to a garage of my choice. AXA forced me to have it moved to an approved garage for expertise.
The expert must have moved 3 times because they failed to agree from the start.
The new mechanic refused to lend me a vehicle as long as the repairs were not officially launched when Ixa had certified me that it was possible.
Then the mechanic made things drag, I had to call to find out where it was and there surprised he can't find the pieces ... In short, I try to manage for myself it takes a Shortly and when finally finds at the end of a month ... I am told that it is not possible because they are not VHU certified pieces. All this time lost. So I hold the case, I ask for the sale of the vehicle because it's been 4 months since I fight to save my car! And there I am refused to sell. I am in all my states because I learned that the guard costs were still running and that anxa is supposed to take care of it but with their decision, I do not know what to think ... we arrive on the 5th month of worries . I have been under relaxing for a few days because the situation becomes unlivable. I am waiting for the sale of the sale to buy me a vehicle, but after this refusal: what to think? I have been on foot for all this time so I have my family and colleagues conveyed. Imagine my life and that of those around me because no one has been able to be reactive. I am disappointed. I cry with every phone call. I do not know what to do.</v>
      </c>
    </row>
    <row r="487" ht="15.75" customHeight="1">
      <c r="A487" s="2">
        <v>2.0</v>
      </c>
      <c r="B487" s="2" t="s">
        <v>1433</v>
      </c>
      <c r="C487" s="2" t="s">
        <v>1434</v>
      </c>
      <c r="D487" s="2" t="s">
        <v>39</v>
      </c>
      <c r="E487" s="2" t="s">
        <v>14</v>
      </c>
      <c r="F487" s="2" t="s">
        <v>15</v>
      </c>
      <c r="G487" s="2" t="s">
        <v>1435</v>
      </c>
      <c r="H487" s="2" t="s">
        <v>987</v>
      </c>
      <c r="I487" s="2" t="str">
        <f>IFERROR(__xludf.DUMMYFUNCTION("GOOGLETRANSLATE(C487,""fr"",""en"")"),"For a subsidiary of AXA France no one no horrible customer service it is necessary to restart several times and this for more than a month to have returned from them and to be reimbursed a contribution it is worse for the guarantees of the contracts it is"&amp;" necessary read")</f>
        <v>For a subsidiary of AXA France no one no horrible customer service it is necessary to restart several times and this for more than a month to have returned from them and to be reimbursed a contribution it is worse for the guarantees of the contracts it is necessary read</v>
      </c>
    </row>
    <row r="488" ht="15.75" customHeight="1">
      <c r="A488" s="2">
        <v>4.0</v>
      </c>
      <c r="B488" s="2" t="s">
        <v>1436</v>
      </c>
      <c r="C488" s="2" t="s">
        <v>1437</v>
      </c>
      <c r="D488" s="2" t="s">
        <v>39</v>
      </c>
      <c r="E488" s="2" t="s">
        <v>14</v>
      </c>
      <c r="F488" s="2" t="s">
        <v>15</v>
      </c>
      <c r="G488" s="2" t="s">
        <v>1438</v>
      </c>
      <c r="H488" s="2" t="s">
        <v>27</v>
      </c>
      <c r="I488" s="2" t="str">
        <f>IFERROR(__xludf.DUMMYFUNCTION("GOOGLETRANSLATE(C488,""fr"",""en"")"),"Attractive price and clear information.
Contract received and signed in less than 24 hours.
Small difficulty in taking out insurance with a foreign mineralogical plate number.")</f>
        <v>Attractive price and clear information.
Contract received and signed in less than 24 hours.
Small difficulty in taking out insurance with a foreign mineralogical plate number.</v>
      </c>
    </row>
    <row r="489" ht="15.75" customHeight="1">
      <c r="A489" s="2">
        <v>1.0</v>
      </c>
      <c r="B489" s="2" t="s">
        <v>1439</v>
      </c>
      <c r="C489" s="2" t="s">
        <v>1440</v>
      </c>
      <c r="D489" s="2" t="s">
        <v>39</v>
      </c>
      <c r="E489" s="2" t="s">
        <v>14</v>
      </c>
      <c r="F489" s="2" t="s">
        <v>15</v>
      </c>
      <c r="G489" s="2" t="s">
        <v>109</v>
      </c>
      <c r="H489" s="2" t="s">
        <v>109</v>
      </c>
      <c r="I489" s="2" t="str">
        <f>IFERROR(__xludf.DUMMYFUNCTION("GOOGLETRANSLATE(C489,""fr"",""en"")"),"Too expensive price
Complicated service
It takes more options to be well covered in insurance any risk, I do not find this normal, moreover the most are ultimately higher than other insurances, in the end is more expensive")</f>
        <v>Too expensive price
Complicated service
It takes more options to be well covered in insurance any risk, I do not find this normal, moreover the most are ultimately higher than other insurances, in the end is more expensive</v>
      </c>
    </row>
    <row r="490" ht="15.75" customHeight="1">
      <c r="A490" s="2">
        <v>1.0</v>
      </c>
      <c r="B490" s="2" t="s">
        <v>1441</v>
      </c>
      <c r="C490" s="2" t="s">
        <v>1442</v>
      </c>
      <c r="D490" s="2" t="s">
        <v>39</v>
      </c>
      <c r="E490" s="2" t="s">
        <v>14</v>
      </c>
      <c r="F490" s="2" t="s">
        <v>15</v>
      </c>
      <c r="G490" s="2" t="s">
        <v>1443</v>
      </c>
      <c r="H490" s="2" t="s">
        <v>594</v>
      </c>
      <c r="I490" s="2" t="str">
        <f>IFERROR(__xludf.DUMMYFUNCTION("GOOGLETRANSLATE(C490,""fr"",""en"")"),"Direct insurance? Direct trash can rather! Impossible to join them, their customer service is dry in their responses, no one being able to hear an explanation. So to flee absolutely")</f>
        <v>Direct insurance? Direct trash can rather! Impossible to join them, their customer service is dry in their responses, no one being able to hear an explanation. So to flee absolutely</v>
      </c>
    </row>
    <row r="491" ht="15.75" customHeight="1">
      <c r="A491" s="2">
        <v>1.0</v>
      </c>
      <c r="B491" s="2" t="s">
        <v>1444</v>
      </c>
      <c r="C491" s="2" t="s">
        <v>1445</v>
      </c>
      <c r="D491" s="2" t="s">
        <v>20</v>
      </c>
      <c r="E491" s="2" t="s">
        <v>14</v>
      </c>
      <c r="F491" s="2" t="s">
        <v>15</v>
      </c>
      <c r="G491" s="2" t="s">
        <v>1446</v>
      </c>
      <c r="H491" s="2" t="s">
        <v>550</v>
      </c>
      <c r="I491" s="2" t="str">
        <f>IFERROR(__xludf.DUMMYFUNCTION("GOOGLETRANSLATE(C491,""fr"",""en"")"),"assurance to flee it contacted them for a claim we are headed for a platform and from the hassle")</f>
        <v>assurance to flee it contacted them for a claim we are headed for a platform and from the hassle</v>
      </c>
    </row>
    <row r="492" ht="15.75" customHeight="1">
      <c r="A492" s="2">
        <v>3.0</v>
      </c>
      <c r="B492" s="2" t="s">
        <v>1447</v>
      </c>
      <c r="C492" s="2" t="s">
        <v>1448</v>
      </c>
      <c r="D492" s="2" t="s">
        <v>39</v>
      </c>
      <c r="E492" s="2" t="s">
        <v>14</v>
      </c>
      <c r="F492" s="2" t="s">
        <v>15</v>
      </c>
      <c r="G492" s="2" t="s">
        <v>1162</v>
      </c>
      <c r="H492" s="2" t="s">
        <v>109</v>
      </c>
      <c r="I492" s="2" t="str">
        <f>IFERROR(__xludf.DUMMYFUNCTION("GOOGLETRANSLATE(C492,""fr"",""en"")"),"Following recent quote, some prices seem prohibitive to me. I hope an evolution more related to the use of said vehicles. I am not sure this day to renew. Response next May on a change of vehicle.")</f>
        <v>Following recent quote, some prices seem prohibitive to me. I hope an evolution more related to the use of said vehicles. I am not sure this day to renew. Response next May on a change of vehicle.</v>
      </c>
    </row>
    <row r="493" ht="15.75" customHeight="1">
      <c r="A493" s="2">
        <v>4.0</v>
      </c>
      <c r="B493" s="2" t="s">
        <v>1449</v>
      </c>
      <c r="C493" s="2" t="s">
        <v>1450</v>
      </c>
      <c r="D493" s="2" t="s">
        <v>39</v>
      </c>
      <c r="E493" s="2" t="s">
        <v>14</v>
      </c>
      <c r="F493" s="2" t="s">
        <v>15</v>
      </c>
      <c r="G493" s="2" t="s">
        <v>837</v>
      </c>
      <c r="H493" s="2" t="s">
        <v>84</v>
      </c>
      <c r="I493" s="2" t="str">
        <f>IFERROR(__xludf.DUMMYFUNCTION("GOOGLETRANSLATE(C493,""fr"",""en"")"),"Good but I hope to have a drop next time because I am assured in housing too thank you. The two people I had been top in Clair Merxi Sarah and Simon")</f>
        <v>Good but I hope to have a drop next time because I am assured in housing too thank you. The two people I had been top in Clair Merxi Sarah and Simon</v>
      </c>
    </row>
    <row r="494" ht="15.75" customHeight="1">
      <c r="A494" s="2">
        <v>4.0</v>
      </c>
      <c r="B494" s="2" t="s">
        <v>1451</v>
      </c>
      <c r="C494" s="2" t="s">
        <v>1452</v>
      </c>
      <c r="D494" s="2" t="s">
        <v>25</v>
      </c>
      <c r="E494" s="2" t="s">
        <v>14</v>
      </c>
      <c r="F494" s="2" t="s">
        <v>15</v>
      </c>
      <c r="G494" s="2" t="s">
        <v>77</v>
      </c>
      <c r="H494" s="2" t="s">
        <v>77</v>
      </c>
      <c r="I494" s="2" t="str">
        <f>IFERROR(__xludf.DUMMYFUNCTION("GOOGLETRANSLATE(C494,""fr"",""en"")"),"The quality to price ratio is excellent ! I am waiting to see the management but I am very satisfied with my first impressions at the Olivier Assurance.")</f>
        <v>The quality to price ratio is excellent ! I am waiting to see the management but I am very satisfied with my first impressions at the Olivier Assurance.</v>
      </c>
    </row>
    <row r="495" ht="15.75" customHeight="1">
      <c r="A495" s="2">
        <v>2.0</v>
      </c>
      <c r="B495" s="2" t="s">
        <v>1453</v>
      </c>
      <c r="C495" s="2" t="s">
        <v>1454</v>
      </c>
      <c r="D495" s="2" t="s">
        <v>162</v>
      </c>
      <c r="E495" s="2" t="s">
        <v>45</v>
      </c>
      <c r="F495" s="2" t="s">
        <v>15</v>
      </c>
      <c r="G495" s="2" t="s">
        <v>1455</v>
      </c>
      <c r="H495" s="2" t="s">
        <v>57</v>
      </c>
      <c r="I495" s="2" t="str">
        <f>IFERROR(__xludf.DUMMYFUNCTION("GOOGLETRANSLATE(C495,""fr"",""en"")"),"Prices are increasing fairly quickly.
Lack of responsiveness for negotiating different mutuals on the Internet. Despite this ; The sales department is satisfactory.
")</f>
        <v>Prices are increasing fairly quickly.
Lack of responsiveness for negotiating different mutuals on the Internet. Despite this ; The sales department is satisfactory.
</v>
      </c>
    </row>
    <row r="496" ht="15.75" customHeight="1">
      <c r="A496" s="2">
        <v>3.0</v>
      </c>
      <c r="B496" s="2" t="s">
        <v>1456</v>
      </c>
      <c r="C496" s="2" t="s">
        <v>1457</v>
      </c>
      <c r="D496" s="2" t="s">
        <v>49</v>
      </c>
      <c r="E496" s="2" t="s">
        <v>14</v>
      </c>
      <c r="F496" s="2" t="s">
        <v>15</v>
      </c>
      <c r="G496" s="2" t="s">
        <v>1458</v>
      </c>
      <c r="H496" s="2" t="s">
        <v>1459</v>
      </c>
      <c r="I496" s="2" t="str">
        <f>IFERROR(__xludf.DUMMYFUNCTION("GOOGLETRANSLATE(C496,""fr"",""en"")"),"To date, I am satisfied, taking into account the quick request, the choice of my options! A small negotiation to the subscription of the contract .. everything is negotiated !!")</f>
        <v>To date, I am satisfied, taking into account the quick request, the choice of my options! A small negotiation to the subscription of the contract .. everything is negotiated !!</v>
      </c>
    </row>
    <row r="497" ht="15.75" customHeight="1">
      <c r="A497" s="2">
        <v>1.0</v>
      </c>
      <c r="B497" s="2" t="s">
        <v>1460</v>
      </c>
      <c r="C497" s="2" t="s">
        <v>1461</v>
      </c>
      <c r="D497" s="2" t="s">
        <v>25</v>
      </c>
      <c r="E497" s="2" t="s">
        <v>14</v>
      </c>
      <c r="F497" s="2" t="s">
        <v>15</v>
      </c>
      <c r="G497" s="2" t="s">
        <v>1462</v>
      </c>
      <c r="H497" s="2" t="s">
        <v>414</v>
      </c>
      <c r="I497" s="2" t="str">
        <f>IFERROR(__xludf.DUMMYFUNCTION("GOOGLETRANSLATE(C497,""fr"",""en"")"),"It's been more than two months that I was able to subscribe to a contract and despite sending all the supporting documents, I am still waiting for the green card")</f>
        <v>It's been more than two months that I was able to subscribe to a contract and despite sending all the supporting documents, I am still waiting for the green card</v>
      </c>
    </row>
    <row r="498" ht="15.75" customHeight="1">
      <c r="A498" s="2">
        <v>4.0</v>
      </c>
      <c r="B498" s="2" t="s">
        <v>1463</v>
      </c>
      <c r="C498" s="2" t="s">
        <v>1464</v>
      </c>
      <c r="D498" s="2" t="s">
        <v>35</v>
      </c>
      <c r="E498" s="2" t="s">
        <v>31</v>
      </c>
      <c r="F498" s="2" t="s">
        <v>15</v>
      </c>
      <c r="G498" s="2" t="s">
        <v>1465</v>
      </c>
      <c r="H498" s="2" t="s">
        <v>84</v>
      </c>
      <c r="I498" s="2" t="str">
        <f>IFERROR(__xludf.DUMMYFUNCTION("GOOGLETRANSLATE(C498,""fr"",""en"")"),"I am very satisfied with the services and the ease of use of the site. My alone downside comes from the paying number and the litany of the message… it spoils the pleasure.")</f>
        <v>I am very satisfied with the services and the ease of use of the site. My alone downside comes from the paying number and the litany of the message… it spoils the pleasure.</v>
      </c>
    </row>
    <row r="499" ht="15.75" customHeight="1">
      <c r="A499" s="2">
        <v>2.0</v>
      </c>
      <c r="B499" s="2" t="s">
        <v>1466</v>
      </c>
      <c r="C499" s="2" t="s">
        <v>1467</v>
      </c>
      <c r="D499" s="2" t="s">
        <v>13</v>
      </c>
      <c r="E499" s="2" t="s">
        <v>50</v>
      </c>
      <c r="F499" s="2" t="s">
        <v>15</v>
      </c>
      <c r="G499" s="2" t="s">
        <v>1468</v>
      </c>
      <c r="H499" s="2" t="s">
        <v>550</v>
      </c>
      <c r="I499" s="2" t="str">
        <f>IFERROR(__xludf.DUMMYFUNCTION("GOOGLETRANSLATE(C499,""fr"",""en"")"),"Following a water damage, insurance shows distressing bad faith so as not to reimburse. Their expert came to test the humidity of the walls with a device not allowing the humidity behind the tiles, he did not even know the existence")</f>
        <v>Following a water damage, insurance shows distressing bad faith so as not to reimburse. Their expert came to test the humidity of the walls with a device not allowing the humidity behind the tiles, he did not even know the existence</v>
      </c>
    </row>
    <row r="500" ht="15.75" customHeight="1">
      <c r="A500" s="2">
        <v>1.0</v>
      </c>
      <c r="B500" s="2" t="s">
        <v>1469</v>
      </c>
      <c r="C500" s="2" t="s">
        <v>1470</v>
      </c>
      <c r="D500" s="2" t="s">
        <v>39</v>
      </c>
      <c r="E500" s="2" t="s">
        <v>14</v>
      </c>
      <c r="F500" s="2" t="s">
        <v>15</v>
      </c>
      <c r="G500" s="2" t="s">
        <v>32</v>
      </c>
      <c r="H500" s="2" t="s">
        <v>27</v>
      </c>
      <c r="I500" s="2" t="str">
        <f>IFERROR(__xludf.DUMMYFUNCTION("GOOGLETRANSLATE(C500,""fr"",""en"")"),"Since I do not often ask for my insurance, not to say ever, I would have liked to profite discounts for ""good conduct""")</f>
        <v>Since I do not often ask for my insurance, not to say ever, I would have liked to profite discounts for "good conduct"</v>
      </c>
    </row>
    <row r="501" ht="15.75" customHeight="1">
      <c r="A501" s="2">
        <v>5.0</v>
      </c>
      <c r="B501" s="2" t="s">
        <v>1471</v>
      </c>
      <c r="C501" s="2" t="s">
        <v>1472</v>
      </c>
      <c r="D501" s="2" t="s">
        <v>30</v>
      </c>
      <c r="E501" s="2" t="s">
        <v>31</v>
      </c>
      <c r="F501" s="2" t="s">
        <v>15</v>
      </c>
      <c r="G501" s="2" t="s">
        <v>77</v>
      </c>
      <c r="H501" s="2" t="s">
        <v>77</v>
      </c>
      <c r="I501" s="2" t="str">
        <f>IFERROR(__xludf.DUMMYFUNCTION("GOOGLETRANSLATE(C501,""fr"",""en"")"),"The price is correct and the coverage too. I would recommend your insurance to my friends and close
I hope to receive my documents so quickly
Mercj")</f>
        <v>The price is correct and the coverage too. I would recommend your insurance to my friends and close
I hope to receive my documents so quickly
Mercj</v>
      </c>
    </row>
    <row r="502" ht="15.75" customHeight="1">
      <c r="A502" s="2">
        <v>5.0</v>
      </c>
      <c r="B502" s="2" t="s">
        <v>1473</v>
      </c>
      <c r="C502" s="2" t="s">
        <v>1474</v>
      </c>
      <c r="D502" s="2" t="s">
        <v>25</v>
      </c>
      <c r="E502" s="2" t="s">
        <v>14</v>
      </c>
      <c r="F502" s="2" t="s">
        <v>15</v>
      </c>
      <c r="G502" s="2" t="s">
        <v>1475</v>
      </c>
      <c r="H502" s="2" t="s">
        <v>101</v>
      </c>
      <c r="I502" s="2" t="str">
        <f>IFERROR(__xludf.DUMMYFUNCTION("GOOGLETRANSLATE(C502,""fr"",""en"")"),"I have nothing to add other than this insurance is very well level value price and in terms of listening also that I really recommend it with pleasure.
")</f>
        <v>I have nothing to add other than this insurance is very well level value price and in terms of listening also that I really recommend it with pleasure.
</v>
      </c>
    </row>
    <row r="503" ht="15.75" customHeight="1">
      <c r="A503" s="2">
        <v>1.0</v>
      </c>
      <c r="B503" s="2" t="s">
        <v>1476</v>
      </c>
      <c r="C503" s="2" t="s">
        <v>1477</v>
      </c>
      <c r="D503" s="2" t="s">
        <v>39</v>
      </c>
      <c r="E503" s="2" t="s">
        <v>14</v>
      </c>
      <c r="F503" s="2" t="s">
        <v>15</v>
      </c>
      <c r="G503" s="2" t="s">
        <v>1478</v>
      </c>
      <c r="H503" s="2" t="s">
        <v>198</v>
      </c>
      <c r="I503" s="2" t="str">
        <f>IFERROR(__xludf.DUMMYFUNCTION("GOOGLETRANSLATE(C503,""fr"",""en"")"),"Pray of never having a disaster. They are very strong to demand your money but when you have to reimburse or pay ...... they start by sticking a private detective to you .... then it is the way of the cross that begins .... at the end Do not be surprised,"&amp;" even if you are 100% reason (!!!) to be thrown like a malproprus .... they only want the customer who never have the misfortune to have a problem ..... Horrible")</f>
        <v>Pray of never having a disaster. They are very strong to demand your money but when you have to reimburse or pay ...... they start by sticking a private detective to you .... then it is the way of the cross that begins .... at the end Do not be surprised, even if you are 100% reason (!!!) to be thrown like a malproprus .... they only want the customer who never have the misfortune to have a problem ..... Horrible</v>
      </c>
    </row>
    <row r="504" ht="15.75" customHeight="1">
      <c r="A504" s="2">
        <v>4.0</v>
      </c>
      <c r="B504" s="2" t="s">
        <v>1479</v>
      </c>
      <c r="C504" s="2" t="s">
        <v>1480</v>
      </c>
      <c r="D504" s="2" t="s">
        <v>293</v>
      </c>
      <c r="E504" s="2" t="s">
        <v>45</v>
      </c>
      <c r="F504" s="2" t="s">
        <v>15</v>
      </c>
      <c r="G504" s="2" t="s">
        <v>1481</v>
      </c>
      <c r="H504" s="2" t="s">
        <v>131</v>
      </c>
      <c r="I504" s="2" t="str">
        <f>IFERROR(__xludf.DUMMYFUNCTION("GOOGLETRANSLATE(C504,""fr"",""en"")"),"Always a benevolent and friendly person on the phone. Continue because it becomes rare these days!
Unfortunately it is still complicated to modify your contract ...")</f>
        <v>Always a benevolent and friendly person on the phone. Continue because it becomes rare these days!
Unfortunately it is still complicated to modify your contract ...</v>
      </c>
    </row>
    <row r="505" ht="15.75" customHeight="1">
      <c r="A505" s="2">
        <v>1.0</v>
      </c>
      <c r="B505" s="2" t="s">
        <v>1482</v>
      </c>
      <c r="C505" s="2" t="s">
        <v>1483</v>
      </c>
      <c r="D505" s="2" t="s">
        <v>49</v>
      </c>
      <c r="E505" s="2" t="s">
        <v>96</v>
      </c>
      <c r="F505" s="2" t="s">
        <v>15</v>
      </c>
      <c r="G505" s="2" t="s">
        <v>1484</v>
      </c>
      <c r="H505" s="2" t="s">
        <v>224</v>
      </c>
      <c r="I505" s="2" t="str">
        <f>IFERROR(__xludf.DUMMYFUNCTION("GOOGLETRANSLATE(C505,""fr"",""en"")"),"I am promised me the reimbursement of my capitalization voucher for more than 5 weeks, I call and I still see nothing happening !! I will never take insurance with them !!")</f>
        <v>I am promised me the reimbursement of my capitalization voucher for more than 5 weeks, I call and I still see nothing happening !! I will never take insurance with them !!</v>
      </c>
    </row>
    <row r="506" ht="15.75" customHeight="1">
      <c r="A506" s="2">
        <v>4.0</v>
      </c>
      <c r="B506" s="2" t="s">
        <v>1485</v>
      </c>
      <c r="C506" s="2" t="s">
        <v>1486</v>
      </c>
      <c r="D506" s="2" t="s">
        <v>162</v>
      </c>
      <c r="E506" s="2" t="s">
        <v>45</v>
      </c>
      <c r="F506" s="2" t="s">
        <v>15</v>
      </c>
      <c r="G506" s="2" t="s">
        <v>1293</v>
      </c>
      <c r="H506" s="2" t="s">
        <v>84</v>
      </c>
      <c r="I506" s="2" t="str">
        <f>IFERROR(__xludf.DUMMYFUNCTION("GOOGLETRANSLATE(C506,""fr"",""en"")"),"Call this morning in your services very welcome from my interlocutor named Georges entirely satisfied with his clear and precise responses
Ms. Nolberg")</f>
        <v>Call this morning in your services very welcome from my interlocutor named Georges entirely satisfied with his clear and precise responses
Ms. Nolberg</v>
      </c>
    </row>
    <row r="507" ht="15.75" customHeight="1">
      <c r="A507" s="2">
        <v>2.0</v>
      </c>
      <c r="B507" s="2" t="s">
        <v>1487</v>
      </c>
      <c r="C507" s="2" t="s">
        <v>1488</v>
      </c>
      <c r="D507" s="2" t="s">
        <v>25</v>
      </c>
      <c r="E507" s="2" t="s">
        <v>14</v>
      </c>
      <c r="F507" s="2" t="s">
        <v>15</v>
      </c>
      <c r="G507" s="2" t="s">
        <v>1228</v>
      </c>
      <c r="H507" s="2" t="s">
        <v>109</v>
      </c>
      <c r="I507" s="2" t="str">
        <f>IFERROR(__xludf.DUMMYFUNCTION("GOOGLETRANSLATE(C507,""fr"",""en"")"),"Attractive price the first year to ""bait"" the customer, but from the end of the first year 11.4% increase without any disaster, and when I call I am explained that in 2020 in the midst of a covid crisis, the loss of my town in Loir et Cher (
          "&amp;"                  ")</f>
        <v>Attractive price the first year to "bait" the customer, but from the end of the first year 11.4% increase without any disaster, and when I call I am explained that in 2020 in the midst of a covid crisis, the loss of my town in Loir et Cher (
                            </v>
      </c>
    </row>
    <row r="508" ht="15.75" customHeight="1">
      <c r="A508" s="2">
        <v>1.0</v>
      </c>
      <c r="B508" s="2" t="s">
        <v>1489</v>
      </c>
      <c r="C508" s="2" t="s">
        <v>1490</v>
      </c>
      <c r="D508" s="2" t="s">
        <v>328</v>
      </c>
      <c r="E508" s="2" t="s">
        <v>429</v>
      </c>
      <c r="F508" s="2" t="s">
        <v>15</v>
      </c>
      <c r="G508" s="2" t="s">
        <v>1491</v>
      </c>
      <c r="H508" s="2" t="s">
        <v>178</v>
      </c>
      <c r="I508" s="2" t="str">
        <f>IFERROR(__xludf.DUMMYFUNCTION("GOOGLETRANSLATE(C508,""fr"",""en"")"),"My deceased husband recently had a loan (auto purchase) with a cardif death guarantee. Today Cardif refuses to take care of the loan on the grounds that my husband did not report at the time of subscription of the loan that he took medical treatment. Exce"&amp;"pt for no health questionnaire was fulfilled at the time of the loan subscription because the amount of less than 60,000 euros. Under what limits do they have the right to act in this way?")</f>
        <v>My deceased husband recently had a loan (auto purchase) with a cardif death guarantee. Today Cardif refuses to take care of the loan on the grounds that my husband did not report at the time of subscription of the loan that he took medical treatment. Except for no health questionnaire was fulfilled at the time of the loan subscription because the amount of less than 60,000 euros. Under what limits do they have the right to act in this way?</v>
      </c>
    </row>
    <row r="509" ht="15.75" customHeight="1">
      <c r="A509" s="2">
        <v>1.0</v>
      </c>
      <c r="B509" s="2" t="s">
        <v>1492</v>
      </c>
      <c r="C509" s="2" t="s">
        <v>1493</v>
      </c>
      <c r="D509" s="2" t="s">
        <v>219</v>
      </c>
      <c r="E509" s="2" t="s">
        <v>14</v>
      </c>
      <c r="F509" s="2" t="s">
        <v>15</v>
      </c>
      <c r="G509" s="2" t="s">
        <v>1465</v>
      </c>
      <c r="H509" s="2" t="s">
        <v>84</v>
      </c>
      <c r="I509" s="2" t="str">
        <f>IFERROR(__xludf.DUMMYFUNCTION("GOOGLETRANSLATE(C509,""fr"",""en"")"),"Victim of a driver with 2.6 g who overthrew my son on his cyclo, this insurance told us not to go to the TGI at the judgment of the driver, I found myself alone against the 2 lawyers of the accused, the insurance did not give us a lawyer. The insurance ex"&amp;"pert minimized as much as possible for this accident where my son was screened in the windshield and fell heavily on the ground. I thought being insured, I would be properly defended, but that is not the case. Besides, the insurance was not worried about "&amp;"whether the driver was ordered or not repairing and compensating, which is however the minimum, moreover it was the driver's assurance to reimburse mine.")</f>
        <v>Victim of a driver with 2.6 g who overthrew my son on his cyclo, this insurance told us not to go to the TGI at the judgment of the driver, I found myself alone against the 2 lawyers of the accused, the insurance did not give us a lawyer. The insurance expert minimized as much as possible for this accident where my son was screened in the windshield and fell heavily on the ground. I thought being insured, I would be properly defended, but that is not the case. Besides, the insurance was not worried about whether the driver was ordered or not repairing and compensating, which is however the minimum, moreover it was the driver's assurance to reimburse mine.</v>
      </c>
    </row>
    <row r="510" ht="15.75" customHeight="1">
      <c r="A510" s="2">
        <v>3.0</v>
      </c>
      <c r="B510" s="2" t="s">
        <v>1494</v>
      </c>
      <c r="C510" s="2" t="s">
        <v>1495</v>
      </c>
      <c r="D510" s="2" t="s">
        <v>137</v>
      </c>
      <c r="E510" s="2" t="s">
        <v>45</v>
      </c>
      <c r="F510" s="2" t="s">
        <v>15</v>
      </c>
      <c r="G510" s="2" t="s">
        <v>1496</v>
      </c>
      <c r="H510" s="2" t="s">
        <v>164</v>
      </c>
      <c r="I510" s="2" t="str">
        <f>IFERROR(__xludf.DUMMYFUNCTION("GOOGLETRANSLATE(C510,""fr"",""en"")"),"Lots of surprises at the bend of its use!")</f>
        <v>Lots of surprises at the bend of its use!</v>
      </c>
    </row>
    <row r="511" ht="15.75" customHeight="1">
      <c r="A511" s="2">
        <v>1.0</v>
      </c>
      <c r="B511" s="2" t="s">
        <v>1497</v>
      </c>
      <c r="C511" s="2" t="s">
        <v>1498</v>
      </c>
      <c r="D511" s="2" t="s">
        <v>1058</v>
      </c>
      <c r="E511" s="2" t="s">
        <v>347</v>
      </c>
      <c r="F511" s="2" t="s">
        <v>15</v>
      </c>
      <c r="G511" s="2" t="s">
        <v>1499</v>
      </c>
      <c r="H511" s="2" t="s">
        <v>688</v>
      </c>
      <c r="I511" s="2" t="str">
        <f>IFERROR(__xludf.DUMMYFUNCTION("GOOGLETRANSLATE(C511,""fr"",""en"")"),"After having read the general conditions of the contract ""11.4 The payment of services
The reimbursement of expenses is still established within 30 days of receipt of the necessary documents. The regulations are still made in France to the order of the "&amp;"member in the legal currency of the French State. ""I have asked for a refund since April 21 and no response from a person. On the phone is not the Break to try, on the cat we are told that it will be taken into account. So if the regulations are still es"&amp;"tablished within 30 days they do not comply with their obligations. I tried to send an email to know S ' Documents were missing in case and there the same answer. I quickly think terminated at the end of this year of contract.")</f>
        <v>After having read the general conditions of the contract "11.4 The payment of services
The reimbursement of expenses is still established within 30 days of receipt of the necessary documents. The regulations are still made in France to the order of the member in the legal currency of the French State. "I have asked for a refund since April 21 and no response from a person. On the phone is not the Break to try, on the cat we are told that it will be taken into account. So if the regulations are still established within 30 days they do not comply with their obligations. I tried to send an email to know S ' Documents were missing in case and there the same answer. I quickly think terminated at the end of this year of contract.</v>
      </c>
    </row>
    <row r="512" ht="15.75" customHeight="1">
      <c r="A512" s="2">
        <v>2.0</v>
      </c>
      <c r="B512" s="2" t="s">
        <v>1500</v>
      </c>
      <c r="C512" s="2" t="s">
        <v>1501</v>
      </c>
      <c r="D512" s="2" t="s">
        <v>391</v>
      </c>
      <c r="E512" s="2" t="s">
        <v>347</v>
      </c>
      <c r="F512" s="2" t="s">
        <v>15</v>
      </c>
      <c r="G512" s="2" t="s">
        <v>1502</v>
      </c>
      <c r="H512" s="2" t="s">
        <v>637</v>
      </c>
      <c r="I512" s="2" t="str">
        <f>IFERROR(__xludf.DUMMYFUNCTION("GOOGLETRANSLATE(C512,""fr"",""en"")"),"A repayment request for less than 60 euros in 3 years and refused because not sent in the month that followed
It seems that this is noted in the general conditions
Maybe it would be good to retort it on the care sheets
Conclusion I prefer to terminate "&amp;"because even if they are in their right it does not seem completely normal to me as a rule")</f>
        <v>A repayment request for less than 60 euros in 3 years and refused because not sent in the month that followed
It seems that this is noted in the general conditions
Maybe it would be good to retort it on the care sheets
Conclusion I prefer to terminate because even if they are in their right it does not seem completely normal to me as a rule</v>
      </c>
    </row>
    <row r="513" ht="15.75" customHeight="1">
      <c r="A513" s="2">
        <v>1.0</v>
      </c>
      <c r="B513" s="2" t="s">
        <v>1503</v>
      </c>
      <c r="C513" s="2" t="s">
        <v>1504</v>
      </c>
      <c r="D513" s="2" t="s">
        <v>107</v>
      </c>
      <c r="E513" s="2" t="s">
        <v>45</v>
      </c>
      <c r="F513" s="2" t="s">
        <v>15</v>
      </c>
      <c r="G513" s="2" t="s">
        <v>1505</v>
      </c>
      <c r="H513" s="2" t="s">
        <v>550</v>
      </c>
      <c r="I513" s="2" t="str">
        <f>IFERROR(__xludf.DUMMYFUNCTION("GOOGLETRANSLATE(C513,""fr"",""en"")"),"From the start I have only encountered problems with them. I had to wait a month before having my paid third -party card. When my daughter fell ill I did not receive additional reimbursement since they had not done the necessary. Since September 1, I have"&amp;" been waiting for a reimbursement of a physiotherapist. 2 emails sent, 3 calls made and I am promised a refund within 48 hours. Today, on October 22, no refund. They really take me for what I am not; I will block the samples and do as quickly as possible "&amp;"to leave. Do not make a contract with them ...... they are more than zero !!!!")</f>
        <v>From the start I have only encountered problems with them. I had to wait a month before having my paid third -party card. When my daughter fell ill I did not receive additional reimbursement since they had not done the necessary. Since September 1, I have been waiting for a reimbursement of a physiotherapist. 2 emails sent, 3 calls made and I am promised a refund within 48 hours. Today, on October 22, no refund. They really take me for what I am not; I will block the samples and do as quickly as possible to leave. Do not make a contract with them ...... they are more than zero !!!!</v>
      </c>
    </row>
    <row r="514" ht="15.75" customHeight="1">
      <c r="A514" s="2">
        <v>5.0</v>
      </c>
      <c r="B514" s="2" t="s">
        <v>1506</v>
      </c>
      <c r="C514" s="2" t="s">
        <v>1507</v>
      </c>
      <c r="D514" s="2" t="s">
        <v>35</v>
      </c>
      <c r="E514" s="2" t="s">
        <v>31</v>
      </c>
      <c r="F514" s="2" t="s">
        <v>15</v>
      </c>
      <c r="G514" s="2" t="s">
        <v>1508</v>
      </c>
      <c r="H514" s="2" t="s">
        <v>388</v>
      </c>
      <c r="I514" s="2" t="str">
        <f>IFERROR(__xludf.DUMMYFUNCTION("GOOGLETRANSLATE(C514,""fr"",""en"")"),"Hello, after several research in my city insurance firms I contacted AMV for a quote. Finally I insured myself at home without regret because they were able to listen to my expectations, the price is very interesting compared to the insurer contact in my "&amp;"city which offers overpriced prices because they do not want two wheels With them it is too much concern and offers you something more interesting for them that do not need.")</f>
        <v>Hello, after several research in my city insurance firms I contacted AMV for a quote. Finally I insured myself at home without regret because they were able to listen to my expectations, the price is very interesting compared to the insurer contact in my city which offers overpriced prices because they do not want two wheels With them it is too much concern and offers you something more interesting for them that do not need.</v>
      </c>
    </row>
    <row r="515" ht="15.75" customHeight="1">
      <c r="A515" s="2">
        <v>5.0</v>
      </c>
      <c r="B515" s="2" t="s">
        <v>1509</v>
      </c>
      <c r="C515" s="2" t="s">
        <v>1510</v>
      </c>
      <c r="D515" s="2" t="s">
        <v>25</v>
      </c>
      <c r="E515" s="2" t="s">
        <v>14</v>
      </c>
      <c r="F515" s="2" t="s">
        <v>15</v>
      </c>
      <c r="G515" s="2" t="s">
        <v>1511</v>
      </c>
      <c r="H515" s="2" t="s">
        <v>594</v>
      </c>
      <c r="I515" s="2" t="str">
        <f>IFERROR(__xludf.DUMMYFUNCTION("GOOGLETRANSLATE(C515,""fr"",""en"")"),"Really available customer service, and listening")</f>
        <v>Really available customer service, and listening</v>
      </c>
    </row>
    <row r="516" ht="15.75" customHeight="1">
      <c r="A516" s="2">
        <v>2.0</v>
      </c>
      <c r="B516" s="2" t="s">
        <v>1512</v>
      </c>
      <c r="C516" s="2" t="s">
        <v>1513</v>
      </c>
      <c r="D516" s="2" t="s">
        <v>35</v>
      </c>
      <c r="E516" s="2" t="s">
        <v>31</v>
      </c>
      <c r="F516" s="2" t="s">
        <v>15</v>
      </c>
      <c r="G516" s="2" t="s">
        <v>1514</v>
      </c>
      <c r="H516" s="2" t="s">
        <v>414</v>
      </c>
      <c r="I516" s="2" t="str">
        <f>IFERROR(__xludf.DUMMYFUNCTION("GOOGLETRANSLATE(C516,""fr"",""en"")"),"Insured for my motorcycle to the third party, I had a hanging with a car. All the twists are for this one. It happened on 1/01/017.
Since that date I am waiting to be compensated. Mesh reminders do not succeed, I am told AMV has not signed the IRSA agree"&amp;"ment so we must first wait for the opposing insurance to reimburse.
Conclusion I have been waiting for six months for the damage regulation and I have to make the advance of the repair costs.
Choose another insurer !!!!")</f>
        <v>Insured for my motorcycle to the third party, I had a hanging with a car. All the twists are for this one. It happened on 1/01/017.
Since that date I am waiting to be compensated. Mesh reminders do not succeed, I am told AMV has not signed the IRSA agreement so we must first wait for the opposing insurance to reimburse.
Conclusion I have been waiting for six months for the damage regulation and I have to make the advance of the repair costs.
Choose another insurer !!!!</v>
      </c>
    </row>
    <row r="517" ht="15.75" customHeight="1">
      <c r="A517" s="2">
        <v>5.0</v>
      </c>
      <c r="B517" s="2" t="s">
        <v>1515</v>
      </c>
      <c r="C517" s="2" t="s">
        <v>1516</v>
      </c>
      <c r="D517" s="2" t="s">
        <v>25</v>
      </c>
      <c r="E517" s="2" t="s">
        <v>14</v>
      </c>
      <c r="F517" s="2" t="s">
        <v>15</v>
      </c>
      <c r="G517" s="2" t="s">
        <v>1517</v>
      </c>
      <c r="H517" s="2" t="s">
        <v>17</v>
      </c>
      <c r="I517" s="2" t="str">
        <f>IFERROR(__xludf.DUMMYFUNCTION("GOOGLETRANSLATE(C517,""fr"",""en"")"),"Quick service and in accordance with expectations. Price significantly lower than other insurers. Clear and easy to use web interface. I recommend.")</f>
        <v>Quick service and in accordance with expectations. Price significantly lower than other insurers. Clear and easy to use web interface. I recommend.</v>
      </c>
    </row>
    <row r="518" ht="15.75" customHeight="1">
      <c r="A518" s="2">
        <v>5.0</v>
      </c>
      <c r="B518" s="2" t="s">
        <v>1518</v>
      </c>
      <c r="C518" s="2" t="s">
        <v>1519</v>
      </c>
      <c r="D518" s="2" t="s">
        <v>25</v>
      </c>
      <c r="E518" s="2" t="s">
        <v>14</v>
      </c>
      <c r="F518" s="2" t="s">
        <v>15</v>
      </c>
      <c r="G518" s="2" t="s">
        <v>1520</v>
      </c>
      <c r="H518" s="2" t="s">
        <v>84</v>
      </c>
      <c r="I518" s="2" t="str">
        <f>IFERROR(__xludf.DUMMYFUNCTION("GOOGLETRANSLATE(C518,""fr"",""en"")"),"Fast and effective . Very attractive price with good guarantees. I am very satisfied with this new subscription. More than waiting for the green card")</f>
        <v>Fast and effective . Very attractive price with good guarantees. I am very satisfied with this new subscription. More than waiting for the green card</v>
      </c>
    </row>
    <row r="519" ht="15.75" customHeight="1">
      <c r="A519" s="2">
        <v>2.0</v>
      </c>
      <c r="B519" s="2" t="s">
        <v>1521</v>
      </c>
      <c r="C519" s="2" t="s">
        <v>1522</v>
      </c>
      <c r="D519" s="2" t="s">
        <v>1058</v>
      </c>
      <c r="E519" s="2" t="s">
        <v>347</v>
      </c>
      <c r="F519" s="2" t="s">
        <v>15</v>
      </c>
      <c r="G519" s="2" t="s">
        <v>1523</v>
      </c>
      <c r="H519" s="2" t="s">
        <v>22</v>
      </c>
      <c r="I519" s="2" t="str">
        <f>IFERROR(__xludf.DUMMYFUNCTION("GOOGLETRANSLATE(C519,""fr"",""en"")"),"Null guarantees you are insured for nothing but for vaccination at 25 th
We end up with the subscription of a cheap contract but or the reimbursements are zero because you are insured for nothing, advisers who are there to sell you the contract but who o"&amp;"mit to report to you that all the interventions are not taken care of Employment, to flee, is better to pay more but with a tied contract, and at least on which you can count in the event of a tile")</f>
        <v>Null guarantees you are insured for nothing but for vaccination at 25 th
We end up with the subscription of a cheap contract but or the reimbursements are zero because you are insured for nothing, advisers who are there to sell you the contract but who omit to report to you that all the interventions are not taken care of Employment, to flee, is better to pay more but with a tied contract, and at least on which you can count in the event of a tile</v>
      </c>
    </row>
    <row r="520" ht="15.75" customHeight="1">
      <c r="A520" s="2">
        <v>5.0</v>
      </c>
      <c r="B520" s="2" t="s">
        <v>1524</v>
      </c>
      <c r="C520" s="2" t="s">
        <v>1525</v>
      </c>
      <c r="D520" s="2" t="s">
        <v>25</v>
      </c>
      <c r="E520" s="2" t="s">
        <v>14</v>
      </c>
      <c r="F520" s="2" t="s">
        <v>15</v>
      </c>
      <c r="G520" s="2" t="s">
        <v>1526</v>
      </c>
      <c r="H520" s="2" t="s">
        <v>120</v>
      </c>
      <c r="I520" s="2" t="str">
        <f>IFERROR(__xludf.DUMMYFUNCTION("GOOGLETRANSLATE(C520,""fr"",""en"")"),"Satisfied, for a young driver the price remains reasonable thank you to this insurance for the confidence to young people. I highly recommend for the moment
")</f>
        <v>Satisfied, for a young driver the price remains reasonable thank you to this insurance for the confidence to young people. I highly recommend for the moment
</v>
      </c>
    </row>
    <row r="521" ht="15.75" customHeight="1">
      <c r="A521" s="2">
        <v>4.0</v>
      </c>
      <c r="B521" s="2" t="s">
        <v>1527</v>
      </c>
      <c r="C521" s="2" t="s">
        <v>1528</v>
      </c>
      <c r="D521" s="2" t="s">
        <v>25</v>
      </c>
      <c r="E521" s="2" t="s">
        <v>14</v>
      </c>
      <c r="F521" s="2" t="s">
        <v>15</v>
      </c>
      <c r="G521" s="2" t="s">
        <v>1529</v>
      </c>
      <c r="H521" s="2" t="s">
        <v>109</v>
      </c>
      <c r="I521" s="2" t="str">
        <f>IFERROR(__xludf.DUMMYFUNCTION("GOOGLETRANSLATE(C521,""fr"",""en"")"),"I missed 10% discount due to an error.
I am disappointed I will have to cancel everything and start everything again.
The prices are very attractive nevertheless.")</f>
        <v>I missed 10% discount due to an error.
I am disappointed I will have to cancel everything and start everything again.
The prices are very attractive nevertheless.</v>
      </c>
    </row>
    <row r="522" ht="15.75" customHeight="1">
      <c r="A522" s="2">
        <v>5.0</v>
      </c>
      <c r="B522" s="2" t="s">
        <v>1530</v>
      </c>
      <c r="C522" s="2" t="s">
        <v>1531</v>
      </c>
      <c r="D522" s="2" t="s">
        <v>39</v>
      </c>
      <c r="E522" s="2" t="s">
        <v>14</v>
      </c>
      <c r="F522" s="2" t="s">
        <v>15</v>
      </c>
      <c r="G522" s="2" t="s">
        <v>1520</v>
      </c>
      <c r="H522" s="2" t="s">
        <v>84</v>
      </c>
      <c r="I522" s="2" t="str">
        <f>IFERROR(__xludf.DUMMYFUNCTION("GOOGLETRANSLATE(C522,""fr"",""en"")"),"Prices are suitable
I am happy
Thank you direct insurance
I will talk to everything really to everyone too much too well youpi youpi live direct ASS.
")</f>
        <v>Prices are suitable
I am happy
Thank you direct insurance
I will talk to everything really to everyone too much too well youpi youpi live direct ASS.
</v>
      </c>
    </row>
    <row r="523" ht="15.75" customHeight="1">
      <c r="A523" s="2">
        <v>2.0</v>
      </c>
      <c r="B523" s="2" t="s">
        <v>1532</v>
      </c>
      <c r="C523" s="2" t="s">
        <v>1533</v>
      </c>
      <c r="D523" s="2" t="s">
        <v>39</v>
      </c>
      <c r="E523" s="2" t="s">
        <v>14</v>
      </c>
      <c r="F523" s="2" t="s">
        <v>15</v>
      </c>
      <c r="G523" s="2" t="s">
        <v>1534</v>
      </c>
      <c r="H523" s="2" t="s">
        <v>113</v>
      </c>
      <c r="I523" s="2" t="str">
        <f>IFERROR(__xludf.DUMMYFUNCTION("GOOGLETRANSLATE(C523,""fr"",""en"")"),"I always wait for my green card, after two reminders by email I still have no answers.
I work during the day and 7 days a week and I don't have time to contact you by phone.")</f>
        <v>I always wait for my green card, after two reminders by email I still have no answers.
I work during the day and 7 days a week and I don't have time to contact you by phone.</v>
      </c>
    </row>
    <row r="524" ht="15.75" customHeight="1">
      <c r="A524" s="2">
        <v>4.0</v>
      </c>
      <c r="B524" s="2" t="s">
        <v>1535</v>
      </c>
      <c r="C524" s="2" t="s">
        <v>1536</v>
      </c>
      <c r="D524" s="2" t="s">
        <v>39</v>
      </c>
      <c r="E524" s="2" t="s">
        <v>14</v>
      </c>
      <c r="F524" s="2" t="s">
        <v>15</v>
      </c>
      <c r="G524" s="2" t="s">
        <v>707</v>
      </c>
      <c r="H524" s="2" t="s">
        <v>17</v>
      </c>
      <c r="I524" s="2" t="str">
        <f>IFERROR(__xludf.DUMMYFUNCTION("GOOGLETRANSLATE(C524,""fr"",""en"")"),"Satisfactory price but why the advisers do not understand why we can have two cars in mm time .... mystery it is not difficult to understand this")</f>
        <v>Satisfactory price but why the advisers do not understand why we can have two cars in mm time .... mystery it is not difficult to understand this</v>
      </c>
    </row>
    <row r="525" ht="15.75" customHeight="1">
      <c r="A525" s="2">
        <v>5.0</v>
      </c>
      <c r="B525" s="2" t="s">
        <v>1537</v>
      </c>
      <c r="C525" s="2" t="s">
        <v>1538</v>
      </c>
      <c r="D525" s="2" t="s">
        <v>39</v>
      </c>
      <c r="E525" s="2" t="s">
        <v>14</v>
      </c>
      <c r="F525" s="2" t="s">
        <v>15</v>
      </c>
      <c r="G525" s="2" t="s">
        <v>141</v>
      </c>
      <c r="H525" s="2" t="s">
        <v>84</v>
      </c>
      <c r="I525" s="2" t="str">
        <f>IFERROR(__xludf.DUMMYFUNCTION("GOOGLETRANSLATE(C525,""fr"",""en"")"),"I am satisfied with the service the prices suit me it's great I'm satisfied it's great thank you prices I'm satisfied it's great thank you the prices")</f>
        <v>I am satisfied with the service the prices suit me it's great I'm satisfied it's great thank you prices I'm satisfied it's great thank you the prices</v>
      </c>
    </row>
    <row r="526" ht="15.75" customHeight="1">
      <c r="A526" s="2">
        <v>1.0</v>
      </c>
      <c r="B526" s="2" t="s">
        <v>1539</v>
      </c>
      <c r="C526" s="2" t="s">
        <v>1540</v>
      </c>
      <c r="D526" s="2" t="s">
        <v>361</v>
      </c>
      <c r="E526" s="2" t="s">
        <v>50</v>
      </c>
      <c r="F526" s="2" t="s">
        <v>15</v>
      </c>
      <c r="G526" s="2" t="s">
        <v>1541</v>
      </c>
      <c r="H526" s="2" t="s">
        <v>688</v>
      </c>
      <c r="I526" s="2" t="str">
        <f>IFERROR(__xludf.DUMMYFUNCTION("GOOGLETRANSLATE(C526,""fr"",""en"")"),"January 27: burglary. A window and a solid oak door (late 19th century house) attacked at the foot of the doe.
February 27: quote transmitted to the MAIF for partial replacement of the door (without the permanent impostrium) identically in oak and replac"&amp;"ement of the window identically to ""sheep and wolf mouth"" in oak. Amount 5,417 euros.
March 26: The expert decrees that instead of being partially replaced, my venerable door in solid oak can be tinkered with wood dough. She decrees that the work can b"&amp;"e done for 3,472 euros and offers me this amount as compensation. I have to sign acceptance right away otherwise ""it will block my file"" ... I refuse to sign acceptance and I confirm that nothing is happening. As of June 6, 130 days after burglary, the "&amp;"management of this disaster is at a standstill.")</f>
        <v>January 27: burglary. A window and a solid oak door (late 19th century house) attacked at the foot of the doe.
February 27: quote transmitted to the MAIF for partial replacement of the door (without the permanent impostrium) identically in oak and replacement of the window identically to "sheep and wolf mouth" in oak. Amount 5,417 euros.
March 26: The expert decrees that instead of being partially replaced, my venerable door in solid oak can be tinkered with wood dough. She decrees that the work can be done for 3,472 euros and offers me this amount as compensation. I have to sign acceptance right away otherwise "it will block my file" ... I refuse to sign acceptance and I confirm that nothing is happening. As of June 6, 130 days after burglary, the management of this disaster is at a standstill.</v>
      </c>
    </row>
    <row r="527" ht="15.75" customHeight="1">
      <c r="A527" s="2">
        <v>5.0</v>
      </c>
      <c r="B527" s="2" t="s">
        <v>1542</v>
      </c>
      <c r="C527" s="2" t="s">
        <v>1543</v>
      </c>
      <c r="D527" s="2" t="s">
        <v>25</v>
      </c>
      <c r="E527" s="2" t="s">
        <v>14</v>
      </c>
      <c r="F527" s="2" t="s">
        <v>15</v>
      </c>
      <c r="G527" s="2" t="s">
        <v>1267</v>
      </c>
      <c r="H527" s="2" t="s">
        <v>84</v>
      </c>
      <c r="I527" s="2" t="str">
        <f>IFERROR(__xludf.DUMMYFUNCTION("GOOGLETRANSLATE(C527,""fr"",""en"")"),"I have just subscribed today very satisfied with services and prices and very well received by phone the Romanesque advisor is very effective and professional")</f>
        <v>I have just subscribed today very satisfied with services and prices and very well received by phone the Romanesque advisor is very effective and professional</v>
      </c>
    </row>
    <row r="528" ht="15.75" customHeight="1">
      <c r="A528" s="2">
        <v>4.0</v>
      </c>
      <c r="B528" s="2" t="s">
        <v>1544</v>
      </c>
      <c r="C528" s="2" t="s">
        <v>1545</v>
      </c>
      <c r="D528" s="2" t="s">
        <v>39</v>
      </c>
      <c r="E528" s="2" t="s">
        <v>14</v>
      </c>
      <c r="F528" s="2" t="s">
        <v>15</v>
      </c>
      <c r="G528" s="2" t="s">
        <v>17</v>
      </c>
      <c r="H528" s="2" t="s">
        <v>17</v>
      </c>
      <c r="I528" s="2" t="str">
        <f>IFERROR(__xludf.DUMMYFUNCTION("GOOGLETRANSLATE(C528,""fr"",""en"")"),"I sastified but I have an offer for a new contract and I would like it to be applicable for this contract. I lost the code you sent me.
Thanks in advance")</f>
        <v>I sastified but I have an offer for a new contract and I would like it to be applicable for this contract. I lost the code you sent me.
Thanks in advance</v>
      </c>
    </row>
    <row r="529" ht="15.75" customHeight="1">
      <c r="A529" s="2">
        <v>4.0</v>
      </c>
      <c r="B529" s="2" t="s">
        <v>1546</v>
      </c>
      <c r="C529" s="2" t="s">
        <v>1547</v>
      </c>
      <c r="D529" s="2" t="s">
        <v>39</v>
      </c>
      <c r="E529" s="2" t="s">
        <v>14</v>
      </c>
      <c r="F529" s="2" t="s">
        <v>15</v>
      </c>
      <c r="G529" s="2" t="s">
        <v>1548</v>
      </c>
      <c r="H529" s="2" t="s">
        <v>17</v>
      </c>
      <c r="I529" s="2" t="str">
        <f>IFERROR(__xludf.DUMMYFUNCTION("GOOGLETRANSLATE(C529,""fr"",""en"")"),"I am satisfied with the service
The prices all seem to me to be correct
I find the site simple and practical
Thank you all the team for your work")</f>
        <v>I am satisfied with the service
The prices all seem to me to be correct
I find the site simple and practical
Thank you all the team for your work</v>
      </c>
    </row>
    <row r="530" ht="15.75" customHeight="1">
      <c r="A530" s="2">
        <v>4.0</v>
      </c>
      <c r="B530" s="2" t="s">
        <v>1549</v>
      </c>
      <c r="C530" s="2" t="s">
        <v>1550</v>
      </c>
      <c r="D530" s="2" t="s">
        <v>39</v>
      </c>
      <c r="E530" s="2" t="s">
        <v>14</v>
      </c>
      <c r="F530" s="2" t="s">
        <v>15</v>
      </c>
      <c r="G530" s="2" t="s">
        <v>205</v>
      </c>
      <c r="H530" s="2" t="s">
        <v>101</v>
      </c>
      <c r="I530" s="2" t="str">
        <f>IFERROR(__xludf.DUMMYFUNCTION("GOOGLETRANSLATE(C530,""fr"",""en"")"),"The price is attractive
The application facilitates communication
need to add the possibility of having the spouse's bonus
Need to add a sponsorship bonus for adding other people")</f>
        <v>The price is attractive
The application facilitates communication
need to add the possibility of having the spouse's bonus
Need to add a sponsorship bonus for adding other people</v>
      </c>
    </row>
    <row r="531" ht="15.75" customHeight="1">
      <c r="A531" s="2">
        <v>1.0</v>
      </c>
      <c r="B531" s="2" t="s">
        <v>1551</v>
      </c>
      <c r="C531" s="2" t="s">
        <v>1552</v>
      </c>
      <c r="D531" s="2" t="s">
        <v>361</v>
      </c>
      <c r="E531" s="2" t="s">
        <v>50</v>
      </c>
      <c r="F531" s="2" t="s">
        <v>15</v>
      </c>
      <c r="G531" s="2" t="s">
        <v>642</v>
      </c>
      <c r="H531" s="2" t="s">
        <v>73</v>
      </c>
      <c r="I531" s="2" t="str">
        <f>IFERROR(__xludf.DUMMYFUNCTION("GOOGLETRANSLATE(C531,""fr"",""en"")"),"Sinister Habitation Suite Drought. Very long time for expertise. Refusal for a reason which is neither in the general nor particular conditions and which calls into question the quality of the work when for 18 years we had had no problem and had not neede"&amp;"d to play the mason's")</f>
        <v>Sinister Habitation Suite Drought. Very long time for expertise. Refusal for a reason which is neither in the general nor particular conditions and which calls into question the quality of the work when for 18 years we had had no problem and had not needed to play the mason's</v>
      </c>
    </row>
    <row r="532" ht="15.75" customHeight="1">
      <c r="A532" s="2">
        <v>1.0</v>
      </c>
      <c r="B532" s="2" t="s">
        <v>1553</v>
      </c>
      <c r="C532" s="2" t="s">
        <v>1554</v>
      </c>
      <c r="D532" s="2" t="s">
        <v>55</v>
      </c>
      <c r="E532" s="2" t="s">
        <v>14</v>
      </c>
      <c r="F532" s="2" t="s">
        <v>15</v>
      </c>
      <c r="G532" s="2" t="s">
        <v>1555</v>
      </c>
      <c r="H532" s="2" t="s">
        <v>1036</v>
      </c>
      <c r="I532" s="2" t="str">
        <f>IFERROR(__xludf.DUMMYFUNCTION("GOOGLETRANSLATE(C532,""fr"",""en"")"),"Do not take out insurance at Eurofil because the only concern for this insurance is to make money on your back and turn to the first small incident.
Customer for more than 10 years without ever any accident, I had in 2 years 2 broken breezes and a door d"&amp;"amaged by a sidewalk. So Eurofil simply terminated me without ever warning me. They tell me having sent a recommended that of course I have never received and when I ask for the proof of course they do not have it. I just had the right to hear me say that"&amp;" the insurer also has the right to terminate a contract without giving the explanations! Nice as a loyalty reward !!")</f>
        <v>Do not take out insurance at Eurofil because the only concern for this insurance is to make money on your back and turn to the first small incident.
Customer for more than 10 years without ever any accident, I had in 2 years 2 broken breezes and a door damaged by a sidewalk. So Eurofil simply terminated me without ever warning me. They tell me having sent a recommended that of course I have never received and when I ask for the proof of course they do not have it. I just had the right to hear me say that the insurer also has the right to terminate a contract without giving the explanations! Nice as a loyalty reward !!</v>
      </c>
    </row>
    <row r="533" ht="15.75" customHeight="1">
      <c r="A533" s="2">
        <v>1.0</v>
      </c>
      <c r="B533" s="2" t="s">
        <v>1556</v>
      </c>
      <c r="C533" s="2" t="s">
        <v>1557</v>
      </c>
      <c r="D533" s="2" t="s">
        <v>39</v>
      </c>
      <c r="E533" s="2" t="s">
        <v>14</v>
      </c>
      <c r="F533" s="2" t="s">
        <v>15</v>
      </c>
      <c r="G533" s="2" t="s">
        <v>1558</v>
      </c>
      <c r="H533" s="2" t="s">
        <v>309</v>
      </c>
      <c r="I533" s="2" t="str">
        <f>IFERROR(__xludf.DUMMYFUNCTION("GOOGLETRANSLATE(C533,""fr"",""en"")"),"Run away !!! Mediocre insurance !! Customer service based abroad who always repeats us the same speech they are never aware of anything, do not keep their promise of recall, rudeness of those responsible. They drag the claims files for more than 1 month b"&amp;"y looking for an excuse as best they can pay the claim and terminate the contract !!")</f>
        <v>Run away !!! Mediocre insurance !! Customer service based abroad who always repeats us the same speech they are never aware of anything, do not keep their promise of recall, rudeness of those responsible. They drag the claims files for more than 1 month by looking for an excuse as best they can pay the claim and terminate the contract !!</v>
      </c>
    </row>
    <row r="534" ht="15.75" customHeight="1">
      <c r="A534" s="2">
        <v>4.0</v>
      </c>
      <c r="B534" s="2" t="s">
        <v>1559</v>
      </c>
      <c r="C534" s="2" t="s">
        <v>1560</v>
      </c>
      <c r="D534" s="2" t="s">
        <v>241</v>
      </c>
      <c r="E534" s="2" t="s">
        <v>45</v>
      </c>
      <c r="F534" s="2" t="s">
        <v>15</v>
      </c>
      <c r="G534" s="2" t="s">
        <v>1561</v>
      </c>
      <c r="H534" s="2" t="s">
        <v>238</v>
      </c>
      <c r="I534" s="2" t="str">
        <f>IFERROR(__xludf.DUMMYFUNCTION("GOOGLETRANSLATE(C534,""fr"",""en"")"),"MGP customer, I am satisfied with the service and the price offered.
However, my employer (a local authority) offers a monthly participation up to € 15 for a contract subscribed with a labeled mutual insurance company (under a 2011 decree), unfortunately"&amp;" the MGP has not been since 2017.
It would be a shame if the MGP loses its competitiveness and is lost a leading place on the prices proposed for unrepected labeling when we see that employers engage in the increase in social participations for their emp"&amp;"loyees.
Can we hope to open a dialogue in this direction?")</f>
        <v>MGP customer, I am satisfied with the service and the price offered.
However, my employer (a local authority) offers a monthly participation up to € 15 for a contract subscribed with a labeled mutual insurance company (under a 2011 decree), unfortunately the MGP has not been since 2017.
It would be a shame if the MGP loses its competitiveness and is lost a leading place on the prices proposed for unrepected labeling when we see that employers engage in the increase in social participations for their employees.
Can we hope to open a dialogue in this direction?</v>
      </c>
    </row>
    <row r="535" ht="15.75" customHeight="1">
      <c r="A535" s="2">
        <v>3.0</v>
      </c>
      <c r="B535" s="2" t="s">
        <v>1562</v>
      </c>
      <c r="C535" s="2" t="s">
        <v>1563</v>
      </c>
      <c r="D535" s="2" t="s">
        <v>13</v>
      </c>
      <c r="E535" s="2" t="s">
        <v>14</v>
      </c>
      <c r="F535" s="2" t="s">
        <v>15</v>
      </c>
      <c r="G535" s="2" t="s">
        <v>1564</v>
      </c>
      <c r="H535" s="2" t="s">
        <v>987</v>
      </c>
      <c r="I535" s="2" t="str">
        <f>IFERROR(__xludf.DUMMYFUNCTION("GOOGLETRANSLATE(C535,""fr"",""en"")"),"My car burned on April 24, 2020, certainly it is a bad date due to confinement, but I have not chosen it, since it has been impossible to join the managers of my disaster, everyone is on telework and unreachable From morning to evening, I am left without "&amp;"any news. Every 15 days I need to fight to have a Car Pacifica loan car subcontracted, and no one is in tune, last novelty: I am assured of any full risk with reimbursement value of my vehicle for 3 years , my vehicle was 1 and a half, so you might think "&amp;"that Pacifica was going to reimburse me, but no they incriminate the manufacturer, and leaves me without reimbursement, it's been a month since it lasts. Pacifica is the assurance to avoid absolutely !!!")</f>
        <v>My car burned on April 24, 2020, certainly it is a bad date due to confinement, but I have not chosen it, since it has been impossible to join the managers of my disaster, everyone is on telework and unreachable From morning to evening, I am left without any news. Every 15 days I need to fight to have a Car Pacifica loan car subcontracted, and no one is in tune, last novelty: I am assured of any full risk with reimbursement value of my vehicle for 3 years , my vehicle was 1 and a half, so you might think that Pacifica was going to reimburse me, but no they incriminate the manufacturer, and leaves me without reimbursement, it's been a month since it lasts. Pacifica is the assurance to avoid absolutely !!!</v>
      </c>
    </row>
    <row r="536" ht="15.75" customHeight="1">
      <c r="A536" s="2">
        <v>2.0</v>
      </c>
      <c r="B536" s="2" t="s">
        <v>1565</v>
      </c>
      <c r="C536" s="2" t="s">
        <v>1566</v>
      </c>
      <c r="D536" s="2" t="s">
        <v>67</v>
      </c>
      <c r="E536" s="2" t="s">
        <v>14</v>
      </c>
      <c r="F536" s="2" t="s">
        <v>15</v>
      </c>
      <c r="G536" s="2" t="s">
        <v>1567</v>
      </c>
      <c r="H536" s="2" t="s">
        <v>414</v>
      </c>
      <c r="I536" s="2" t="str">
        <f>IFERROR(__xludf.DUMMYFUNCTION("GOOGLETRANSLATE(C536,""fr"",""en"")"),"After 46 years at GMF. Very disappointed with their attitude. I expect their proposals to come back. (I will also see the competition).")</f>
        <v>After 46 years at GMF. Very disappointed with their attitude. I expect their proposals to come back. (I will also see the competition).</v>
      </c>
    </row>
    <row r="537" ht="15.75" customHeight="1">
      <c r="A537" s="2">
        <v>4.0</v>
      </c>
      <c r="B537" s="2" t="s">
        <v>1568</v>
      </c>
      <c r="C537" s="2" t="s">
        <v>1569</v>
      </c>
      <c r="D537" s="2" t="s">
        <v>39</v>
      </c>
      <c r="E537" s="2" t="s">
        <v>14</v>
      </c>
      <c r="F537" s="2" t="s">
        <v>15</v>
      </c>
      <c r="G537" s="2" t="s">
        <v>104</v>
      </c>
      <c r="H537" s="2" t="s">
        <v>84</v>
      </c>
      <c r="I537" s="2" t="str">
        <f>IFERROR(__xludf.DUMMYFUNCTION("GOOGLETRANSLATE(C537,""fr"",""en"")"),"Great very suitable price very attractive very good guarantees
Quick and simple registration
I would recommend direct insurance to those around me
Thank you")</f>
        <v>Great very suitable price very attractive very good guarantees
Quick and simple registration
I would recommend direct insurance to those around me
Thank you</v>
      </c>
    </row>
    <row r="538" ht="15.75" customHeight="1">
      <c r="A538" s="2">
        <v>1.0</v>
      </c>
      <c r="B538" s="2" t="s">
        <v>1570</v>
      </c>
      <c r="C538" s="2" t="s">
        <v>1571</v>
      </c>
      <c r="D538" s="2" t="s">
        <v>1058</v>
      </c>
      <c r="E538" s="2" t="s">
        <v>347</v>
      </c>
      <c r="F538" s="2" t="s">
        <v>15</v>
      </c>
      <c r="G538" s="2" t="s">
        <v>1572</v>
      </c>
      <c r="H538" s="2" t="s">
        <v>198</v>
      </c>
      <c r="I538" s="2" t="str">
        <f>IFERROR(__xludf.DUMMYFUNCTION("GOOGLETRANSLATE(C538,""fr"",""en"")"),"I absolutely do not recommend this insurance!
I subscribe to the internet insurance which following this, an advisor calls me to confirm the information I had provided and tell me that at the end of my contract I have the last two months offered.
Arrive"&amp;"s at the end of my contract (with letter of termination made before and they do not want to take into account as long as) do not want to make me the two months offered because the commercial called me so I am not Not the offer via the internet subscriptio"&amp;"n.
What more has my dog ​​is made of a pathology (not supported but I knew it) the more castration. Apart from castration they did not even cook the drug fees plus the day at the veterinary clinic of which I had the right to care !!
To flee absolutely"&amp;" !!! To take the samples there they are strong but when there is no one more and no way to chat with them !! They don't want to know anything or recognize their mistakes (following the 2 months offered)
")</f>
        <v>I absolutely do not recommend this insurance!
I subscribe to the internet insurance which following this, an advisor calls me to confirm the information I had provided and tell me that at the end of my contract I have the last two months offered.
Arrives at the end of my contract (with letter of termination made before and they do not want to take into account as long as) do not want to make me the two months offered because the commercial called me so I am not Not the offer via the internet subscription.
What more has my dog ​​is made of a pathology (not supported but I knew it) the more castration. Apart from castration they did not even cook the drug fees plus the day at the veterinary clinic of which I had the right to care !!
To flee absolutely !!! To take the samples there they are strong but when there is no one more and no way to chat with them !! They don't want to know anything or recognize their mistakes (following the 2 months offered)
</v>
      </c>
    </row>
    <row r="539" ht="15.75" customHeight="1">
      <c r="A539" s="2">
        <v>1.0</v>
      </c>
      <c r="B539" s="2" t="s">
        <v>1573</v>
      </c>
      <c r="C539" s="2" t="s">
        <v>1574</v>
      </c>
      <c r="D539" s="2" t="s">
        <v>346</v>
      </c>
      <c r="E539" s="2" t="s">
        <v>347</v>
      </c>
      <c r="F539" s="2" t="s">
        <v>15</v>
      </c>
      <c r="G539" s="2" t="s">
        <v>1575</v>
      </c>
      <c r="H539" s="2" t="s">
        <v>987</v>
      </c>
      <c r="I539" s="2" t="str">
        <f>IFERROR(__xludf.DUMMYFUNCTION("GOOGLETRANSLATE(C539,""fr"",""en"")")," Insurance on the side. On the advice of a colleague I call to confirm my quote and the Patatraque.")</f>
        <v> Insurance on the side. On the advice of a colleague I call to confirm my quote and the Patatraque.</v>
      </c>
    </row>
    <row r="540" ht="15.75" customHeight="1">
      <c r="A540" s="2">
        <v>2.0</v>
      </c>
      <c r="B540" s="2" t="s">
        <v>1576</v>
      </c>
      <c r="C540" s="2" t="s">
        <v>1577</v>
      </c>
      <c r="D540" s="2" t="s">
        <v>39</v>
      </c>
      <c r="E540" s="2" t="s">
        <v>14</v>
      </c>
      <c r="F540" s="2" t="s">
        <v>15</v>
      </c>
      <c r="G540" s="2" t="s">
        <v>488</v>
      </c>
      <c r="H540" s="2" t="s">
        <v>109</v>
      </c>
      <c r="I540" s="2" t="str">
        <f>IFERROR(__xludf.DUMMYFUNCTION("GOOGLETRANSLATE(C540,""fr"",""en"")"),"I am very satisfied with the service, it is just a shame to increase the prices each year because it forces us to juggle with another insurance company then return to your home to benefit again from a super price but it is the insurance games.")</f>
        <v>I am very satisfied with the service, it is just a shame to increase the prices each year because it forces us to juggle with another insurance company then return to your home to benefit again from a super price but it is the insurance games.</v>
      </c>
    </row>
    <row r="541" ht="15.75" customHeight="1">
      <c r="A541" s="2">
        <v>2.0</v>
      </c>
      <c r="B541" s="2" t="s">
        <v>1578</v>
      </c>
      <c r="C541" s="2" t="s">
        <v>1579</v>
      </c>
      <c r="D541" s="2" t="s">
        <v>20</v>
      </c>
      <c r="E541" s="2" t="s">
        <v>31</v>
      </c>
      <c r="F541" s="2" t="s">
        <v>15</v>
      </c>
      <c r="G541" s="2" t="s">
        <v>1580</v>
      </c>
      <c r="H541" s="2" t="s">
        <v>212</v>
      </c>
      <c r="I541" s="2" t="str">
        <f>IFERROR(__xludf.DUMMYFUNCTION("GOOGLETRANSLATE(C541,""fr"",""en"")"),"Client for 14 years Contract Housing Mutual Mutual Insurance Death insurance with 0 claims in 12 years I am terminated following 2 self -loss in 2 years.
Insurance to flee !!!!! As long as you have no claim no problem to collect contributions on the othe"&amp;"r hand as soon as you need to make your insurance work, we give you back ... Insurance should not be precisely present in the context of life accident etc ..?
Take into account the insured's journey over 15 years? Because in a life it can happen to have "&amp;"2 close claims.
Please do not answer me with your automatic message to give the illusion that you your sales department in and one !!!!!")</f>
        <v>Client for 14 years Contract Housing Mutual Mutual Insurance Death insurance with 0 claims in 12 years I am terminated following 2 self -loss in 2 years.
Insurance to flee !!!!! As long as you have no claim no problem to collect contributions on the other hand as soon as you need to make your insurance work, we give you back ... Insurance should not be precisely present in the context of life accident etc ..?
Take into account the insured's journey over 15 years? Because in a life it can happen to have 2 close claims.
Please do not answer me with your automatic message to give the illusion that you your sales department in and one !!!!!</v>
      </c>
    </row>
    <row r="542" ht="15.75" customHeight="1">
      <c r="A542" s="2">
        <v>5.0</v>
      </c>
      <c r="B542" s="2" t="s">
        <v>1581</v>
      </c>
      <c r="C542" s="2" t="s">
        <v>1582</v>
      </c>
      <c r="D542" s="2" t="s">
        <v>25</v>
      </c>
      <c r="E542" s="2" t="s">
        <v>14</v>
      </c>
      <c r="F542" s="2" t="s">
        <v>15</v>
      </c>
      <c r="G542" s="2" t="s">
        <v>100</v>
      </c>
      <c r="H542" s="2" t="s">
        <v>101</v>
      </c>
      <c r="I542" s="2" t="str">
        <f>IFERROR(__xludf.DUMMYFUNCTION("GOOGLETRANSLATE(C542,""fr"",""en"")"),"I am satisfied with the prices and the staff are very friendly and kind by phone. My old insurance offer me 160 €/month and with the insurance olive tree I pay € 75!")</f>
        <v>I am satisfied with the prices and the staff are very friendly and kind by phone. My old insurance offer me 160 €/month and with the insurance olive tree I pay € 75!</v>
      </c>
    </row>
    <row r="543" ht="15.75" customHeight="1">
      <c r="A543" s="2">
        <v>1.0</v>
      </c>
      <c r="B543" s="2" t="s">
        <v>1583</v>
      </c>
      <c r="C543" s="2" t="s">
        <v>1584</v>
      </c>
      <c r="D543" s="2" t="s">
        <v>87</v>
      </c>
      <c r="E543" s="2" t="s">
        <v>14</v>
      </c>
      <c r="F543" s="2" t="s">
        <v>15</v>
      </c>
      <c r="G543" s="2" t="s">
        <v>1585</v>
      </c>
      <c r="H543" s="2" t="s">
        <v>330</v>
      </c>
      <c r="I543" s="2" t="str">
        <f>IFERROR(__xludf.DUMMYFUNCTION("GOOGLETRANSLATE(C543,""fr"",""en"")"),"The response times when sending the document are very long. They sometimes ask for additional documents and have it is forced to call a paying number to have information.
Likewise to declare a disaster!
To avoid strongly!")</f>
        <v>The response times when sending the document are very long. They sometimes ask for additional documents and have it is forced to call a paying number to have information.
Likewise to declare a disaster!
To avoid strongly!</v>
      </c>
    </row>
    <row r="544" ht="15.75" customHeight="1">
      <c r="A544" s="2">
        <v>2.0</v>
      </c>
      <c r="B544" s="2" t="s">
        <v>1586</v>
      </c>
      <c r="C544" s="2" t="s">
        <v>1587</v>
      </c>
      <c r="D544" s="2" t="s">
        <v>219</v>
      </c>
      <c r="E544" s="2" t="s">
        <v>96</v>
      </c>
      <c r="F544" s="2" t="s">
        <v>15</v>
      </c>
      <c r="G544" s="2" t="s">
        <v>1588</v>
      </c>
      <c r="H544" s="2" t="s">
        <v>159</v>
      </c>
      <c r="I544" s="2" t="str">
        <f>IFERROR(__xludf.DUMMYFUNCTION("GOOGLETRANSLATE(C544,""fr"",""en"")"),"Not at the height I am very disappointed on a placement where I was badly advised and after losing a lot of money I was just answered that it could be worse")</f>
        <v>Not at the height I am very disappointed on a placement where I was badly advised and after losing a lot of money I was just answered that it could be worse</v>
      </c>
    </row>
    <row r="545" ht="15.75" customHeight="1">
      <c r="A545" s="2">
        <v>2.0</v>
      </c>
      <c r="B545" s="2" t="s">
        <v>1589</v>
      </c>
      <c r="C545" s="2" t="s">
        <v>1590</v>
      </c>
      <c r="D545" s="2" t="s">
        <v>731</v>
      </c>
      <c r="E545" s="2" t="s">
        <v>233</v>
      </c>
      <c r="F545" s="2" t="s">
        <v>15</v>
      </c>
      <c r="G545" s="2" t="s">
        <v>354</v>
      </c>
      <c r="H545" s="2" t="s">
        <v>77</v>
      </c>
      <c r="I545" s="2" t="str">
        <f>IFERROR(__xludf.DUMMYFUNCTION("GOOGLETRANSLATE(C545,""fr"",""en"")"),"Catastrophic dependence insurance to make it trigger during a heavy dependence.
No possibility of having a file manager, only a standardist responds to requests.
After 5 months of trigger the claim, no information transmitted on the file despite multipl"&amp;"e letters and calls.
No payment made by the CNP after 5 months.
To flee .")</f>
        <v>Catastrophic dependence insurance to make it trigger during a heavy dependence.
No possibility of having a file manager, only a standardist responds to requests.
After 5 months of trigger the claim, no information transmitted on the file despite multiple letters and calls.
No payment made by the CNP after 5 months.
To flee .</v>
      </c>
    </row>
    <row r="546" ht="15.75" customHeight="1">
      <c r="A546" s="2">
        <v>1.0</v>
      </c>
      <c r="B546" s="2" t="s">
        <v>1591</v>
      </c>
      <c r="C546" s="2" t="s">
        <v>1592</v>
      </c>
      <c r="D546" s="2" t="s">
        <v>1593</v>
      </c>
      <c r="E546" s="2" t="s">
        <v>347</v>
      </c>
      <c r="F546" s="2" t="s">
        <v>15</v>
      </c>
      <c r="G546" s="2" t="s">
        <v>278</v>
      </c>
      <c r="H546" s="2" t="s">
        <v>109</v>
      </c>
      <c r="I546" s="2" t="str">
        <f>IFERROR(__xludf.DUMMYFUNCTION("GOOGLETRANSLATE(C546,""fr"",""en"")"),"No reimbursements for 6 months that we have been at home there is always something that is not going so as not to reimburse the care on our dog.")</f>
        <v>No reimbursements for 6 months that we have been at home there is always something that is not going so as not to reimburse the care on our dog.</v>
      </c>
    </row>
    <row r="547" ht="15.75" customHeight="1">
      <c r="A547" s="2">
        <v>2.0</v>
      </c>
      <c r="B547" s="2" t="s">
        <v>1594</v>
      </c>
      <c r="C547" s="2" t="s">
        <v>1595</v>
      </c>
      <c r="D547" s="2" t="s">
        <v>87</v>
      </c>
      <c r="E547" s="2" t="s">
        <v>14</v>
      </c>
      <c r="F547" s="2" t="s">
        <v>15</v>
      </c>
      <c r="G547" s="2" t="s">
        <v>1237</v>
      </c>
      <c r="H547" s="2" t="s">
        <v>539</v>
      </c>
      <c r="I547" s="2" t="str">
        <f>IFERROR(__xludf.DUMMYFUNCTION("GOOGLETRANSLATE(C547,""fr"",""en"")"),"I am (or have been) customer of various online insurance companies for a very long time (car insurance). I signed a contract for the first time with Active Insurance in June 2018")</f>
        <v>I am (or have been) customer of various online insurance companies for a very long time (car insurance). I signed a contract for the first time with Active Insurance in June 2018</v>
      </c>
    </row>
    <row r="548" ht="15.75" customHeight="1">
      <c r="A548" s="2">
        <v>1.0</v>
      </c>
      <c r="B548" s="2" t="s">
        <v>1596</v>
      </c>
      <c r="C548" s="2" t="s">
        <v>1597</v>
      </c>
      <c r="D548" s="2" t="s">
        <v>391</v>
      </c>
      <c r="E548" s="2" t="s">
        <v>347</v>
      </c>
      <c r="F548" s="2" t="s">
        <v>15</v>
      </c>
      <c r="G548" s="2" t="s">
        <v>732</v>
      </c>
      <c r="H548" s="2" t="s">
        <v>424</v>
      </c>
      <c r="I548" s="2" t="str">
        <f>IFERROR(__xludf.DUMMYFUNCTION("GOOGLETRANSLATE(C548,""fr"",""en"")"),"I am assured for my cat, I pay 19 €/month and in January I am levy 32 € so I inquire and I am told that it is in relation to the frequency where the animal comes so it is useless 'Having this insurance, I wanted to terminate but I cannot before 12/31/21, "&amp;"I am very angry, I find it inadmissible")</f>
        <v>I am assured for my cat, I pay 19 €/month and in January I am levy 32 € so I inquire and I am told that it is in relation to the frequency where the animal comes so it is useless 'Having this insurance, I wanted to terminate but I cannot before 12/31/21, I am very angry, I find it inadmissible</v>
      </c>
    </row>
    <row r="549" ht="15.75" customHeight="1">
      <c r="A549" s="2">
        <v>1.0</v>
      </c>
      <c r="B549" s="2" t="s">
        <v>1598</v>
      </c>
      <c r="C549" s="2" t="s">
        <v>1599</v>
      </c>
      <c r="D549" s="2" t="s">
        <v>398</v>
      </c>
      <c r="E549" s="2" t="s">
        <v>45</v>
      </c>
      <c r="F549" s="2" t="s">
        <v>15</v>
      </c>
      <c r="G549" s="2" t="s">
        <v>583</v>
      </c>
      <c r="H549" s="2" t="s">
        <v>476</v>
      </c>
      <c r="I549" s="2" t="str">
        <f>IFERROR(__xludf.DUMMYFUNCTION("GOOGLETRANSLATE(C549,""fr"",""en"")"),"For 20 years with this mutual insurance company, it has a hard time going through digital air with reimbursements which do not appear as to the evolution of the regulations it is completely dropped as soon as it is to process CMU C or ACS files. Incompete"&amp;"nt staff to flee absolutely ...")</f>
        <v>For 20 years with this mutual insurance company, it has a hard time going through digital air with reimbursements which do not appear as to the evolution of the regulations it is completely dropped as soon as it is to process CMU C or ACS files. Incompetent staff to flee absolutely ...</v>
      </c>
    </row>
    <row r="550" ht="15.75" customHeight="1">
      <c r="A550" s="2">
        <v>5.0</v>
      </c>
      <c r="B550" s="2" t="s">
        <v>1600</v>
      </c>
      <c r="C550" s="2" t="s">
        <v>1601</v>
      </c>
      <c r="D550" s="2" t="s">
        <v>25</v>
      </c>
      <c r="E550" s="2" t="s">
        <v>14</v>
      </c>
      <c r="F550" s="2" t="s">
        <v>15</v>
      </c>
      <c r="G550" s="2" t="s">
        <v>312</v>
      </c>
      <c r="H550" s="2" t="s">
        <v>27</v>
      </c>
      <c r="I550" s="2" t="str">
        <f>IFERROR(__xludf.DUMMYFUNCTION("GOOGLETRANSLATE(C550,""fr"",""en"")"),"Registration is simple and practical
And above all fast, in terms of price it is very reasonable
site very well present, up to my expectations
")</f>
        <v>Registration is simple and practical
And above all fast, in terms of price it is very reasonable
site very well present, up to my expectations
</v>
      </c>
    </row>
    <row r="551" ht="15.75" customHeight="1">
      <c r="A551" s="2">
        <v>1.0</v>
      </c>
      <c r="B551" s="2" t="s">
        <v>1602</v>
      </c>
      <c r="C551" s="2" t="s">
        <v>1603</v>
      </c>
      <c r="D551" s="2" t="s">
        <v>361</v>
      </c>
      <c r="E551" s="2" t="s">
        <v>50</v>
      </c>
      <c r="F551" s="2" t="s">
        <v>15</v>
      </c>
      <c r="G551" s="2" t="s">
        <v>1368</v>
      </c>
      <c r="H551" s="2" t="s">
        <v>164</v>
      </c>
      <c r="I551" s="2" t="str">
        <f>IFERROR(__xludf.DUMMYFUNCTION("GOOGLETRANSLATE(C551,""fr"",""en"")"),"Hi betrayals. Your kitty https://www.leetchi.com/fr/cagnotes/entraide with trahisondettress seizure in, search for a kitty, according to your message on Sunday, June 30, 2019 is interesting. You have to make it known on social networks to get help and sta"&amp;"rt it. The photos are interesting. If you have others, don't hesitate. A MAIF meeting with no representative present at the site of the expertise, I know. We lose everything.")</f>
        <v>Hi betrayals. Your kitty https://www.leetchi.com/fr/cagnotes/entraide with trahisondettress seizure in, search for a kitty, according to your message on Sunday, June 30, 2019 is interesting. You have to make it known on social networks to get help and start it. The photos are interesting. If you have others, don't hesitate. A MAIF meeting with no representative present at the site of the expertise, I know. We lose everything.</v>
      </c>
    </row>
    <row r="552" ht="15.75" customHeight="1">
      <c r="A552" s="2">
        <v>1.0</v>
      </c>
      <c r="B552" s="2" t="s">
        <v>1604</v>
      </c>
      <c r="C552" s="2" t="s">
        <v>1605</v>
      </c>
      <c r="D552" s="2" t="s">
        <v>55</v>
      </c>
      <c r="E552" s="2" t="s">
        <v>14</v>
      </c>
      <c r="F552" s="2" t="s">
        <v>15</v>
      </c>
      <c r="G552" s="2" t="s">
        <v>1606</v>
      </c>
      <c r="H552" s="2" t="s">
        <v>543</v>
      </c>
      <c r="I552" s="2" t="str">
        <f>IFERROR(__xludf.DUMMYFUNCTION("GOOGLETRANSLATE(C552,""fr"",""en"")"),"Since the merger of Eurofil with Aviva, I no longer recognize my insurance with which I had not had a problem in 5 years. But since then ... it's a disaster! Deplorable customer service which broadcasts false information by phone (I am made to believe tha"&amp;"t the flight of my vehicle will be supported by my all -risk insurance) and then we do not hesitate to be very unpleasant with you. I am assured of all risks and they nevertheless refused to unindemize the theft of my vehicle on the grounds that he had no"&amp;"t had a break -in (theft of my handbag with my car keys in and then theft of my vehicle With the stolen key: insurance was obviously aware of everything). Worse, they used this ""claim"" not taken care of to refuse me compensation of more than 600 euros f"&amp;"or another claim a few weeks later, still not responsible. The icing on the cake: they terminated my 2 insurance contracts in stride! However, out of 3 claims for our 2 vehicles insured at home, only 1 was responsible (that of my spouse). What small mater"&amp;"ial damage I specify! No physical damage. I am now one of the ""persona non grata"" of the insurance when I am far from being a bad driver, just like my spouse who had only a small collision in 5 years. In short, assurance to avoid !!")</f>
        <v>Since the merger of Eurofil with Aviva, I no longer recognize my insurance with which I had not had a problem in 5 years. But since then ... it's a disaster! Deplorable customer service which broadcasts false information by phone (I am made to believe that the flight of my vehicle will be supported by my all -risk insurance) and then we do not hesitate to be very unpleasant with you. I am assured of all risks and they nevertheless refused to unindemize the theft of my vehicle on the grounds that he had not had a break -in (theft of my handbag with my car keys in and then theft of my vehicle With the stolen key: insurance was obviously aware of everything). Worse, they used this "claim" not taken care of to refuse me compensation of more than 600 euros for another claim a few weeks later, still not responsible. The icing on the cake: they terminated my 2 insurance contracts in stride! However, out of 3 claims for our 2 vehicles insured at home, only 1 was responsible (that of my spouse). What small material damage I specify! No physical damage. I am now one of the "persona non grata" of the insurance when I am far from being a bad driver, just like my spouse who had only a small collision in 5 years. In short, assurance to avoid !!</v>
      </c>
    </row>
    <row r="553" ht="15.75" customHeight="1">
      <c r="A553" s="2">
        <v>1.0</v>
      </c>
      <c r="B553" s="2" t="s">
        <v>1607</v>
      </c>
      <c r="C553" s="2" t="s">
        <v>1608</v>
      </c>
      <c r="D553" s="2" t="s">
        <v>361</v>
      </c>
      <c r="E553" s="2" t="s">
        <v>14</v>
      </c>
      <c r="F553" s="2" t="s">
        <v>15</v>
      </c>
      <c r="G553" s="2" t="s">
        <v>1609</v>
      </c>
      <c r="H553" s="2" t="s">
        <v>1459</v>
      </c>
      <c r="I553" s="2" t="str">
        <f>IFERROR(__xludf.DUMMYFUNCTION("GOOGLETRANSLATE(C553,""fr"",""en"")"),"I am completely dissatisfied with the services offered by this company.
Victim of a claim in February 2016, the company left the file vegetated, despite my regular requests.
During the calls I received contradictory information from the interlocutor.
I"&amp;"n addition, I wanted to point out the very dedegneuated tone of their staff.
In short, their prices are exorbitant, assurance to avoid
O")</f>
        <v>I am completely dissatisfied with the services offered by this company.
Victim of a claim in February 2016, the company left the file vegetated, despite my regular requests.
During the calls I received contradictory information from the interlocutor.
In addition, I wanted to point out the very dedegneuated tone of their staff.
In short, their prices are exorbitant, assurance to avoid
O</v>
      </c>
    </row>
    <row r="554" ht="15.75" customHeight="1">
      <c r="A554" s="2">
        <v>1.0</v>
      </c>
      <c r="B554" s="2" t="s">
        <v>1610</v>
      </c>
      <c r="C554" s="2" t="s">
        <v>1611</v>
      </c>
      <c r="D554" s="2" t="s">
        <v>13</v>
      </c>
      <c r="E554" s="2" t="s">
        <v>14</v>
      </c>
      <c r="F554" s="2" t="s">
        <v>15</v>
      </c>
      <c r="G554" s="2" t="s">
        <v>862</v>
      </c>
      <c r="H554" s="2" t="s">
        <v>238</v>
      </c>
      <c r="I554" s="2" t="str">
        <f>IFERROR(__xludf.DUMMYFUNCTION("GOOGLETRANSLATE(C554,""fr"",""en"")"),"Really hyper disappointed customer for a few years in a personal and professional basis with multiple insurances each time we call for a bah disaster victim unfortunately we do not enter the really lamentable criteria they are there just for pumped us lik"&amp;"e vampires. Advice avoids this insurance")</f>
        <v>Really hyper disappointed customer for a few years in a personal and professional basis with multiple insurances each time we call for a bah disaster victim unfortunately we do not enter the really lamentable criteria they are there just for pumped us like vampires. Advice avoids this insurance</v>
      </c>
    </row>
    <row r="555" ht="15.75" customHeight="1">
      <c r="A555" s="2">
        <v>3.0</v>
      </c>
      <c r="B555" s="2" t="s">
        <v>1612</v>
      </c>
      <c r="C555" s="2" t="s">
        <v>1613</v>
      </c>
      <c r="D555" s="2" t="s">
        <v>30</v>
      </c>
      <c r="E555" s="2" t="s">
        <v>31</v>
      </c>
      <c r="F555" s="2" t="s">
        <v>15</v>
      </c>
      <c r="G555" s="2" t="s">
        <v>824</v>
      </c>
      <c r="H555" s="2" t="s">
        <v>120</v>
      </c>
      <c r="I555" s="2" t="str">
        <f>IFERROR(__xludf.DUMMYFUNCTION("GOOGLETRANSLATE(C555,""fr"",""en"")"),"Good telephone reception and very affordable price
Failed speed clear and explicit explanation very good insurance for moped thank you ..")</f>
        <v>Good telephone reception and very affordable price
Failed speed clear and explicit explanation very good insurance for moped thank you ..</v>
      </c>
    </row>
    <row r="556" ht="15.75" customHeight="1">
      <c r="A556" s="2">
        <v>4.0</v>
      </c>
      <c r="B556" s="2" t="s">
        <v>1614</v>
      </c>
      <c r="C556" s="2" t="s">
        <v>1615</v>
      </c>
      <c r="D556" s="2" t="s">
        <v>39</v>
      </c>
      <c r="E556" s="2" t="s">
        <v>14</v>
      </c>
      <c r="F556" s="2" t="s">
        <v>15</v>
      </c>
      <c r="G556" s="2" t="s">
        <v>1616</v>
      </c>
      <c r="H556" s="2" t="s">
        <v>109</v>
      </c>
      <c r="I556" s="2" t="str">
        <f>IFERROR(__xludf.DUMMYFUNCTION("GOOGLETRANSLATE(C556,""fr"",""en"")"),"Very well, nothing to add, good price quality and services, I particularly recommend the platform in lines, friendly and available advised.")</f>
        <v>Very well, nothing to add, good price quality and services, I particularly recommend the platform in lines, friendly and available advised.</v>
      </c>
    </row>
    <row r="557" ht="15.75" customHeight="1">
      <c r="A557" s="2">
        <v>5.0</v>
      </c>
      <c r="B557" s="2" t="s">
        <v>1617</v>
      </c>
      <c r="C557" s="2" t="s">
        <v>1618</v>
      </c>
      <c r="D557" s="2" t="s">
        <v>25</v>
      </c>
      <c r="E557" s="2" t="s">
        <v>14</v>
      </c>
      <c r="F557" s="2" t="s">
        <v>15</v>
      </c>
      <c r="G557" s="2" t="s">
        <v>1619</v>
      </c>
      <c r="H557" s="2" t="s">
        <v>113</v>
      </c>
      <c r="I557" s="2" t="str">
        <f>IFERROR(__xludf.DUMMYFUNCTION("GOOGLETRANSLATE(C557,""fr"",""en"")"),"Very saturated this insurance which grabs quickly and perform very well to all the quesions of my file part of phone or by internet large pre -profsessionalist thank you")</f>
        <v>Very saturated this insurance which grabs quickly and perform very well to all the quesions of my file part of phone or by internet large pre -profsessionalist thank you</v>
      </c>
    </row>
    <row r="558" ht="15.75" customHeight="1">
      <c r="A558" s="2">
        <v>5.0</v>
      </c>
      <c r="B558" s="2" t="s">
        <v>1620</v>
      </c>
      <c r="C558" s="2" t="s">
        <v>1621</v>
      </c>
      <c r="D558" s="2" t="s">
        <v>30</v>
      </c>
      <c r="E558" s="2" t="s">
        <v>31</v>
      </c>
      <c r="F558" s="2" t="s">
        <v>15</v>
      </c>
      <c r="G558" s="2" t="s">
        <v>1124</v>
      </c>
      <c r="H558" s="2" t="s">
        <v>113</v>
      </c>
      <c r="I558" s="2" t="str">
        <f>IFERROR(__xludf.DUMMYFUNCTION("GOOGLETRANSLATE(C558,""fr"",""en"")"),"Perfect the site is really very good thank you I advise everyone from past at home I am satisfied it means everyone would be satisfied")</f>
        <v>Perfect the site is really very good thank you I advise everyone from past at home I am satisfied it means everyone would be satisfied</v>
      </c>
    </row>
    <row r="559" ht="15.75" customHeight="1">
      <c r="A559" s="2">
        <v>4.0</v>
      </c>
      <c r="B559" s="2" t="s">
        <v>1622</v>
      </c>
      <c r="C559" s="2" t="s">
        <v>1623</v>
      </c>
      <c r="D559" s="2" t="s">
        <v>162</v>
      </c>
      <c r="E559" s="2" t="s">
        <v>45</v>
      </c>
      <c r="F559" s="2" t="s">
        <v>15</v>
      </c>
      <c r="G559" s="2" t="s">
        <v>351</v>
      </c>
      <c r="H559" s="2" t="s">
        <v>120</v>
      </c>
      <c r="I559" s="2" t="str">
        <f>IFERROR(__xludf.DUMMYFUNCTION("GOOGLETRANSLATE(C559,""fr"",""en"")"),"Excellent welcome and full satisfaction offered by Mariana thank you to Santiane for the mutuals offered, Tarfs and services are up to my expectations")</f>
        <v>Excellent welcome and full satisfaction offered by Mariana thank you to Santiane for the mutuals offered, Tarfs and services are up to my expectations</v>
      </c>
    </row>
    <row r="560" ht="15.75" customHeight="1">
      <c r="A560" s="2">
        <v>5.0</v>
      </c>
      <c r="B560" s="2" t="s">
        <v>1624</v>
      </c>
      <c r="C560" s="2" t="s">
        <v>1625</v>
      </c>
      <c r="D560" s="2" t="s">
        <v>30</v>
      </c>
      <c r="E560" s="2" t="s">
        <v>31</v>
      </c>
      <c r="F560" s="2" t="s">
        <v>15</v>
      </c>
      <c r="G560" s="2" t="s">
        <v>1626</v>
      </c>
      <c r="H560" s="2" t="s">
        <v>1627</v>
      </c>
      <c r="I560" s="2" t="str">
        <f>IFERROR(__xludf.DUMMYFUNCTION("GOOGLETRANSLATE(C560,""fr"",""en"")"),"After an accident without bodily injury and without third parties, I had my reimbursement after a month and a half, which is extremely reasonable more is in summer. The documents arrive quickly. I have been a customer for several motorcycles for over 13 y"&amp;"ears without accident (except this one) and I have no complaints to do. And I'm going to reassure myself again for another motorcycle.")</f>
        <v>After an accident without bodily injury and without third parties, I had my reimbursement after a month and a half, which is extremely reasonable more is in summer. The documents arrive quickly. I have been a customer for several motorcycles for over 13 years without accident (except this one) and I have no complaints to do. And I'm going to reassure myself again for another motorcycle.</v>
      </c>
    </row>
    <row r="561" ht="15.75" customHeight="1">
      <c r="A561" s="2">
        <v>2.0</v>
      </c>
      <c r="B561" s="2" t="s">
        <v>1628</v>
      </c>
      <c r="C561" s="2" t="s">
        <v>1629</v>
      </c>
      <c r="D561" s="2" t="s">
        <v>25</v>
      </c>
      <c r="E561" s="2" t="s">
        <v>14</v>
      </c>
      <c r="F561" s="2" t="s">
        <v>15</v>
      </c>
      <c r="G561" s="2" t="s">
        <v>144</v>
      </c>
      <c r="H561" s="2" t="s">
        <v>113</v>
      </c>
      <c r="I561" s="2" t="str">
        <f>IFERROR(__xludf.DUMMYFUNCTION("GOOGLETRANSLATE(C561,""fr"",""en"")"),"The online quote did not succeed at the time of payment and impossible to start the process again.
So I finished on the phone with an advisor. Because of the malfunction of your online tools, I did not benefit from IGRAAL cashback. The sales department r"&amp;"efused to make a gesture ...
In addition, the price obtained on the phone was 24 €/month while in line with the same information I was 17 €/month.
In short, a good waste of time.")</f>
        <v>The online quote did not succeed at the time of payment and impossible to start the process again.
So I finished on the phone with an advisor. Because of the malfunction of your online tools, I did not benefit from IGRAAL cashback. The sales department refused to make a gesture ...
In addition, the price obtained on the phone was 24 €/month while in line with the same information I was 17 €/month.
In short, a good waste of time.</v>
      </c>
    </row>
    <row r="562" ht="15.75" customHeight="1">
      <c r="A562" s="2">
        <v>2.0</v>
      </c>
      <c r="B562" s="2" t="s">
        <v>1630</v>
      </c>
      <c r="C562" s="2" t="s">
        <v>1631</v>
      </c>
      <c r="D562" s="2" t="s">
        <v>39</v>
      </c>
      <c r="E562" s="2" t="s">
        <v>14</v>
      </c>
      <c r="F562" s="2" t="s">
        <v>15</v>
      </c>
      <c r="G562" s="2" t="s">
        <v>1632</v>
      </c>
      <c r="H562" s="2" t="s">
        <v>73</v>
      </c>
      <c r="I562" s="2" t="str">
        <f>IFERROR(__xludf.DUMMYFUNCTION("GOOGLETRANSLATE(C562,""fr"",""en"")"),"Satisfied with the care very sacrificed on price thank you to you price is very good thank you I would recommend that it is on good day")</f>
        <v>Satisfied with the care very sacrificed on price thank you to you price is very good thank you I would recommend that it is on good day</v>
      </c>
    </row>
    <row r="563" ht="15.75" customHeight="1">
      <c r="A563" s="2">
        <v>2.0</v>
      </c>
      <c r="B563" s="2" t="s">
        <v>1633</v>
      </c>
      <c r="C563" s="2" t="s">
        <v>1634</v>
      </c>
      <c r="D563" s="2" t="s">
        <v>208</v>
      </c>
      <c r="E563" s="2" t="s">
        <v>14</v>
      </c>
      <c r="F563" s="2" t="s">
        <v>15</v>
      </c>
      <c r="G563" s="2" t="s">
        <v>354</v>
      </c>
      <c r="H563" s="2" t="s">
        <v>77</v>
      </c>
      <c r="I563" s="2" t="str">
        <f>IFERROR(__xludf.DUMMYFUNCTION("GOOGLETRANSLATE(C563,""fr"",""en"")"),"I called on legal protection to accompany me following a Nissan quote for a dysfunction noted during the warranty. The support was correct the 6 1st months then my file is assigned to another legal advisor. Processing time, reminders to have follow -up. A"&amp;"dvises me to go through 1 mediation after 18 months. Bad orientation with a mediator who does not manage disputes with Nissan. I provide him with the coordinates of the good mediator, I must reprint the documents so that my advisor sends the mediation req"&amp;"uest. And the highlight of the case, the mediator dismisses me because the request is out of time. Result: 2 years have passed and I did not get anything. Since then I have alerted my advisor 2 times and obviously no response from him. Legal service to fl"&amp;"ee.")</f>
        <v>I called on legal protection to accompany me following a Nissan quote for a dysfunction noted during the warranty. The support was correct the 6 1st months then my file is assigned to another legal advisor. Processing time, reminders to have follow -up. Advises me to go through 1 mediation after 18 months. Bad orientation with a mediator who does not manage disputes with Nissan. I provide him with the coordinates of the good mediator, I must reprint the documents so that my advisor sends the mediation request. And the highlight of the case, the mediator dismisses me because the request is out of time. Result: 2 years have passed and I did not get anything. Since then I have alerted my advisor 2 times and obviously no response from him. Legal service to flee.</v>
      </c>
    </row>
    <row r="564" ht="15.75" customHeight="1">
      <c r="A564" s="2">
        <v>5.0</v>
      </c>
      <c r="B564" s="2" t="s">
        <v>1635</v>
      </c>
      <c r="C564" s="2" t="s">
        <v>1636</v>
      </c>
      <c r="D564" s="2" t="s">
        <v>25</v>
      </c>
      <c r="E564" s="2" t="s">
        <v>14</v>
      </c>
      <c r="F564" s="2" t="s">
        <v>15</v>
      </c>
      <c r="G564" s="2" t="s">
        <v>850</v>
      </c>
      <c r="H564" s="2" t="s">
        <v>84</v>
      </c>
      <c r="I564" s="2" t="str">
        <f>IFERROR(__xludf.DUMMYFUNCTION("GOOGLETRANSLATE(C564,""fr"",""en"")"),"Simple fast and efficient, at a price below the market, great. And advantageous for young permits. I highly recommend this insurance thank you")</f>
        <v>Simple fast and efficient, at a price below the market, great. And advantageous for young permits. I highly recommend this insurance thank you</v>
      </c>
    </row>
    <row r="565" ht="15.75" customHeight="1">
      <c r="A565" s="2">
        <v>4.0</v>
      </c>
      <c r="B565" s="2" t="s">
        <v>1637</v>
      </c>
      <c r="C565" s="2" t="s">
        <v>1638</v>
      </c>
      <c r="D565" s="2" t="s">
        <v>39</v>
      </c>
      <c r="E565" s="2" t="s">
        <v>14</v>
      </c>
      <c r="F565" s="2" t="s">
        <v>15</v>
      </c>
      <c r="G565" s="2" t="s">
        <v>141</v>
      </c>
      <c r="H565" s="2" t="s">
        <v>84</v>
      </c>
      <c r="I565" s="2" t="str">
        <f>IFERROR(__xludf.DUMMYFUNCTION("GOOGLETRANSLATE(C565,""fr"",""en"")"),"Simple and practical, directed from the Lynx platform.
The presentation of the characteristics of the contract is clear.
An effort to optimize more franchises would be beneficial.")</f>
        <v>Simple and practical, directed from the Lynx platform.
The presentation of the characteristics of the contract is clear.
An effort to optimize more franchises would be beneficial.</v>
      </c>
    </row>
    <row r="566" ht="15.75" customHeight="1">
      <c r="A566" s="2">
        <v>2.0</v>
      </c>
      <c r="B566" s="2" t="s">
        <v>1639</v>
      </c>
      <c r="C566" s="2" t="s">
        <v>1640</v>
      </c>
      <c r="D566" s="2" t="s">
        <v>398</v>
      </c>
      <c r="E566" s="2" t="s">
        <v>45</v>
      </c>
      <c r="F566" s="2" t="s">
        <v>15</v>
      </c>
      <c r="G566" s="2" t="s">
        <v>185</v>
      </c>
      <c r="H566" s="2" t="s">
        <v>185</v>
      </c>
      <c r="I566" s="2" t="str">
        <f>IFERROR(__xludf.DUMMYFUNCTION("GOOGLETRANSLATE(C566,""fr"",""en"")"),"Very unhappy with the quality of the customer of mutual harmony. In addition to the very long waiting times on the phone, what to think of a company whose advisor declares: ""Anyway, I cannot join the management service, they will not answer me"" !!!
Is "&amp;"Harmonie Mutuelle aware of the image she gives of her business? ...")</f>
        <v>Very unhappy with the quality of the customer of mutual harmony. In addition to the very long waiting times on the phone, what to think of a company whose advisor declares: "Anyway, I cannot join the management service, they will not answer me" !!!
Is Harmonie Mutuelle aware of the image she gives of her business? ...</v>
      </c>
    </row>
    <row r="567" ht="15.75" customHeight="1">
      <c r="A567" s="2">
        <v>4.0</v>
      </c>
      <c r="B567" s="2" t="s">
        <v>1641</v>
      </c>
      <c r="C567" s="2" t="s">
        <v>1642</v>
      </c>
      <c r="D567" s="2" t="s">
        <v>39</v>
      </c>
      <c r="E567" s="2" t="s">
        <v>14</v>
      </c>
      <c r="F567" s="2" t="s">
        <v>15</v>
      </c>
      <c r="G567" s="2" t="s">
        <v>750</v>
      </c>
      <c r="H567" s="2" t="s">
        <v>84</v>
      </c>
      <c r="I567" s="2" t="str">
        <f>IFERROR(__xludf.DUMMYFUNCTION("GOOGLETRANSLATE(C567,""fr"",""en"")"),"The site is easy to access practical and fast. Difficult to give an opinion at the moment because this is my first subscription to you. To see in time.")</f>
        <v>The site is easy to access practical and fast. Difficult to give an opinion at the moment because this is my first subscription to you. To see in time.</v>
      </c>
    </row>
    <row r="568" ht="15.75" customHeight="1">
      <c r="A568" s="2">
        <v>1.0</v>
      </c>
      <c r="B568" s="2" t="s">
        <v>1643</v>
      </c>
      <c r="C568" s="2" t="s">
        <v>1644</v>
      </c>
      <c r="D568" s="2" t="s">
        <v>770</v>
      </c>
      <c r="E568" s="2" t="s">
        <v>233</v>
      </c>
      <c r="F568" s="2" t="s">
        <v>15</v>
      </c>
      <c r="G568" s="2" t="s">
        <v>1645</v>
      </c>
      <c r="H568" s="2" t="s">
        <v>476</v>
      </c>
      <c r="I568" s="2" t="str">
        <f>IFERROR(__xludf.DUMMYFUNCTION("GOOGLETRANSLATE(C568,""fr"",""en"")"),"Generali does not understand that the funeral pumps are not at their disposal to receive payment of the obsequers
It's been 6 months that I lost my mother and since I have been fighting to receive the compensation that my mother had chosen in order to pr"&amp;"eserve us from any costs instead of that I must constantly provide documents with always long delays between each letter As if it was not already hard enough how to explain that you have this amount which is blocked at the risk that funeral directors ask "&amp;"you for late penalties I think to contact 60 million consumers")</f>
        <v>Generali does not understand that the funeral pumps are not at their disposal to receive payment of the obsequers
It's been 6 months that I lost my mother and since I have been fighting to receive the compensation that my mother had chosen in order to preserve us from any costs instead of that I must constantly provide documents with always long delays between each letter As if it was not already hard enough how to explain that you have this amount which is blocked at the risk that funeral directors ask you for late penalties I think to contact 60 million consumers</v>
      </c>
    </row>
    <row r="569" ht="15.75" customHeight="1">
      <c r="A569" s="2">
        <v>4.0</v>
      </c>
      <c r="B569" s="2" t="s">
        <v>1646</v>
      </c>
      <c r="C569" s="2" t="s">
        <v>1647</v>
      </c>
      <c r="D569" s="2" t="s">
        <v>13</v>
      </c>
      <c r="E569" s="2" t="s">
        <v>14</v>
      </c>
      <c r="F569" s="2" t="s">
        <v>15</v>
      </c>
      <c r="G569" s="2" t="s">
        <v>1648</v>
      </c>
      <c r="H569" s="2" t="s">
        <v>17</v>
      </c>
      <c r="I569" s="2" t="str">
        <f>IFERROR(__xludf.DUMMYFUNCTION("GOOGLETRANSLATE(C569,""fr"",""en"")"),"After comparison with the offers of other insurers, for me the Pacifica contract is by far the most complete in terms of risk coverage, which is optional among competitors is included in the contract, several risks are without franchise in the event of a "&amp;"claim And for other risks the deductible is at least 30% lower. Driver's personal protection is much higher in Pacifica.
It should not be forgotten that the quality of a contract is analyzed at the time of the claim and at that moment it is too late to s"&amp;"ay: ""I should have remembered that the cheapest is never the best market final""
The savings of several hundred euros announced by some are not identical, therefore distrust.")</f>
        <v>After comparison with the offers of other insurers, for me the Pacifica contract is by far the most complete in terms of risk coverage, which is optional among competitors is included in the contract, several risks are without franchise in the event of a claim And for other risks the deductible is at least 30% lower. Driver's personal protection is much higher in Pacifica.
It should not be forgotten that the quality of a contract is analyzed at the time of the claim and at that moment it is too late to say: "I should have remembered that the cheapest is never the best market final"
The savings of several hundred euros announced by some are not identical, therefore distrust.</v>
      </c>
    </row>
    <row r="570" ht="15.75" customHeight="1">
      <c r="A570" s="2">
        <v>3.0</v>
      </c>
      <c r="B570" s="2" t="s">
        <v>1649</v>
      </c>
      <c r="C570" s="2" t="s">
        <v>1650</v>
      </c>
      <c r="D570" s="2" t="s">
        <v>123</v>
      </c>
      <c r="E570" s="2" t="s">
        <v>45</v>
      </c>
      <c r="F570" s="2" t="s">
        <v>15</v>
      </c>
      <c r="G570" s="2" t="s">
        <v>423</v>
      </c>
      <c r="H570" s="2" t="s">
        <v>424</v>
      </c>
      <c r="I570" s="2" t="str">
        <f>IFERROR(__xludf.DUMMYFUNCTION("GOOGLETRANSLATE(C570,""fr"",""en"")"),"Can do better. The basic option is very expensive for a minimum of reimbursements. I have been a customer for several years but I think I go to see elsewhere.")</f>
        <v>Can do better. The basic option is very expensive for a minimum of reimbursements. I have been a customer for several years but I think I go to see elsewhere.</v>
      </c>
    </row>
    <row r="571" ht="15.75" customHeight="1">
      <c r="A571" s="2">
        <v>4.0</v>
      </c>
      <c r="B571" s="2" t="s">
        <v>1651</v>
      </c>
      <c r="C571" s="2" t="s">
        <v>1652</v>
      </c>
      <c r="D571" s="2" t="s">
        <v>39</v>
      </c>
      <c r="E571" s="2" t="s">
        <v>14</v>
      </c>
      <c r="F571" s="2" t="s">
        <v>15</v>
      </c>
      <c r="G571" s="2" t="s">
        <v>453</v>
      </c>
      <c r="H571" s="2" t="s">
        <v>101</v>
      </c>
      <c r="I571" s="2" t="str">
        <f>IFERROR(__xludf.DUMMYFUNCTION("GOOGLETRANSLATE(C571,""fr"",""en"")"),"As a whole, I am satisfied with direct insurance. The prices are twice lower as those of my previous insurer.
After -sales service, to improve.")</f>
        <v>As a whole, I am satisfied with direct insurance. The prices are twice lower as those of my previous insurer.
After -sales service, to improve.</v>
      </c>
    </row>
    <row r="572" ht="15.75" customHeight="1">
      <c r="A572" s="2">
        <v>5.0</v>
      </c>
      <c r="B572" s="2" t="s">
        <v>1653</v>
      </c>
      <c r="C572" s="2" t="s">
        <v>1654</v>
      </c>
      <c r="D572" s="2" t="s">
        <v>35</v>
      </c>
      <c r="E572" s="2" t="s">
        <v>31</v>
      </c>
      <c r="F572" s="2" t="s">
        <v>15</v>
      </c>
      <c r="G572" s="2" t="s">
        <v>456</v>
      </c>
      <c r="H572" s="2" t="s">
        <v>113</v>
      </c>
      <c r="I572" s="2" t="str">
        <f>IFERROR(__xludf.DUMMYFUNCTION("GOOGLETRANSLATE(C572,""fr"",""en"")"),"Always satisfied with AMV's performance, for me these one of the best for motorcycles and quads.
I recommend it for each friend CARCHAN a good insurance not too expensive.")</f>
        <v>Always satisfied with AMV's performance, for me these one of the best for motorcycles and quads.
I recommend it for each friend CARCHAN a good insurance not too expensive.</v>
      </c>
    </row>
    <row r="573" ht="15.75" customHeight="1">
      <c r="A573" s="2">
        <v>4.0</v>
      </c>
      <c r="B573" s="2" t="s">
        <v>1655</v>
      </c>
      <c r="C573" s="2" t="s">
        <v>1656</v>
      </c>
      <c r="D573" s="2" t="s">
        <v>39</v>
      </c>
      <c r="E573" s="2" t="s">
        <v>14</v>
      </c>
      <c r="F573" s="2" t="s">
        <v>15</v>
      </c>
      <c r="G573" s="2" t="s">
        <v>312</v>
      </c>
      <c r="H573" s="2" t="s">
        <v>27</v>
      </c>
      <c r="I573" s="2" t="str">
        <f>IFERROR(__xludf.DUMMYFUNCTION("GOOGLETRANSLATE(C573,""fr"",""en"")"),"I am very satisfied, easy subscription very interesting rates, everything is clear no personal problem at the height and offers to maintain customer loyalty at the top.")</f>
        <v>I am very satisfied, easy subscription very interesting rates, everything is clear no personal problem at the height and offers to maintain customer loyalty at the top.</v>
      </c>
    </row>
    <row r="574" ht="15.75" customHeight="1">
      <c r="A574" s="2">
        <v>4.0</v>
      </c>
      <c r="B574" s="2" t="s">
        <v>1657</v>
      </c>
      <c r="C574" s="2" t="s">
        <v>1658</v>
      </c>
      <c r="D574" s="2" t="s">
        <v>30</v>
      </c>
      <c r="E574" s="2" t="s">
        <v>31</v>
      </c>
      <c r="F574" s="2" t="s">
        <v>15</v>
      </c>
      <c r="G574" s="2" t="s">
        <v>1659</v>
      </c>
      <c r="H574" s="2" t="s">
        <v>17</v>
      </c>
      <c r="I574" s="2" t="str">
        <f>IFERROR(__xludf.DUMMYFUNCTION("GOOGLETRANSLATE(C574,""fr"",""en"")"),"I am satisfied, insurance is not very expensive and quick to do. It was the best offer in the insurance comparator. Glad because I needed to ensure my scooter quickly.")</f>
        <v>I am satisfied, insurance is not very expensive and quick to do. It was the best offer in the insurance comparator. Glad because I needed to ensure my scooter quickly.</v>
      </c>
    </row>
    <row r="575" ht="15.75" customHeight="1">
      <c r="A575" s="2">
        <v>5.0</v>
      </c>
      <c r="B575" s="2" t="s">
        <v>1660</v>
      </c>
      <c r="C575" s="2" t="s">
        <v>1661</v>
      </c>
      <c r="D575" s="2" t="s">
        <v>25</v>
      </c>
      <c r="E575" s="2" t="s">
        <v>14</v>
      </c>
      <c r="F575" s="2" t="s">
        <v>15</v>
      </c>
      <c r="G575" s="2" t="s">
        <v>1662</v>
      </c>
      <c r="H575" s="2" t="s">
        <v>52</v>
      </c>
      <c r="I575" s="2" t="str">
        <f>IFERROR(__xludf.DUMMYFUNCTION("GOOGLETRANSLATE(C575,""fr"",""en"")"),"Very competitive price despite a penalty following 2 accidents without body damage.
The subscription procedure is 100% online, simplicity and efficiency.
Taking into account the unsubscription at the former insurer is also very practical.")</f>
        <v>Very competitive price despite a penalty following 2 accidents without body damage.
The subscription procedure is 100% online, simplicity and efficiency.
Taking into account the unsubscription at the former insurer is also very practical.</v>
      </c>
    </row>
    <row r="576" ht="15.75" customHeight="1">
      <c r="A576" s="2">
        <v>5.0</v>
      </c>
      <c r="B576" s="2" t="s">
        <v>1663</v>
      </c>
      <c r="C576" s="2" t="s">
        <v>1664</v>
      </c>
      <c r="D576" s="2" t="s">
        <v>25</v>
      </c>
      <c r="E576" s="2" t="s">
        <v>14</v>
      </c>
      <c r="F576" s="2" t="s">
        <v>15</v>
      </c>
      <c r="G576" s="2" t="s">
        <v>1198</v>
      </c>
      <c r="H576" s="2" t="s">
        <v>101</v>
      </c>
      <c r="I576" s="2" t="str">
        <f>IFERROR(__xludf.DUMMYFUNCTION("GOOGLETRANSLATE(C576,""fr"",""en"")"),"Quick subscription, interesting price, nice contact whether by phone or via messenger ... Hoping that when you encounter a problem everything takes place in the same way")</f>
        <v>Quick subscription, interesting price, nice contact whether by phone or via messenger ... Hoping that when you encounter a problem everything takes place in the same way</v>
      </c>
    </row>
    <row r="577" ht="15.75" customHeight="1">
      <c r="A577" s="2">
        <v>5.0</v>
      </c>
      <c r="B577" s="2" t="s">
        <v>1665</v>
      </c>
      <c r="C577" s="2" t="s">
        <v>1666</v>
      </c>
      <c r="D577" s="2" t="s">
        <v>35</v>
      </c>
      <c r="E577" s="2" t="s">
        <v>31</v>
      </c>
      <c r="F577" s="2" t="s">
        <v>15</v>
      </c>
      <c r="G577" s="2" t="s">
        <v>1438</v>
      </c>
      <c r="H577" s="2" t="s">
        <v>27</v>
      </c>
      <c r="I577" s="2" t="str">
        <f>IFERROR(__xludf.DUMMYFUNCTION("GOOGLETRANSLATE(C577,""fr"",""en"")"),"Value for money, ease, speed, guarantees, professionalism. A responsive insurance without surprise the membership went very well as a new customer.
I recommend.")</f>
        <v>Value for money, ease, speed, guarantees, professionalism. A responsive insurance without surprise the membership went very well as a new customer.
I recommend.</v>
      </c>
    </row>
    <row r="578" ht="15.75" customHeight="1">
      <c r="A578" s="2">
        <v>3.0</v>
      </c>
      <c r="B578" s="2" t="s">
        <v>1667</v>
      </c>
      <c r="C578" s="2" t="s">
        <v>1668</v>
      </c>
      <c r="D578" s="2" t="s">
        <v>25</v>
      </c>
      <c r="E578" s="2" t="s">
        <v>14</v>
      </c>
      <c r="F578" s="2" t="s">
        <v>15</v>
      </c>
      <c r="G578" s="2" t="s">
        <v>800</v>
      </c>
      <c r="H578" s="2" t="s">
        <v>27</v>
      </c>
      <c r="I578" s="2" t="str">
        <f>IFERROR(__xludf.DUMMYFUNCTION("GOOGLETRANSLATE(C578,""fr"",""en"")"),"Satisfied to have finally obtained the price of the quote that we had been able to obtain during a simulation on quote from your site. Nevertheless this after 1:30 am of conversation with 2 operating television, that is very welcoming, but many misunderst"&amp;"andings and inconsistencies between their words but also with the information collected on the site by the quote. Big surprise also of the modification of the email for access to our account.
The big drawback also is to note that any modification of one "&amp;"of the contracts must be requested by the subscriber only if he is not the main driver of the vehicle and payer of the contract, for my part it is very surprising.
Finally we hope to be well covered by the guarantees and be well accompanied in the event "&amp;"of a disaster.
Hoping that these remarkables are taken into account by your quality service
Best regards")</f>
        <v>Satisfied to have finally obtained the price of the quote that we had been able to obtain during a simulation on quote from your site. Nevertheless this after 1:30 am of conversation with 2 operating television, that is very welcoming, but many misunderstandings and inconsistencies between their words but also with the information collected on the site by the quote. Big surprise also of the modification of the email for access to our account.
The big drawback also is to note that any modification of one of the contracts must be requested by the subscriber only if he is not the main driver of the vehicle and payer of the contract, for my part it is very surprising.
Finally we hope to be well covered by the guarantees and be well accompanied in the event of a disaster.
Hoping that these remarkables are taken into account by your quality service
Best regards</v>
      </c>
    </row>
    <row r="579" ht="15.75" customHeight="1">
      <c r="A579" s="2">
        <v>1.0</v>
      </c>
      <c r="B579" s="2" t="s">
        <v>1669</v>
      </c>
      <c r="C579" s="2" t="s">
        <v>1670</v>
      </c>
      <c r="D579" s="2" t="s">
        <v>208</v>
      </c>
      <c r="E579" s="2" t="s">
        <v>50</v>
      </c>
      <c r="F579" s="2" t="s">
        <v>15</v>
      </c>
      <c r="G579" s="2" t="s">
        <v>435</v>
      </c>
      <c r="H579" s="2" t="s">
        <v>238</v>
      </c>
      <c r="I579" s="2" t="str">
        <f>IFERROR(__xludf.DUMMYFUNCTION("GOOGLETRANSLATE(C579,""fr"",""en"")"),"Never seen such incompetence at all levels !!!!
Whether it is to contact their services -Mission impossible despite around twenty attempts over a week -, where to have a response to the Courier, or take care of water damage, even though there is an emerg"&amp;"ency and flood ... .Bref, person capable of responding or acting.
All to manage to take care of nothing, ...
An act closer to incompetence than insurance.
Company to flee !!!!")</f>
        <v>Never seen such incompetence at all levels !!!!
Whether it is to contact their services -Mission impossible despite around twenty attempts over a week -, where to have a response to the Courier, or take care of water damage, even though there is an emergency and flood ... .Bref, person capable of responding or acting.
All to manage to take care of nothing, ...
An act closer to incompetence than insurance.
Company to flee !!!!</v>
      </c>
    </row>
    <row r="580" ht="15.75" customHeight="1">
      <c r="A580" s="2">
        <v>4.0</v>
      </c>
      <c r="B580" s="2" t="s">
        <v>1671</v>
      </c>
      <c r="C580" s="2" t="s">
        <v>1672</v>
      </c>
      <c r="D580" s="2" t="s">
        <v>35</v>
      </c>
      <c r="E580" s="2" t="s">
        <v>31</v>
      </c>
      <c r="F580" s="2" t="s">
        <v>15</v>
      </c>
      <c r="G580" s="2" t="s">
        <v>862</v>
      </c>
      <c r="H580" s="2" t="s">
        <v>238</v>
      </c>
      <c r="I580" s="2" t="str">
        <f>IFERROR(__xludf.DUMMYFUNCTION("GOOGLETRANSLATE(C580,""fr"",""en"")"),"AMV is certainly the cheapest of 2 -wheel insurers but in the event of an accident or other relatives I do not know what the responsiveness of the latter will be. We very often choose AMV for its low prices which is paradoxical if we are not on guarantees"&amp;" applied later.")</f>
        <v>AMV is certainly the cheapest of 2 -wheel insurers but in the event of an accident or other relatives I do not know what the responsiveness of the latter will be. We very often choose AMV for its low prices which is paradoxical if we are not on guarantees applied later.</v>
      </c>
    </row>
    <row r="581" ht="15.75" customHeight="1">
      <c r="A581" s="2">
        <v>1.0</v>
      </c>
      <c r="B581" s="2" t="s">
        <v>1673</v>
      </c>
      <c r="C581" s="2" t="s">
        <v>1674</v>
      </c>
      <c r="D581" s="2" t="s">
        <v>35</v>
      </c>
      <c r="E581" s="2" t="s">
        <v>31</v>
      </c>
      <c r="F581" s="2" t="s">
        <v>15</v>
      </c>
      <c r="G581" s="2" t="s">
        <v>1675</v>
      </c>
      <c r="H581" s="2" t="s">
        <v>202</v>
      </c>
      <c r="I581" s="2" t="str">
        <f>IFERROR(__xludf.DUMMYFUNCTION("GOOGLETRANSLATE(C581,""fr"",""en"")"),"Always very very complicated for assets, when it is only administrative. I dare not even imagined when you have a disaster ... zero reactivity !!
Today for whom for what, exceptional closure! thank you")</f>
        <v>Always very very complicated for assets, when it is only administrative. I dare not even imagined when you have a disaster ... zero reactivity !!
Today for whom for what, exceptional closure! thank you</v>
      </c>
    </row>
    <row r="582" ht="15.75" customHeight="1">
      <c r="A582" s="2">
        <v>1.0</v>
      </c>
      <c r="B582" s="2" t="s">
        <v>1676</v>
      </c>
      <c r="C582" s="2" t="s">
        <v>1677</v>
      </c>
      <c r="D582" s="2" t="s">
        <v>13</v>
      </c>
      <c r="E582" s="2" t="s">
        <v>50</v>
      </c>
      <c r="F582" s="2" t="s">
        <v>15</v>
      </c>
      <c r="G582" s="2" t="s">
        <v>868</v>
      </c>
      <c r="H582" s="2" t="s">
        <v>101</v>
      </c>
      <c r="I582" s="2" t="str">
        <f>IFERROR(__xludf.DUMMYFUNCTION("GOOGLETRANSLATE(C582,""fr"",""en"")"),"No one in the event of a problem to manage you I do not recommend to flee
Taking real insurance to avoid pacifica offered by Crédit Agricole is simple in the event of burglary no refund on their part despite a good contract with option and nothing since "&amp;"2020 is a shame")</f>
        <v>No one in the event of a problem to manage you I do not recommend to flee
Taking real insurance to avoid pacifica offered by Crédit Agricole is simple in the event of burglary no refund on their part despite a good contract with option and nothing since 2020 is a shame</v>
      </c>
    </row>
    <row r="583" ht="15.75" customHeight="1">
      <c r="A583" s="2">
        <v>4.0</v>
      </c>
      <c r="B583" s="2" t="s">
        <v>1678</v>
      </c>
      <c r="C583" s="2" t="s">
        <v>1679</v>
      </c>
      <c r="D583" s="2" t="s">
        <v>39</v>
      </c>
      <c r="E583" s="2" t="s">
        <v>14</v>
      </c>
      <c r="F583" s="2" t="s">
        <v>15</v>
      </c>
      <c r="G583" s="2" t="s">
        <v>1680</v>
      </c>
      <c r="H583" s="2" t="s">
        <v>27</v>
      </c>
      <c r="I583" s="2" t="str">
        <f>IFERROR(__xludf.DUMMYFUNCTION("GOOGLETRANSLATE(C583,""fr"",""en"")"),"I am amazed that I be asked to pay my auto insurance premium while as soon as I subscribe to my contracts with Direct Insurance I was subscribed to the direct debit")</f>
        <v>I am amazed that I be asked to pay my auto insurance premium while as soon as I subscribe to my contracts with Direct Insurance I was subscribed to the direct debit</v>
      </c>
    </row>
    <row r="584" ht="15.75" customHeight="1">
      <c r="A584" s="2">
        <v>4.0</v>
      </c>
      <c r="B584" s="2" t="s">
        <v>1681</v>
      </c>
      <c r="C584" s="2" t="s">
        <v>1682</v>
      </c>
      <c r="D584" s="2" t="s">
        <v>25</v>
      </c>
      <c r="E584" s="2" t="s">
        <v>14</v>
      </c>
      <c r="F584" s="2" t="s">
        <v>15</v>
      </c>
      <c r="G584" s="2" t="s">
        <v>417</v>
      </c>
      <c r="H584" s="2" t="s">
        <v>113</v>
      </c>
      <c r="I584" s="2" t="str">
        <f>IFERROR(__xludf.DUMMYFUNCTION("GOOGLETRANSLATE(C584,""fr"",""en"")"),"Reduced prices and more extensive guarantees would more use your customers.
With contract adapting to the specificities of each customers for example, the kilometers traveled ....")</f>
        <v>Reduced prices and more extensive guarantees would more use your customers.
With contract adapting to the specificities of each customers for example, the kilometers traveled ....</v>
      </c>
    </row>
    <row r="585" ht="15.75" customHeight="1">
      <c r="A585" s="2">
        <v>4.0</v>
      </c>
      <c r="B585" s="2" t="s">
        <v>1683</v>
      </c>
      <c r="C585" s="2" t="s">
        <v>1684</v>
      </c>
      <c r="D585" s="2" t="s">
        <v>107</v>
      </c>
      <c r="E585" s="2" t="s">
        <v>45</v>
      </c>
      <c r="F585" s="2" t="s">
        <v>15</v>
      </c>
      <c r="G585" s="2" t="s">
        <v>1112</v>
      </c>
      <c r="H585" s="2" t="s">
        <v>27</v>
      </c>
      <c r="I585" s="2" t="str">
        <f>IFERROR(__xludf.DUMMYFUNCTION("GOOGLETRANSLATE(C585,""fr"",""en"")"),"The advisor who contacted me was very professional allowed me to get her good info to benefit from better health coverage at a lower cost. Thank you")</f>
        <v>The advisor who contacted me was very professional allowed me to get her good info to benefit from better health coverage at a lower cost. Thank you</v>
      </c>
    </row>
    <row r="586" ht="15.75" customHeight="1">
      <c r="A586" s="2">
        <v>4.0</v>
      </c>
      <c r="B586" s="2" t="s">
        <v>1685</v>
      </c>
      <c r="C586" s="2" t="s">
        <v>1686</v>
      </c>
      <c r="D586" s="2" t="s">
        <v>30</v>
      </c>
      <c r="E586" s="2" t="s">
        <v>31</v>
      </c>
      <c r="F586" s="2" t="s">
        <v>15</v>
      </c>
      <c r="G586" s="2" t="s">
        <v>1687</v>
      </c>
      <c r="H586" s="2" t="s">
        <v>101</v>
      </c>
      <c r="I586" s="2" t="str">
        <f>IFERROR(__xludf.DUMMYFUNCTION("GOOGLETRANSLATE(C586,""fr"",""en"")"),"I find it is suitable, the price corresponds to a value for money which seems to be in line with the expectations of each customers. It remains to be seen to have the service.")</f>
        <v>I find it is suitable, the price corresponds to a value for money which seems to be in line with the expectations of each customers. It remains to be seen to have the service.</v>
      </c>
    </row>
    <row r="587" ht="15.75" customHeight="1">
      <c r="A587" s="2">
        <v>2.0</v>
      </c>
      <c r="B587" s="2" t="s">
        <v>1688</v>
      </c>
      <c r="C587" s="2" t="s">
        <v>1689</v>
      </c>
      <c r="D587" s="2" t="s">
        <v>39</v>
      </c>
      <c r="E587" s="2" t="s">
        <v>14</v>
      </c>
      <c r="F587" s="2" t="s">
        <v>15</v>
      </c>
      <c r="G587" s="2" t="s">
        <v>1616</v>
      </c>
      <c r="H587" s="2" t="s">
        <v>109</v>
      </c>
      <c r="I587" s="2" t="str">
        <f>IFERROR(__xludf.DUMMYFUNCTION("GOOGLETRANSLATE(C587,""fr"",""en"")"),"pitiful customer service, until I even tell me to go and see elsewhere if I was not happy.
I plan to get all my vehicles out on the anniversary date.")</f>
        <v>pitiful customer service, until I even tell me to go and see elsewhere if I was not happy.
I plan to get all my vehicles out on the anniversary date.</v>
      </c>
    </row>
    <row r="588" ht="15.75" customHeight="1">
      <c r="A588" s="2">
        <v>4.0</v>
      </c>
      <c r="B588" s="2" t="s">
        <v>1690</v>
      </c>
      <c r="C588" s="2" t="s">
        <v>1691</v>
      </c>
      <c r="D588" s="2" t="s">
        <v>39</v>
      </c>
      <c r="E588" s="2" t="s">
        <v>14</v>
      </c>
      <c r="F588" s="2" t="s">
        <v>15</v>
      </c>
      <c r="G588" s="2" t="s">
        <v>1692</v>
      </c>
      <c r="H588" s="2" t="s">
        <v>77</v>
      </c>
      <c r="I588" s="2" t="str">
        <f>IFERROR(__xludf.DUMMYFUNCTION("GOOGLETRANSLATE(C588,""fr"",""en"")"),"satisfied with the price and customer relations. The guarantees seem to correspond to expectations. Risk coverage is correct.")</f>
        <v>satisfied with the price and customer relations. The guarantees seem to correspond to expectations. Risk coverage is correct.</v>
      </c>
    </row>
    <row r="589" ht="15.75" customHeight="1">
      <c r="A589" s="2">
        <v>5.0</v>
      </c>
      <c r="B589" s="2" t="s">
        <v>1693</v>
      </c>
      <c r="C589" s="2" t="s">
        <v>1694</v>
      </c>
      <c r="D589" s="2" t="s">
        <v>107</v>
      </c>
      <c r="E589" s="2" t="s">
        <v>45</v>
      </c>
      <c r="F589" s="2" t="s">
        <v>15</v>
      </c>
      <c r="G589" s="2" t="s">
        <v>1695</v>
      </c>
      <c r="H589" s="2" t="s">
        <v>202</v>
      </c>
      <c r="I589" s="2" t="str">
        <f>IFERROR(__xludf.DUMMYFUNCTION("GOOGLETRANSLATE(C589,""fr"",""en"")"),"Value for money I am satisfied, I was able to adapt my coverage according to my needs and I was especially well advised by Mr Gomez I hope that the prices will not increase in an exaggerated way")</f>
        <v>Value for money I am satisfied, I was able to adapt my coverage according to my needs and I was especially well advised by Mr Gomez I hope that the prices will not increase in an exaggerated way</v>
      </c>
    </row>
    <row r="590" ht="15.75" customHeight="1">
      <c r="A590" s="2">
        <v>2.0</v>
      </c>
      <c r="B590" s="2" t="s">
        <v>1696</v>
      </c>
      <c r="C590" s="2" t="s">
        <v>1697</v>
      </c>
      <c r="D590" s="2" t="s">
        <v>30</v>
      </c>
      <c r="E590" s="2" t="s">
        <v>31</v>
      </c>
      <c r="F590" s="2" t="s">
        <v>15</v>
      </c>
      <c r="G590" s="2" t="s">
        <v>1698</v>
      </c>
      <c r="H590" s="2" t="s">
        <v>84</v>
      </c>
      <c r="I590" s="2" t="str">
        <f>IFERROR(__xludf.DUMMYFUNCTION("GOOGLETRANSLATE(C590,""fr"",""en"")"),"A little dear very long to be able to validated the payment it had to be done several times I hope to be satisfied and not regret my choice I would like to know how I will receive my green card")</f>
        <v>A little dear very long to be able to validated the payment it had to be done several times I hope to be satisfied and not regret my choice I would like to know how I will receive my green card</v>
      </c>
    </row>
    <row r="591" ht="15.75" customHeight="1">
      <c r="A591" s="2">
        <v>4.0</v>
      </c>
      <c r="B591" s="2" t="s">
        <v>1699</v>
      </c>
      <c r="C591" s="2" t="s">
        <v>1700</v>
      </c>
      <c r="D591" s="2" t="s">
        <v>39</v>
      </c>
      <c r="E591" s="2" t="s">
        <v>14</v>
      </c>
      <c r="F591" s="2" t="s">
        <v>15</v>
      </c>
      <c r="G591" s="2" t="s">
        <v>612</v>
      </c>
      <c r="H591" s="2" t="s">
        <v>113</v>
      </c>
      <c r="I591" s="2" t="str">
        <f>IFERROR(__xludf.DUMMYFUNCTION("GOOGLETRANSLATE(C591,""fr"",""en"")"),"I am satisfied with the price and the intervention of the advisor who is very effective on the phone as on social networks, I am not being decreed in the court of this year at home")</f>
        <v>I am satisfied with the price and the intervention of the advisor who is very effective on the phone as on social networks, I am not being decreed in the court of this year at home</v>
      </c>
    </row>
    <row r="592" ht="15.75" customHeight="1">
      <c r="A592" s="2">
        <v>4.0</v>
      </c>
      <c r="B592" s="2" t="s">
        <v>1701</v>
      </c>
      <c r="C592" s="2" t="s">
        <v>1702</v>
      </c>
      <c r="D592" s="2" t="s">
        <v>39</v>
      </c>
      <c r="E592" s="2" t="s">
        <v>14</v>
      </c>
      <c r="F592" s="2" t="s">
        <v>15</v>
      </c>
      <c r="G592" s="2" t="s">
        <v>402</v>
      </c>
      <c r="H592" s="2" t="s">
        <v>27</v>
      </c>
      <c r="I592" s="2" t="str">
        <f>IFERROR(__xludf.DUMMYFUNCTION("GOOGLETRANSLATE(C592,""fr"",""en"")"),"I am satisfied at the price level, there is a very good value for money. Very good options are available to us during the quote. I advised several people around me.")</f>
        <v>I am satisfied at the price level, there is a very good value for money. Very good options are available to us during the quote. I advised several people around me.</v>
      </c>
    </row>
    <row r="593" ht="15.75" customHeight="1">
      <c r="A593" s="2">
        <v>1.0</v>
      </c>
      <c r="B593" s="2" t="s">
        <v>1703</v>
      </c>
      <c r="C593" s="2" t="s">
        <v>1704</v>
      </c>
      <c r="D593" s="2" t="s">
        <v>39</v>
      </c>
      <c r="E593" s="2" t="s">
        <v>14</v>
      </c>
      <c r="F593" s="2" t="s">
        <v>15</v>
      </c>
      <c r="G593" s="2" t="s">
        <v>479</v>
      </c>
      <c r="H593" s="2" t="s">
        <v>109</v>
      </c>
      <c r="I593" s="2" t="str">
        <f>IFERROR(__xludf.DUMMYFUNCTION("GOOGLETRANSLATE(C593,""fr"",""en"")"),"I am satisfied with the service but I do not understand my new schedule which does not change almost (3 €) despite 0 disaster in 3 years, no lack of payment and especially when I make a quote (always at home) I would pay less expensive so misunderstanding"&amp;" . But otherwise no problems.")</f>
        <v>I am satisfied with the service but I do not understand my new schedule which does not change almost (3 €) despite 0 disaster in 3 years, no lack of payment and especially when I make a quote (always at home) I would pay less expensive so misunderstanding . But otherwise no problems.</v>
      </c>
    </row>
    <row r="594" ht="15.75" customHeight="1">
      <c r="A594" s="2">
        <v>4.0</v>
      </c>
      <c r="B594" s="2" t="s">
        <v>1705</v>
      </c>
      <c r="C594" s="2" t="s">
        <v>1706</v>
      </c>
      <c r="D594" s="2" t="s">
        <v>39</v>
      </c>
      <c r="E594" s="2" t="s">
        <v>14</v>
      </c>
      <c r="F594" s="2" t="s">
        <v>15</v>
      </c>
      <c r="G594" s="2" t="s">
        <v>108</v>
      </c>
      <c r="H594" s="2" t="s">
        <v>109</v>
      </c>
      <c r="I594" s="2" t="str">
        <f>IFERROR(__xludf.DUMMYFUNCTION("GOOGLETRANSLATE(C594,""fr"",""en"")"),"Very satisfied with the service by phone. The advisor managed my request very well with unparalleled attention and professionalism. I am happy to be a customer at Direct Insurance.")</f>
        <v>Very satisfied with the service by phone. The advisor managed my request very well with unparalleled attention and professionalism. I am happy to be a customer at Direct Insurance.</v>
      </c>
    </row>
    <row r="595" ht="15.75" customHeight="1">
      <c r="A595" s="2">
        <v>4.0</v>
      </c>
      <c r="B595" s="2" t="s">
        <v>1707</v>
      </c>
      <c r="C595" s="2" t="s">
        <v>1708</v>
      </c>
      <c r="D595" s="2" t="s">
        <v>39</v>
      </c>
      <c r="E595" s="2" t="s">
        <v>14</v>
      </c>
      <c r="F595" s="2" t="s">
        <v>15</v>
      </c>
      <c r="G595" s="2" t="s">
        <v>1520</v>
      </c>
      <c r="H595" s="2" t="s">
        <v>84</v>
      </c>
      <c r="I595" s="2" t="str">
        <f>IFERROR(__xludf.DUMMYFUNCTION("GOOGLETRANSLATE(C595,""fr"",""en"")"),"The prices are competitive as well as the guarantees. To see in time for the service. I was very satisfied with my previous insurance but I was told the greatest good of direct insurance.")</f>
        <v>The prices are competitive as well as the guarantees. To see in time for the service. I was very satisfied with my previous insurance but I was told the greatest good of direct insurance.</v>
      </c>
    </row>
    <row r="596" ht="15.75" customHeight="1">
      <c r="A596" s="2">
        <v>1.0</v>
      </c>
      <c r="B596" s="2" t="s">
        <v>1709</v>
      </c>
      <c r="C596" s="2" t="s">
        <v>1710</v>
      </c>
      <c r="D596" s="2" t="s">
        <v>44</v>
      </c>
      <c r="E596" s="2" t="s">
        <v>45</v>
      </c>
      <c r="F596" s="2" t="s">
        <v>15</v>
      </c>
      <c r="G596" s="2" t="s">
        <v>488</v>
      </c>
      <c r="H596" s="2" t="s">
        <v>109</v>
      </c>
      <c r="I596" s="2" t="str">
        <f>IFERROR(__xludf.DUMMYFUNCTION("GOOGLETRANSLATE(C596,""fr"",""en"")"),"Insurer to flee. Unreachable. We don't remind you. Worse, we answer you by email, but empty message. I took a hospital reinforcement and I am not even reimbursed for € 15 daily. Impossible to assert your rights. The reimbursements do not correspond to the"&amp;" file I sent to them. I only have a hurry to change mutual.")</f>
        <v>Insurer to flee. Unreachable. We don't remind you. Worse, we answer you by email, but empty message. I took a hospital reinforcement and I am not even reimbursed for € 15 daily. Impossible to assert your rights. The reimbursements do not correspond to the file I sent to them. I only have a hurry to change mutual.</v>
      </c>
    </row>
    <row r="597" ht="15.75" customHeight="1">
      <c r="A597" s="2">
        <v>1.0</v>
      </c>
      <c r="B597" s="2" t="s">
        <v>1711</v>
      </c>
      <c r="C597" s="2" t="s">
        <v>1712</v>
      </c>
      <c r="D597" s="2" t="s">
        <v>39</v>
      </c>
      <c r="E597" s="2" t="s">
        <v>14</v>
      </c>
      <c r="F597" s="2" t="s">
        <v>15</v>
      </c>
      <c r="G597" s="2" t="s">
        <v>1713</v>
      </c>
      <c r="H597" s="2" t="s">
        <v>309</v>
      </c>
      <c r="I597" s="2" t="str">
        <f>IFERROR(__xludf.DUMMYFUNCTION("GOOGLETRANSLATE(C597,""fr"",""en"")"),"Following non -responsible claims, partial support for repairs (no expert's displacement / estimate only on photos taken by the mechanic)
After numerous reminders by email and by telephone, obligation to move to the expert to present the vehicle.
Durati"&amp;"on of procedures: 3 months
Quality of the intervention in the event of a poor disaster")</f>
        <v>Following non -responsible claims, partial support for repairs (no expert's displacement / estimate only on photos taken by the mechanic)
After numerous reminders by email and by telephone, obligation to move to the expert to present the vehicle.
Duration of procedures: 3 months
Quality of the intervention in the event of a poor disaster</v>
      </c>
    </row>
    <row r="598" ht="15.75" customHeight="1">
      <c r="A598" s="2">
        <v>4.0</v>
      </c>
      <c r="B598" s="2" t="s">
        <v>1714</v>
      </c>
      <c r="C598" s="2" t="s">
        <v>1715</v>
      </c>
      <c r="D598" s="2" t="s">
        <v>39</v>
      </c>
      <c r="E598" s="2" t="s">
        <v>14</v>
      </c>
      <c r="F598" s="2" t="s">
        <v>15</v>
      </c>
      <c r="G598" s="2" t="s">
        <v>718</v>
      </c>
      <c r="H598" s="2" t="s">
        <v>17</v>
      </c>
      <c r="I598" s="2" t="str">
        <f>IFERROR(__xludf.DUMMYFUNCTION("GOOGLETRANSLATE(C598,""fr"",""en"")"),"Hello
Could you please confirm that my sponsorship promo code has been taken into account?
I thank you in advance for your response
M. OUDRANI")</f>
        <v>Hello
Could you please confirm that my sponsorship promo code has been taken into account?
I thank you in advance for your response
M. OUDRANI</v>
      </c>
    </row>
    <row r="599" ht="15.75" customHeight="1">
      <c r="A599" s="2">
        <v>2.0</v>
      </c>
      <c r="B599" s="2" t="s">
        <v>1716</v>
      </c>
      <c r="C599" s="2" t="s">
        <v>1717</v>
      </c>
      <c r="D599" s="2" t="s">
        <v>13</v>
      </c>
      <c r="E599" s="2" t="s">
        <v>14</v>
      </c>
      <c r="F599" s="2" t="s">
        <v>15</v>
      </c>
      <c r="G599" s="2" t="s">
        <v>1718</v>
      </c>
      <c r="H599" s="2" t="s">
        <v>1719</v>
      </c>
      <c r="I599" s="2" t="str">
        <f>IFERROR(__xludf.DUMMYFUNCTION("GOOGLETRANSLATE(C599,""fr"",""en"")"),"Hello, I was insured at home, after acceptance of Demon File, because the gray card is in the name of my petut son who is passing his license and would have kept insurance at home !! I am disappointed and do not understand how we can accept a file, to re "&amp;"-order it later")</f>
        <v>Hello, I was insured at home, after acceptance of Demon File, because the gray card is in the name of my petut son who is passing his license and would have kept insurance at home !! I am disappointed and do not understand how we can accept a file, to re -order it later</v>
      </c>
    </row>
    <row r="600" ht="15.75" customHeight="1">
      <c r="A600" s="2">
        <v>5.0</v>
      </c>
      <c r="B600" s="2" t="s">
        <v>1720</v>
      </c>
      <c r="C600" s="2" t="s">
        <v>1721</v>
      </c>
      <c r="D600" s="2" t="s">
        <v>39</v>
      </c>
      <c r="E600" s="2" t="s">
        <v>14</v>
      </c>
      <c r="F600" s="2" t="s">
        <v>15</v>
      </c>
      <c r="G600" s="2" t="s">
        <v>1722</v>
      </c>
      <c r="H600" s="2" t="s">
        <v>84</v>
      </c>
      <c r="I600" s="2" t="str">
        <f>IFERROR(__xludf.DUMMYFUNCTION("GOOGLETRANSLATE(C600,""fr"",""en"")"),"I AM SATISFIED
The price is normal
The service is good
I am the container
Me J4habit 0 Paris
Thank you very much for your good vouklire service")</f>
        <v>I AM SATISFIED
The price is normal
The service is good
I am the container
Me J4habit 0 Paris
Thank you very much for your good vouklire service</v>
      </c>
    </row>
    <row r="601" ht="15.75" customHeight="1">
      <c r="A601" s="2">
        <v>5.0</v>
      </c>
      <c r="B601" s="2" t="s">
        <v>1723</v>
      </c>
      <c r="C601" s="2" t="s">
        <v>1724</v>
      </c>
      <c r="D601" s="2" t="s">
        <v>39</v>
      </c>
      <c r="E601" s="2" t="s">
        <v>14</v>
      </c>
      <c r="F601" s="2" t="s">
        <v>15</v>
      </c>
      <c r="G601" s="2" t="s">
        <v>1136</v>
      </c>
      <c r="H601" s="2" t="s">
        <v>109</v>
      </c>
      <c r="I601" s="2" t="str">
        <f>IFERROR(__xludf.DUMMYFUNCTION("GOOGLETRANSLATE(C601,""fr"",""en"")"),"Impeccable price and service and with regard to vehicle management is fast
For quotes very well explained
for the search for vehicles still a little messy")</f>
        <v>Impeccable price and service and with regard to vehicle management is fast
For quotes very well explained
for the search for vehicles still a little messy</v>
      </c>
    </row>
    <row r="602" ht="15.75" customHeight="1">
      <c r="A602" s="2">
        <v>1.0</v>
      </c>
      <c r="B602" s="2" t="s">
        <v>1725</v>
      </c>
      <c r="C602" s="2" t="s">
        <v>1726</v>
      </c>
      <c r="D602" s="2" t="s">
        <v>95</v>
      </c>
      <c r="E602" s="2" t="s">
        <v>96</v>
      </c>
      <c r="F602" s="2" t="s">
        <v>15</v>
      </c>
      <c r="G602" s="2" t="s">
        <v>1727</v>
      </c>
      <c r="H602" s="2" t="s">
        <v>309</v>
      </c>
      <c r="I602" s="2" t="str">
        <f>IFERROR(__xludf.DUMMYFUNCTION("GOOGLETRANSLATE(C602,""fr"",""en"")"),"I asked for the total repurchase of my retirement contract since February 12.
I still don't have my money.
No explanation of customer service, they know nothing ....
I'm still waiting for a week and I will see my lawyer and send a letter to Le Figaro, "&amp;"at Echos")</f>
        <v>I asked for the total repurchase of my retirement contract since February 12.
I still don't have my money.
No explanation of customer service, they know nothing ....
I'm still waiting for a week and I will see my lawyer and send a letter to Le Figaro, at Echos</v>
      </c>
    </row>
    <row r="603" ht="15.75" customHeight="1">
      <c r="A603" s="2">
        <v>4.0</v>
      </c>
      <c r="B603" s="2" t="s">
        <v>1728</v>
      </c>
      <c r="C603" s="2" t="s">
        <v>1729</v>
      </c>
      <c r="D603" s="2" t="s">
        <v>25</v>
      </c>
      <c r="E603" s="2" t="s">
        <v>14</v>
      </c>
      <c r="F603" s="2" t="s">
        <v>15</v>
      </c>
      <c r="G603" s="2" t="s">
        <v>612</v>
      </c>
      <c r="H603" s="2" t="s">
        <v>113</v>
      </c>
      <c r="I603" s="2" t="str">
        <f>IFERROR(__xludf.DUMMYFUNCTION("GOOGLETRANSLATE(C603,""fr"",""en"")"),"Very satisfied with the price and the guarantees offered. Fast service with other options you can choose or not.
Very good value for money
Speed ​​of sending of green cards")</f>
        <v>Very satisfied with the price and the guarantees offered. Fast service with other options you can choose or not.
Very good value for money
Speed ​​of sending of green cards</v>
      </c>
    </row>
    <row r="604" ht="15.75" customHeight="1">
      <c r="A604" s="2">
        <v>1.0</v>
      </c>
      <c r="B604" s="2" t="s">
        <v>1730</v>
      </c>
      <c r="C604" s="2" t="s">
        <v>1731</v>
      </c>
      <c r="D604" s="2" t="s">
        <v>259</v>
      </c>
      <c r="E604" s="2" t="s">
        <v>233</v>
      </c>
      <c r="F604" s="2" t="s">
        <v>15</v>
      </c>
      <c r="G604" s="2" t="s">
        <v>1732</v>
      </c>
      <c r="H604" s="2" t="s">
        <v>431</v>
      </c>
      <c r="I604" s="2" t="str">
        <f>IFERROR(__xludf.DUMMYFUNCTION("GOOGLETRANSLATE(C604,""fr"",""en"")"),"Member victim of a motorcycle accident (not responsible). The file is underway because I am not yet consolidated after 5 months due to the severity of the injuries but after a 1st medical expertise, the Macif transfer the management of my file to the insu"&amp;"rance of the manager because my incapacity will rise beyond of 5%. Until then everything seems normal and logical on the operation of my motorcycle insurance contract.
Then, intervenes the accident guaranteed contract a little taxed at the time for 72 eu"&amp;"ros per year which offers me by reading it, compensation if I have more than 10% incapacity. But as an advance on the expected repair of the opposing insurance responsible.
So, if I understood correctly, in case I will have planted myself (responsible), "&amp;"I will have paid for this forced option for something! In the event that I am not responsible, this paid option is strictly useful to me if it is not to advance compensation that you have not yet offered me after 5 months since I am not consolidated. And "&amp;"when I am, the Badinter law obliges insurance to compensate us within 5 months, therefore in view of the speed of your services, there is no point in making me the advance since the 5 months will already have passed, so already compensated by the responsi"&amp;"ble insurance.
The question is, why I can benefit from compensation from my insurance in the event of a responsible accident for an option that I pay and that I no longer benefit if I am not responsible?
OK, I will be compensated on the side of respon"&amp;"sible insurance, but here we are talking about my motorcycle contract, not the ""accident warranty"" option that I paid for years for nothing. So sell this product by saying, ""in the event of a responsible accident only"".
Conclusion, if I am the right "&amp;"driver. I pay an option in the gas, I am sold from unattainable consolation!
PS: only one star for the price because 72 euros for nothing, I find it expensive.")</f>
        <v>Member victim of a motorcycle accident (not responsible). The file is underway because I am not yet consolidated after 5 months due to the severity of the injuries but after a 1st medical expertise, the Macif transfer the management of my file to the insurance of the manager because my incapacity will rise beyond of 5%. Until then everything seems normal and logical on the operation of my motorcycle insurance contract.
Then, intervenes the accident guaranteed contract a little taxed at the time for 72 euros per year which offers me by reading it, compensation if I have more than 10% incapacity. But as an advance on the expected repair of the opposing insurance responsible.
So, if I understood correctly, in case I will have planted myself (responsible), I will have paid for this forced option for something! In the event that I am not responsible, this paid option is strictly useful to me if it is not to advance compensation that you have not yet offered me after 5 months since I am not consolidated. And when I am, the Badinter law obliges insurance to compensate us within 5 months, therefore in view of the speed of your services, there is no point in making me the advance since the 5 months will already have passed, so already compensated by the responsible insurance.
The question is, why I can benefit from compensation from my insurance in the event of a responsible accident for an option that I pay and that I no longer benefit if I am not responsible?
OK, I will be compensated on the side of responsible insurance, but here we are talking about my motorcycle contract, not the "accident warranty" option that I paid for years for nothing. So sell this product by saying, "in the event of a responsible accident only".
Conclusion, if I am the right driver. I pay an option in the gas, I am sold from unattainable consolation!
PS: only one star for the price because 72 euros for nothing, I find it expensive.</v>
      </c>
    </row>
    <row r="605" ht="15.75" customHeight="1">
      <c r="A605" s="2">
        <v>2.0</v>
      </c>
      <c r="B605" s="2" t="s">
        <v>1733</v>
      </c>
      <c r="C605" s="2" t="s">
        <v>1734</v>
      </c>
      <c r="D605" s="2" t="s">
        <v>67</v>
      </c>
      <c r="E605" s="2" t="s">
        <v>14</v>
      </c>
      <c r="F605" s="2" t="s">
        <v>15</v>
      </c>
      <c r="G605" s="2" t="s">
        <v>1145</v>
      </c>
      <c r="H605" s="2" t="s">
        <v>77</v>
      </c>
      <c r="I605" s="2" t="str">
        <f>IFERROR(__xludf.DUMMYFUNCTION("GOOGLETRANSLATE(C605,""fr"",""en"")"),"zero service the customer must pay what we do not know we must take RV not such a direct just a fax price high to flee because the service has deteriorated")</f>
        <v>zero service the customer must pay what we do not know we must take RV not such a direct just a fax price high to flee because the service has deteriorated</v>
      </c>
    </row>
    <row r="606" ht="15.75" customHeight="1">
      <c r="A606" s="2">
        <v>1.0</v>
      </c>
      <c r="B606" s="2" t="s">
        <v>1735</v>
      </c>
      <c r="C606" s="2" t="s">
        <v>1736</v>
      </c>
      <c r="D606" s="2" t="s">
        <v>315</v>
      </c>
      <c r="E606" s="2" t="s">
        <v>429</v>
      </c>
      <c r="F606" s="2" t="s">
        <v>15</v>
      </c>
      <c r="G606" s="2" t="s">
        <v>141</v>
      </c>
      <c r="H606" s="2" t="s">
        <v>84</v>
      </c>
      <c r="I606" s="2" t="str">
        <f>IFERROR(__xludf.DUMMYFUNCTION("GOOGLETRANSLATE(C606,""fr"",""en"")"),"I subscribed to borrower insurance with ACMs in 2017. In March 2021 I was operated on. I developed symptoms then but which were not linked to the operation. I am still stopped with loss of salary. When I seized the insurance I was issued to me because sud"&amp;"denly an exclusion appeared when I was not informed. Despite diagnoses of several specialists highlighting the fact that I was developing another pathology absolutely not related to the Operation Insurance persists in the refusal of financing. Inadmissibl"&amp;"e. Insurance to flee.")</f>
        <v>I subscribed to borrower insurance with ACMs in 2017. In March 2021 I was operated on. I developed symptoms then but which were not linked to the operation. I am still stopped with loss of salary. When I seized the insurance I was issued to me because suddenly an exclusion appeared when I was not informed. Despite diagnoses of several specialists highlighting the fact that I was developing another pathology absolutely not related to the Operation Insurance persists in the refusal of financing. Inadmissible. Insurance to flee.</v>
      </c>
    </row>
    <row r="607" ht="15.75" customHeight="1">
      <c r="A607" s="2">
        <v>5.0</v>
      </c>
      <c r="B607" s="2" t="s">
        <v>1737</v>
      </c>
      <c r="C607" s="2" t="s">
        <v>1738</v>
      </c>
      <c r="D607" s="2" t="s">
        <v>39</v>
      </c>
      <c r="E607" s="2" t="s">
        <v>14</v>
      </c>
      <c r="F607" s="2" t="s">
        <v>15</v>
      </c>
      <c r="G607" s="2" t="s">
        <v>718</v>
      </c>
      <c r="H607" s="2" t="s">
        <v>17</v>
      </c>
      <c r="I607" s="2" t="str">
        <f>IFERROR(__xludf.DUMMYFUNCTION("GOOGLETRANSLATE(C607,""fr"",""en"")"),"After making several comparisons, I am really satisfied, the price is interesting, the process is simple and quick.
I also think of asking for a quote to ensure a second vehicle.
")</f>
        <v>After making several comparisons, I am really satisfied, the price is interesting, the process is simple and quick.
I also think of asking for a quote to ensure a second vehicle.
</v>
      </c>
    </row>
    <row r="608" ht="15.75" customHeight="1">
      <c r="A608" s="2">
        <v>5.0</v>
      </c>
      <c r="B608" s="2" t="s">
        <v>1739</v>
      </c>
      <c r="C608" s="2" t="s">
        <v>1740</v>
      </c>
      <c r="D608" s="2" t="s">
        <v>39</v>
      </c>
      <c r="E608" s="2" t="s">
        <v>14</v>
      </c>
      <c r="F608" s="2" t="s">
        <v>15</v>
      </c>
      <c r="G608" s="2" t="s">
        <v>27</v>
      </c>
      <c r="H608" s="2" t="s">
        <v>27</v>
      </c>
      <c r="I608" s="2" t="str">
        <f>IFERROR(__xludf.DUMMYFUNCTION("GOOGLETRANSLATE(C608,""fr"",""en"")"),"Great customer service thank you for your professionalism I hope, fast and very effective I was assured in a few minutes really at the top!")</f>
        <v>Great customer service thank you for your professionalism I hope, fast and very effective I was assured in a few minutes really at the top!</v>
      </c>
    </row>
    <row r="609" ht="15.75" customHeight="1">
      <c r="A609" s="2">
        <v>3.0</v>
      </c>
      <c r="B609" s="2" t="s">
        <v>1741</v>
      </c>
      <c r="C609" s="2" t="s">
        <v>1742</v>
      </c>
      <c r="D609" s="2" t="s">
        <v>25</v>
      </c>
      <c r="E609" s="2" t="s">
        <v>14</v>
      </c>
      <c r="F609" s="2" t="s">
        <v>15</v>
      </c>
      <c r="G609" s="2" t="s">
        <v>1743</v>
      </c>
      <c r="H609" s="2" t="s">
        <v>77</v>
      </c>
      <c r="I609" s="2" t="str">
        <f>IFERROR(__xludf.DUMMYFUNCTION("GOOGLETRANSLATE(C609,""fr"",""en"")"),"Thank you for everything, on the other hand at the quote it was not mentioned any file fees I hope that the price will really be that of the quote.
Cordially
Mrs. AMARO")</f>
        <v>Thank you for everything, on the other hand at the quote it was not mentioned any file fees I hope that the price will really be that of the quote.
Cordially
Mrs. AMARO</v>
      </c>
    </row>
    <row r="610" ht="15.75" customHeight="1">
      <c r="A610" s="2">
        <v>2.0</v>
      </c>
      <c r="B610" s="2" t="s">
        <v>1744</v>
      </c>
      <c r="C610" s="2" t="s">
        <v>1745</v>
      </c>
      <c r="D610" s="2" t="s">
        <v>914</v>
      </c>
      <c r="E610" s="2" t="s">
        <v>50</v>
      </c>
      <c r="F610" s="2" t="s">
        <v>15</v>
      </c>
      <c r="G610" s="2" t="s">
        <v>1746</v>
      </c>
      <c r="H610" s="2" t="s">
        <v>594</v>
      </c>
      <c r="I610" s="2" t="str">
        <f>IFERROR(__xludf.DUMMYFUNCTION("GOOGLETRANSLATE(C610,""fr"",""en"")"),"With its digital platform (without messaging), Groupama breaks all contact with its customers. Impossible to have a clear response to a request, no acknowledgment of receipt, they do half the job and they do not even apologize to the errors they make! Tot"&amp;"al stampede.")</f>
        <v>With its digital platform (without messaging), Groupama breaks all contact with its customers. Impossible to have a clear response to a request, no acknowledgment of receipt, they do half the job and they do not even apologize to the errors they make! Total stampede.</v>
      </c>
    </row>
    <row r="611" ht="15.75" customHeight="1">
      <c r="A611" s="2">
        <v>3.0</v>
      </c>
      <c r="B611" s="2" t="s">
        <v>1747</v>
      </c>
      <c r="C611" s="2" t="s">
        <v>1748</v>
      </c>
      <c r="D611" s="2" t="s">
        <v>67</v>
      </c>
      <c r="E611" s="2" t="s">
        <v>14</v>
      </c>
      <c r="F611" s="2" t="s">
        <v>15</v>
      </c>
      <c r="G611" s="2" t="s">
        <v>1231</v>
      </c>
      <c r="H611" s="2" t="s">
        <v>113</v>
      </c>
      <c r="I611" s="2" t="str">
        <f>IFERROR(__xludf.DUMMYFUNCTION("GOOGLETRANSLATE(C611,""fr"",""en"")"),"It would be wise to lower vehicle insurance costs because for my part, my car stayed in the garage during confinements. Thank you for taking my remark into account.")</f>
        <v>It would be wise to lower vehicle insurance costs because for my part, my car stayed in the garage during confinements. Thank you for taking my remark into account.</v>
      </c>
    </row>
    <row r="612" ht="15.75" customHeight="1">
      <c r="A612" s="2">
        <v>1.0</v>
      </c>
      <c r="B612" s="2" t="s">
        <v>1749</v>
      </c>
      <c r="C612" s="2" t="s">
        <v>1750</v>
      </c>
      <c r="D612" s="2" t="s">
        <v>770</v>
      </c>
      <c r="E612" s="2" t="s">
        <v>233</v>
      </c>
      <c r="F612" s="2" t="s">
        <v>15</v>
      </c>
      <c r="G612" s="2" t="s">
        <v>479</v>
      </c>
      <c r="H612" s="2" t="s">
        <v>109</v>
      </c>
      <c r="I612" s="2" t="str">
        <f>IFERROR(__xludf.DUMMYFUNCTION("GOOGLETRANSLATE(C612,""fr"",""en"")"),"I have contributed for several years for my supplementary retirement
I retired on September 30, 2020 - 6 months later when all the other organizations paid me, Generali has still not paid my retirement and give me no date - worse: they no longer answer o"&amp;"r My emails or my calls")</f>
        <v>I have contributed for several years for my supplementary retirement
I retired on September 30, 2020 - 6 months later when all the other organizations paid me, Generali has still not paid my retirement and give me no date - worse: they no longer answer or My emails or my calls</v>
      </c>
    </row>
    <row r="613" ht="15.75" customHeight="1">
      <c r="A613" s="2">
        <v>2.0</v>
      </c>
      <c r="B613" s="2" t="s">
        <v>1751</v>
      </c>
      <c r="C613" s="2" t="s">
        <v>1752</v>
      </c>
      <c r="D613" s="2" t="s">
        <v>25</v>
      </c>
      <c r="E613" s="2" t="s">
        <v>14</v>
      </c>
      <c r="F613" s="2" t="s">
        <v>15</v>
      </c>
      <c r="G613" s="2" t="s">
        <v>191</v>
      </c>
      <c r="H613" s="2" t="s">
        <v>101</v>
      </c>
      <c r="I613" s="2" t="str">
        <f>IFERROR(__xludf.DUMMYFUNCTION("GOOGLETRANSLATE(C613,""fr"",""en"")"),"I am rather satisfied with the service but there are big efforts to do concerning customer service because N has difficulty understanding everything they tell us during our telephone exchanges.
Cdt,")</f>
        <v>I am rather satisfied with the service but there are big efforts to do concerning customer service because N has difficulty understanding everything they tell us during our telephone exchanges.
Cdt,</v>
      </c>
    </row>
    <row r="614" ht="15.75" customHeight="1">
      <c r="A614" s="2">
        <v>4.0</v>
      </c>
      <c r="B614" s="2" t="s">
        <v>1753</v>
      </c>
      <c r="C614" s="2" t="s">
        <v>1754</v>
      </c>
      <c r="D614" s="2" t="s">
        <v>162</v>
      </c>
      <c r="E614" s="2" t="s">
        <v>45</v>
      </c>
      <c r="F614" s="2" t="s">
        <v>15</v>
      </c>
      <c r="G614" s="2" t="s">
        <v>767</v>
      </c>
      <c r="H614" s="2" t="s">
        <v>77</v>
      </c>
      <c r="I614" s="2" t="str">
        <f>IFERROR(__xludf.DUMMYFUNCTION("GOOGLETRANSLATE(C614,""fr"",""en"")"),"Thanks to Maria for her kindness, she knew how to guide me on the phone. Very professional and above all of great patience for novice people like me.")</f>
        <v>Thanks to Maria for her kindness, she knew how to guide me on the phone. Very professional and above all of great patience for novice people like me.</v>
      </c>
    </row>
    <row r="615" ht="15.75" customHeight="1">
      <c r="A615" s="2">
        <v>1.0</v>
      </c>
      <c r="B615" s="2" t="s">
        <v>1755</v>
      </c>
      <c r="C615" s="2" t="s">
        <v>1756</v>
      </c>
      <c r="D615" s="2" t="s">
        <v>259</v>
      </c>
      <c r="E615" s="2" t="s">
        <v>14</v>
      </c>
      <c r="F615" s="2" t="s">
        <v>15</v>
      </c>
      <c r="G615" s="2" t="s">
        <v>392</v>
      </c>
      <c r="H615" s="2" t="s">
        <v>238</v>
      </c>
      <c r="I615" s="2" t="str">
        <f>IFERROR(__xludf.DUMMYFUNCTION("GOOGLETRANSLATE(C615,""fr"",""en"")"),"I have been a shareholder at the Macif since 1972. I have said ""shareholder"". Indeed when the deadline on April 1st the Macif made the most and the least of what all the claims had cost the mutual, the amount of the cost of the due date could vary depen"&amp;"ding on the results. New advisers don't even know that it had existed?
Today the Macif has forgotten that it is a mutual and no longer makes this calculation but systematically applies an increase each year. While the number of disaster decreases.")</f>
        <v>I have been a shareholder at the Macif since 1972. I have said "shareholder". Indeed when the deadline on April 1st the Macif made the most and the least of what all the claims had cost the mutual, the amount of the cost of the due date could vary depending on the results. New advisers don't even know that it had existed?
Today the Macif has forgotten that it is a mutual and no longer makes this calculation but systematically applies an increase each year. While the number of disaster decreases.</v>
      </c>
    </row>
    <row r="616" ht="15.75" customHeight="1">
      <c r="A616" s="2">
        <v>5.0</v>
      </c>
      <c r="B616" s="2" t="s">
        <v>1757</v>
      </c>
      <c r="C616" s="2" t="s">
        <v>1758</v>
      </c>
      <c r="D616" s="2" t="s">
        <v>25</v>
      </c>
      <c r="E616" s="2" t="s">
        <v>14</v>
      </c>
      <c r="F616" s="2" t="s">
        <v>15</v>
      </c>
      <c r="G616" s="2" t="s">
        <v>1743</v>
      </c>
      <c r="H616" s="2" t="s">
        <v>77</v>
      </c>
      <c r="I616" s="2" t="str">
        <f>IFERROR(__xludf.DUMMYFUNCTION("GOOGLETRANSLATE(C616,""fr"",""en"")"),"Very satisfied with competition and very competitive
Pleasant on the phone, facilitates subscription = acquired confidence.
The best price among other things thank you")</f>
        <v>Very satisfied with competition and very competitive
Pleasant on the phone, facilitates subscription = acquired confidence.
The best price among other things thank you</v>
      </c>
    </row>
    <row r="617" ht="15.75" customHeight="1">
      <c r="A617" s="2">
        <v>1.0</v>
      </c>
      <c r="B617" s="2" t="s">
        <v>1759</v>
      </c>
      <c r="C617" s="2" t="s">
        <v>1760</v>
      </c>
      <c r="D617" s="2" t="s">
        <v>259</v>
      </c>
      <c r="E617" s="2" t="s">
        <v>14</v>
      </c>
      <c r="F617" s="2" t="s">
        <v>15</v>
      </c>
      <c r="G617" s="2" t="s">
        <v>1761</v>
      </c>
      <c r="H617" s="2" t="s">
        <v>637</v>
      </c>
      <c r="I617" s="2" t="str">
        <f>IFERROR(__xludf.DUMMYFUNCTION("GOOGLETRANSLATE(C617,""fr"",""en"")"),"A disaster that has been poorly taken care of. If you do not relaunch them you can always wait ... of an unnamed incompetence. And I weigh my words. The Macif again! Don't trust them!")</f>
        <v>A disaster that has been poorly taken care of. If you do not relaunch them you can always wait ... of an unnamed incompetence. And I weigh my words. The Macif again! Don't trust them!</v>
      </c>
    </row>
    <row r="618" ht="15.75" customHeight="1">
      <c r="A618" s="2">
        <v>3.0</v>
      </c>
      <c r="B618" s="2" t="s">
        <v>1762</v>
      </c>
      <c r="C618" s="2" t="s">
        <v>1763</v>
      </c>
      <c r="D618" s="2" t="s">
        <v>87</v>
      </c>
      <c r="E618" s="2" t="s">
        <v>14</v>
      </c>
      <c r="F618" s="2" t="s">
        <v>15</v>
      </c>
      <c r="G618" s="2" t="s">
        <v>1764</v>
      </c>
      <c r="H618" s="2" t="s">
        <v>847</v>
      </c>
      <c r="I618" s="2" t="str">
        <f>IFERROR(__xludf.DUMMYFUNCTION("GOOGLETRANSLATE(C618,""fr"",""en"")"),"After a telephone contact, a quote is transmitted lower than half the online quote, once the deposit has paid, they double the monthly payments, pretending to be wrong information, well -oiled thug methods")</f>
        <v>After a telephone contact, a quote is transmitted lower than half the online quote, once the deposit has paid, they double the monthly payments, pretending to be wrong information, well -oiled thug methods</v>
      </c>
    </row>
    <row r="619" ht="15.75" customHeight="1">
      <c r="A619" s="2">
        <v>2.0</v>
      </c>
      <c r="B619" s="2" t="s">
        <v>1765</v>
      </c>
      <c r="C619" s="2" t="s">
        <v>1766</v>
      </c>
      <c r="D619" s="2" t="s">
        <v>67</v>
      </c>
      <c r="E619" s="2" t="s">
        <v>50</v>
      </c>
      <c r="F619" s="2" t="s">
        <v>15</v>
      </c>
      <c r="G619" s="2" t="s">
        <v>173</v>
      </c>
      <c r="H619" s="2" t="s">
        <v>77</v>
      </c>
      <c r="I619" s="2" t="str">
        <f>IFERROR(__xludf.DUMMYFUNCTION("GOOGLETRANSLATE(C619,""fr"",""en"")"),"Fire caused by photovoltaic panels in June 21. The 4 rooms of my children are destroyed, they ""camp"" in the veranda from the loss. November, still no authorization to launch the work despite the cold cold (more boilers or wood stove). We find accommodat"&amp;"ion if we want to be relocated. Non -existent communication and support from GMF.
The GMF is far from being ""certainly human"" as the ad chants us !!!
To be recommended .........")</f>
        <v>Fire caused by photovoltaic panels in June 21. The 4 rooms of my children are destroyed, they "camp" in the veranda from the loss. November, still no authorization to launch the work despite the cold cold (more boilers or wood stove). We find accommodation if we want to be relocated. Non -existent communication and support from GMF.
The GMF is far from being "certainly human" as the ad chants us !!!
To be recommended .........</v>
      </c>
    </row>
    <row r="620" ht="15.75" customHeight="1">
      <c r="A620" s="2">
        <v>1.0</v>
      </c>
      <c r="B620" s="2" t="s">
        <v>1767</v>
      </c>
      <c r="C620" s="2" t="s">
        <v>1768</v>
      </c>
      <c r="D620" s="2" t="s">
        <v>107</v>
      </c>
      <c r="E620" s="2" t="s">
        <v>45</v>
      </c>
      <c r="F620" s="2" t="s">
        <v>15</v>
      </c>
      <c r="G620" s="2" t="s">
        <v>1432</v>
      </c>
      <c r="H620" s="2" t="s">
        <v>330</v>
      </c>
      <c r="I620" s="2" t="str">
        <f>IFERROR(__xludf.DUMMYFUNCTION("GOOGLETRANSLATE(C620,""fr"",""en"")"),"In November 2018 we meet my
Companion and myself (pregnant) unemployed.
I am then looking for a mutual
For our family. Following research on the Internet the Santiane broker reminds me of
Maintaining recovery and I end up joining Néoliane. Before gett"&amp;"ing involved I find out about the conditions of termination. The advisor I have confirmed to me that if my companion finds a job it is an admissible and legal reason for termination without waiting for the anniversary.
My companion finds a job on CDI on "&amp;"January 7, 2019. I inquire by calling them to make the termination and I am told to
do as quickly as possible so that everything is done quickly
so that I do not have the February subscription. I do
So the necessary steps for termination
of my contrac"&amp;"t. Asked me to send
supporting documents that I send.
And there magically start the problems.
Despite my many calls my many emails
to which no one responds I receive a letter which asks me to pay the deadline for February 2019! Two weeks later they an"&amp;"swer me by email telling me that my companion's employer certificate mentions the compulsory title for itself but not for the whole family. Never seen. They turn me in a praise by focusing on something that is not compulsory and its bad times. It's a sham"&amp;"e.
To subscribe to no problem. To terminate by
Against you put sticks in the wheels and we take you for fools.
I am pregnant and the stress that this problem generates
is huge for me. Not to mention the aspect
economic. I do not intend to stop ther"&amp;"e
And to make me enter.
Do not get it !!!")</f>
        <v>In November 2018 we meet my
Companion and myself (pregnant) unemployed.
I am then looking for a mutual
For our family. Following research on the Internet the Santiane broker reminds me of
Maintaining recovery and I end up joining Néoliane. Before getting involved I find out about the conditions of termination. The advisor I have confirmed to me that if my companion finds a job it is an admissible and legal reason for termination without waiting for the anniversary.
My companion finds a job on CDI on January 7, 2019. I inquire by calling them to make the termination and I am told to
do as quickly as possible so that everything is done quickly
so that I do not have the February subscription. I do
So the necessary steps for termination
of my contract. Asked me to send
supporting documents that I send.
And there magically start the problems.
Despite my many calls my many emails
to which no one responds I receive a letter which asks me to pay the deadline for February 2019! Two weeks later they answer me by email telling me that my companion's employer certificate mentions the compulsory title for itself but not for the whole family. Never seen. They turn me in a praise by focusing on something that is not compulsory and its bad times. It's a shame.
To subscribe to no problem. To terminate by
Against you put sticks in the wheels and we take you for fools.
I am pregnant and the stress that this problem generates
is huge for me. Not to mention the aspect
economic. I do not intend to stop there
And to make me enter.
Do not get it !!!</v>
      </c>
    </row>
    <row r="621" ht="15.75" customHeight="1">
      <c r="A621" s="2">
        <v>5.0</v>
      </c>
      <c r="B621" s="2" t="s">
        <v>1769</v>
      </c>
      <c r="C621" s="2" t="s">
        <v>1770</v>
      </c>
      <c r="D621" s="2" t="s">
        <v>25</v>
      </c>
      <c r="E621" s="2" t="s">
        <v>14</v>
      </c>
      <c r="F621" s="2" t="s">
        <v>15</v>
      </c>
      <c r="G621" s="2" t="s">
        <v>155</v>
      </c>
      <c r="H621" s="2" t="s">
        <v>101</v>
      </c>
      <c r="I621" s="2" t="str">
        <f>IFERROR(__xludf.DUMMYFUNCTION("GOOGLETRANSLATE(C621,""fr"",""en"")"),"Very satisfied quote and contract done quickly. An advisor calls me to finalize my quote and carry out the contract. The prices are attractive I recommend")</f>
        <v>Very satisfied quote and contract done quickly. An advisor calls me to finalize my quote and carry out the contract. The prices are attractive I recommend</v>
      </c>
    </row>
    <row r="622" ht="15.75" customHeight="1">
      <c r="A622" s="2">
        <v>5.0</v>
      </c>
      <c r="B622" s="2" t="s">
        <v>1771</v>
      </c>
      <c r="C622" s="2" t="s">
        <v>1772</v>
      </c>
      <c r="D622" s="2" t="s">
        <v>162</v>
      </c>
      <c r="E622" s="2" t="s">
        <v>45</v>
      </c>
      <c r="F622" s="2" t="s">
        <v>15</v>
      </c>
      <c r="G622" s="2" t="s">
        <v>1773</v>
      </c>
      <c r="H622" s="2" t="s">
        <v>688</v>
      </c>
      <c r="I622" s="2" t="str">
        <f>IFERROR(__xludf.DUMMYFUNCTION("GOOGLETRANSLATE(C622,""fr"",""en"")"),"Independent worker, I am fully satisfied to have chosen Santiane 6 years ago.
A small assessment of my needs, and in a few minutes, a quote for an adapted offer, almost no approach to perform.
Santiane is responsible for contacting me regularly in o"&amp;"rder to offer me offers according to the evolution of my needs and the market.")</f>
        <v>Independent worker, I am fully satisfied to have chosen Santiane 6 years ago.
A small assessment of my needs, and in a few minutes, a quote for an adapted offer, almost no approach to perform.
Santiane is responsible for contacting me regularly in order to offer me offers according to the evolution of my needs and the market.</v>
      </c>
    </row>
    <row r="623" ht="15.75" customHeight="1">
      <c r="A623" s="2">
        <v>1.0</v>
      </c>
      <c r="B623" s="2" t="s">
        <v>1774</v>
      </c>
      <c r="C623" s="2" t="s">
        <v>1775</v>
      </c>
      <c r="D623" s="2" t="s">
        <v>39</v>
      </c>
      <c r="E623" s="2" t="s">
        <v>14</v>
      </c>
      <c r="F623" s="2" t="s">
        <v>15</v>
      </c>
      <c r="G623" s="2" t="s">
        <v>1177</v>
      </c>
      <c r="H623" s="2" t="s">
        <v>27</v>
      </c>
      <c r="I623" s="2" t="str">
        <f>IFERROR(__xludf.DUMMYFUNCTION("GOOGLETRANSLATE(C623,""fr"",""en"")"),"Very disappointed, assured all risks, I was stolen my catalyst and refusal of care under the pretext that it is an isolated flight they also told me that it was the same if I was stolen from a rim, a retro, a bumper etc ... I will change insurance.")</f>
        <v>Very disappointed, assured all risks, I was stolen my catalyst and refusal of care under the pretext that it is an isolated flight they also told me that it was the same if I was stolen from a rim, a retro, a bumper etc ... I will change insurance.</v>
      </c>
    </row>
    <row r="624" ht="15.75" customHeight="1">
      <c r="A624" s="2">
        <v>1.0</v>
      </c>
      <c r="B624" s="2" t="s">
        <v>1776</v>
      </c>
      <c r="C624" s="2" t="s">
        <v>1777</v>
      </c>
      <c r="D624" s="2" t="s">
        <v>25</v>
      </c>
      <c r="E624" s="2" t="s">
        <v>14</v>
      </c>
      <c r="F624" s="2" t="s">
        <v>15</v>
      </c>
      <c r="G624" s="2" t="s">
        <v>1778</v>
      </c>
      <c r="H624" s="2" t="s">
        <v>1036</v>
      </c>
      <c r="I624" s="2" t="str">
        <f>IFERROR(__xludf.DUMMYFUNCTION("GOOGLETRANSLATE(C624,""fr"",""en"")"),"I have been assured for 3 years, my contributions have just increased by 38 % without reasons, customer service says that it is because of natural disasters !!! On the maturity notice is marked ""good news"" the franchises fall by 50 % thanks to my 3 year"&amp;"s, but the contribution rises by 38 %, you understood, the non -compliance with the customer is present in permance. I have a quote as if I were a new customer and there surprise my subscription does not have the + 38% and in addition it is lower than wha"&amp;"t I paid. !!!")</f>
        <v>I have been assured for 3 years, my contributions have just increased by 38 % without reasons, customer service says that it is because of natural disasters !!! On the maturity notice is marked "good news" the franchises fall by 50 % thanks to my 3 years, but the contribution rises by 38 %, you understood, the non -compliance with the customer is present in permance. I have a quote as if I were a new customer and there surprise my subscription does not have the + 38% and in addition it is lower than what I paid. !!!</v>
      </c>
    </row>
    <row r="625" ht="15.75" customHeight="1">
      <c r="A625" s="2">
        <v>2.0</v>
      </c>
      <c r="B625" s="2" t="s">
        <v>1779</v>
      </c>
      <c r="C625" s="2" t="s">
        <v>1780</v>
      </c>
      <c r="D625" s="2" t="s">
        <v>39</v>
      </c>
      <c r="E625" s="2" t="s">
        <v>14</v>
      </c>
      <c r="F625" s="2" t="s">
        <v>15</v>
      </c>
      <c r="G625" s="2" t="s">
        <v>1278</v>
      </c>
      <c r="H625" s="2" t="s">
        <v>101</v>
      </c>
      <c r="I625" s="2" t="str">
        <f>IFERROR(__xludf.DUMMYFUNCTION("GOOGLETRANSLATE(C625,""fr"",""en"")"),"
Direct insurance unreachable on the phone.
Unable to connect to the personal space.
After modification of MP always error message.
In short, no contact.
")</f>
        <v>
Direct insurance unreachable on the phone.
Unable to connect to the personal space.
After modification of MP always error message.
In short, no contact.
</v>
      </c>
    </row>
    <row r="626" ht="15.75" customHeight="1">
      <c r="A626" s="2">
        <v>5.0</v>
      </c>
      <c r="B626" s="2" t="s">
        <v>1781</v>
      </c>
      <c r="C626" s="2" t="s">
        <v>1782</v>
      </c>
      <c r="D626" s="2" t="s">
        <v>39</v>
      </c>
      <c r="E626" s="2" t="s">
        <v>14</v>
      </c>
      <c r="F626" s="2" t="s">
        <v>15</v>
      </c>
      <c r="G626" s="2" t="s">
        <v>84</v>
      </c>
      <c r="H626" s="2" t="s">
        <v>84</v>
      </c>
      <c r="I626" s="2" t="str">
        <f>IFERROR(__xludf.DUMMYFUNCTION("GOOGLETRANSLATE(C626,""fr"",""en"")"),"I am satisfied with the service, simple practical and inexpensive.
With tailor -made contracts and can be expensive. I have been a customer for two years and I am not disappointed.")</f>
        <v>I am satisfied with the service, simple practical and inexpensive.
With tailor -made contracts and can be expensive. I have been a customer for two years and I am not disappointed.</v>
      </c>
    </row>
    <row r="627" ht="15.75" customHeight="1">
      <c r="A627" s="2">
        <v>3.0</v>
      </c>
      <c r="B627" s="2" t="s">
        <v>1783</v>
      </c>
      <c r="C627" s="2" t="s">
        <v>1784</v>
      </c>
      <c r="D627" s="2" t="s">
        <v>361</v>
      </c>
      <c r="E627" s="2" t="s">
        <v>50</v>
      </c>
      <c r="F627" s="2" t="s">
        <v>15</v>
      </c>
      <c r="G627" s="2" t="s">
        <v>1785</v>
      </c>
      <c r="H627" s="2" t="s">
        <v>539</v>
      </c>
      <c r="I627" s="2" t="str">
        <f>IFERROR(__xludf.DUMMYFUNCTION("GOOGLETRANSLATE(C627,""fr"",""en"")"),"A MAIF since 1993. Regular payment of contributions supposedly my home insurance is the best. Several water damage incidents sending a contemptuous expert, incident on a cumulus no care. Water leak between the counter and the house no care. In conclusion,"&amp;" expensive insurance but no care. Very very disappointed I prospect alleirs")</f>
        <v>A MAIF since 1993. Regular payment of contributions supposedly my home insurance is the best. Several water damage incidents sending a contemptuous expert, incident on a cumulus no care. Water leak between the counter and the house no care. In conclusion, expensive insurance but no care. Very very disappointed I prospect alleirs</v>
      </c>
    </row>
    <row r="628" ht="15.75" customHeight="1">
      <c r="A628" s="2">
        <v>1.0</v>
      </c>
      <c r="B628" s="2" t="s">
        <v>1786</v>
      </c>
      <c r="C628" s="2" t="s">
        <v>1787</v>
      </c>
      <c r="D628" s="2" t="s">
        <v>137</v>
      </c>
      <c r="E628" s="2" t="s">
        <v>45</v>
      </c>
      <c r="F628" s="2" t="s">
        <v>15</v>
      </c>
      <c r="G628" s="2" t="s">
        <v>1788</v>
      </c>
      <c r="H628" s="2" t="s">
        <v>539</v>
      </c>
      <c r="I628" s="2" t="str">
        <f>IFERROR(__xludf.DUMMYFUNCTION("GOOGLETRANSLATE(C628,""fr"",""en"")"),"
It is not good to get sick with April Assurance. I am waiting for my daily allowances for a sick leave from 8/9/18 to 1/10/18.Soit saying a regulation made on 1/12 to my employer (who did not receive a payment notification), said on the phone that it ta"&amp;"kes 15 days because of bank deadlines. Personally it is the first time that I have heard such an aberrant response ... No Ampathy, to flee. Catastrophic customer service. No follow -up
I do not understand how customers who come to complain on this site p"&amp;"ut 2 or 3 stars ... Make sure that it goes down to 1 .... the minimum")</f>
        <v>
It is not good to get sick with April Assurance. I am waiting for my daily allowances for a sick leave from 8/9/18 to 1/10/18.Soit saying a regulation made on 1/12 to my employer (who did not receive a payment notification), said on the phone that it takes 15 days because of bank deadlines. Personally it is the first time that I have heard such an aberrant response ... No Ampathy, to flee. Catastrophic customer service. No follow -up
I do not understand how customers who come to complain on this site put 2 or 3 stars ... Make sure that it goes down to 1 .... the minimum</v>
      </c>
    </row>
    <row r="629" ht="15.75" customHeight="1">
      <c r="A629" s="2">
        <v>5.0</v>
      </c>
      <c r="B629" s="2" t="s">
        <v>1789</v>
      </c>
      <c r="C629" s="2" t="s">
        <v>1790</v>
      </c>
      <c r="D629" s="2" t="s">
        <v>25</v>
      </c>
      <c r="E629" s="2" t="s">
        <v>14</v>
      </c>
      <c r="F629" s="2" t="s">
        <v>15</v>
      </c>
      <c r="G629" s="2" t="s">
        <v>320</v>
      </c>
      <c r="H629" s="2" t="s">
        <v>27</v>
      </c>
      <c r="I629" s="2" t="str">
        <f>IFERROR(__xludf.DUMMYFUNCTION("GOOGLETRANSLATE(C629,""fr"",""en"")"),"I am satisfied with the price the steps its simple electronic signature at the top I recommend and hope to have the opportunity to have a godson.
Cordially .")</f>
        <v>I am satisfied with the price the steps its simple electronic signature at the top I recommend and hope to have the opportunity to have a godson.
Cordially .</v>
      </c>
    </row>
    <row r="630" ht="15.75" customHeight="1">
      <c r="A630" s="2">
        <v>3.0</v>
      </c>
      <c r="B630" s="2" t="s">
        <v>1791</v>
      </c>
      <c r="C630" s="2" t="s">
        <v>1792</v>
      </c>
      <c r="D630" s="2" t="s">
        <v>39</v>
      </c>
      <c r="E630" s="2" t="s">
        <v>14</v>
      </c>
      <c r="F630" s="2" t="s">
        <v>15</v>
      </c>
      <c r="G630" s="2" t="s">
        <v>1162</v>
      </c>
      <c r="H630" s="2" t="s">
        <v>109</v>
      </c>
      <c r="I630" s="2" t="str">
        <f>IFERROR(__xludf.DUMMYFUNCTION("GOOGLETRANSLATE(C630,""fr"",""en"")"),"Very responsive claims management team, really nothing to say
Competitive prices.
On the other hand, no responsiveness of customer service. I received information that my insurance contract was going to be terminated because too much claim (5) when it w"&amp;"as a direct insurance error (I had only 2). Very long obstacle course to cancel the termination when it is a direct insurance error (3 months and it is still not canceled) and each time you have to re -explain to different customer service advisers ... Ho"&amp;"teling I thought that Direct Insurance was going to be very responsive since the error came from their system and not at all it's me to justify me and repeat every time")</f>
        <v>Very responsive claims management team, really nothing to say
Competitive prices.
On the other hand, no responsiveness of customer service. I received information that my insurance contract was going to be terminated because too much claim (5) when it was a direct insurance error (I had only 2). Very long obstacle course to cancel the termination when it is a direct insurance error (3 months and it is still not canceled) and each time you have to re -explain to different customer service advisers ... Hoteling I thought that Direct Insurance was going to be very responsive since the error came from their system and not at all it's me to justify me and repeat every time</v>
      </c>
    </row>
    <row r="631" ht="15.75" customHeight="1">
      <c r="A631" s="2">
        <v>4.0</v>
      </c>
      <c r="B631" s="2" t="s">
        <v>1793</v>
      </c>
      <c r="C631" s="2" t="s">
        <v>1794</v>
      </c>
      <c r="D631" s="2" t="s">
        <v>241</v>
      </c>
      <c r="E631" s="2" t="s">
        <v>233</v>
      </c>
      <c r="F631" s="2" t="s">
        <v>15</v>
      </c>
      <c r="G631" s="2" t="s">
        <v>1795</v>
      </c>
      <c r="H631" s="2" t="s">
        <v>73</v>
      </c>
      <c r="I631" s="2" t="str">
        <f>IFERROR(__xludf.DUMMYFUNCTION("GOOGLETRANSLATE(C631,""fr"",""en"")"),"The telephone waiting time to obtain an interlocutor is too long.")</f>
        <v>The telephone waiting time to obtain an interlocutor is too long.</v>
      </c>
    </row>
    <row r="632" ht="15.75" customHeight="1">
      <c r="A632" s="2">
        <v>4.0</v>
      </c>
      <c r="B632" s="2" t="s">
        <v>1796</v>
      </c>
      <c r="C632" s="2" t="s">
        <v>1797</v>
      </c>
      <c r="D632" s="2" t="s">
        <v>25</v>
      </c>
      <c r="E632" s="2" t="s">
        <v>14</v>
      </c>
      <c r="F632" s="2" t="s">
        <v>15</v>
      </c>
      <c r="G632" s="2" t="s">
        <v>520</v>
      </c>
      <c r="H632" s="2" t="s">
        <v>113</v>
      </c>
      <c r="I632" s="2" t="str">
        <f>IFERROR(__xludf.DUMMYFUNCTION("GOOGLETRANSLATE(C632,""fr"",""en"")"),"Satisfied with the person I had on the phone. She was very competent. To see later but for the moment I am satisfied with the speed of membership.")</f>
        <v>Satisfied with the person I had on the phone. She was very competent. To see later but for the moment I am satisfied with the speed of membership.</v>
      </c>
    </row>
    <row r="633" ht="15.75" customHeight="1">
      <c r="A633" s="2">
        <v>4.0</v>
      </c>
      <c r="B633" s="2" t="s">
        <v>1798</v>
      </c>
      <c r="C633" s="2" t="s">
        <v>1799</v>
      </c>
      <c r="D633" s="2" t="s">
        <v>107</v>
      </c>
      <c r="E633" s="2" t="s">
        <v>45</v>
      </c>
      <c r="F633" s="2" t="s">
        <v>15</v>
      </c>
      <c r="G633" s="2" t="s">
        <v>1526</v>
      </c>
      <c r="H633" s="2" t="s">
        <v>120</v>
      </c>
      <c r="I633" s="2" t="str">
        <f>IFERROR(__xludf.DUMMYFUNCTION("GOOGLETRANSLATE(C633,""fr"",""en"")"),"I asked for information from Mariama - everything was perfect - precise answer, good reception, satisfaction obtained I recommend this insurer with good value for money")</f>
        <v>I asked for information from Mariama - everything was perfect - precise answer, good reception, satisfaction obtained I recommend this insurer with good value for money</v>
      </c>
    </row>
    <row r="634" ht="15.75" customHeight="1">
      <c r="A634" s="2">
        <v>3.0</v>
      </c>
      <c r="B634" s="2" t="s">
        <v>1800</v>
      </c>
      <c r="C634" s="2" t="s">
        <v>1801</v>
      </c>
      <c r="D634" s="2" t="s">
        <v>35</v>
      </c>
      <c r="E634" s="2" t="s">
        <v>31</v>
      </c>
      <c r="F634" s="2" t="s">
        <v>15</v>
      </c>
      <c r="G634" s="2" t="s">
        <v>1802</v>
      </c>
      <c r="H634" s="2" t="s">
        <v>371</v>
      </c>
      <c r="I634" s="2" t="str">
        <f>IFERROR(__xludf.DUMMYFUNCTION("GOOGLETRANSLATE(C634,""fr"",""en"")"),"At the third party if you fall alone even with a damage collision you have no reimbursement even body and the troubleshooting paid you like me 470 euros for a short trip, I lost everything with this insurance ??")</f>
        <v>At the third party if you fall alone even with a damage collision you have no reimbursement even body and the troubleshooting paid you like me 470 euros for a short trip, I lost everything with this insurance ??</v>
      </c>
    </row>
    <row r="635" ht="15.75" customHeight="1">
      <c r="A635" s="2">
        <v>2.0</v>
      </c>
      <c r="B635" s="2" t="s">
        <v>1803</v>
      </c>
      <c r="C635" s="2" t="s">
        <v>1804</v>
      </c>
      <c r="D635" s="2" t="s">
        <v>361</v>
      </c>
      <c r="E635" s="2" t="s">
        <v>14</v>
      </c>
      <c r="F635" s="2" t="s">
        <v>15</v>
      </c>
      <c r="G635" s="2" t="s">
        <v>895</v>
      </c>
      <c r="H635" s="2" t="s">
        <v>64</v>
      </c>
      <c r="I635" s="2" t="str">
        <f>IFERROR(__xludf.DUMMYFUNCTION("GOOGLETRANSLATE(C635,""fr"",""en"")"),"MAIF customer for several vehicles and housing I cannot be reimbursed for a troubleshooting invoice on the highway. I am worn by various ""advisers"" who send me back to the assistance they turn around on the Maif. This little game has been going on for 1"&amp;" month now while the amount is € 132. I want to point out that my vehicles are insured all risks, troubleshooting 0 km etc.
I have the feeling that this insurance does not like the ""groves"" although pretending to be militant insurer.
To read the vario"&amp;"us opinions posted I note that I am not the only one in this case.")</f>
        <v>MAIF customer for several vehicles and housing I cannot be reimbursed for a troubleshooting invoice on the highway. I am worn by various "advisers" who send me back to the assistance they turn around on the Maif. This little game has been going on for 1 month now while the amount is € 132. I want to point out that my vehicles are insured all risks, troubleshooting 0 km etc.
I have the feeling that this insurance does not like the "groves" although pretending to be militant insurer.
To read the various opinions posted I note that I am not the only one in this case.</v>
      </c>
    </row>
    <row r="636" ht="15.75" customHeight="1">
      <c r="A636" s="2">
        <v>5.0</v>
      </c>
      <c r="B636" s="2" t="s">
        <v>1805</v>
      </c>
      <c r="C636" s="2" t="s">
        <v>1806</v>
      </c>
      <c r="D636" s="2" t="s">
        <v>1807</v>
      </c>
      <c r="E636" s="2" t="s">
        <v>50</v>
      </c>
      <c r="F636" s="2" t="s">
        <v>15</v>
      </c>
      <c r="G636" s="2" t="s">
        <v>1478</v>
      </c>
      <c r="H636" s="2" t="s">
        <v>198</v>
      </c>
      <c r="I636" s="2" t="str">
        <f>IFERROR(__xludf.DUMMYFUNCTION("GOOGLETRANSLATE(C636,""fr"",""en"")"),"My Marie after a fall in a stepladder it made a herniated disc of many days of work was equipped in the cuccoute of our pesoin treated quickly helps at the end of the dates of work stoppage I recommend")</f>
        <v>My Marie after a fall in a stepladder it made a herniated disc of many days of work was equipped in the cuccoute of our pesoin treated quickly helps at the end of the dates of work stoppage I recommend</v>
      </c>
    </row>
    <row r="637" ht="15.75" customHeight="1">
      <c r="A637" s="2">
        <v>5.0</v>
      </c>
      <c r="B637" s="2" t="s">
        <v>1808</v>
      </c>
      <c r="C637" s="2" t="s">
        <v>1809</v>
      </c>
      <c r="D637" s="2" t="s">
        <v>208</v>
      </c>
      <c r="E637" s="2" t="s">
        <v>14</v>
      </c>
      <c r="F637" s="2" t="s">
        <v>15</v>
      </c>
      <c r="G637" s="2" t="s">
        <v>1810</v>
      </c>
      <c r="H637" s="2" t="s">
        <v>178</v>
      </c>
      <c r="I637" s="2" t="str">
        <f>IFERROR(__xludf.DUMMYFUNCTION("GOOGLETRANSLATE(C637,""fr"",""en"")"),"First claim in 8 years of license (not responsible). Very fast management. Welcome and clear explanations at the Thionville agency. No pressure to choose a garage rather than another, on the contrary I was told that I could go to my usual garage even if n"&amp;"ot approved.
The prices are correct and efforts are made to avoid annual increases. In 2017, the first increase in the subscription, after 2 years of stability.")</f>
        <v>First claim in 8 years of license (not responsible). Very fast management. Welcome and clear explanations at the Thionville agency. No pressure to choose a garage rather than another, on the contrary I was told that I could go to my usual garage even if not approved.
The prices are correct and efforts are made to avoid annual increases. In 2017, the first increase in the subscription, after 2 years of stability.</v>
      </c>
    </row>
    <row r="638" ht="15.75" customHeight="1">
      <c r="A638" s="2">
        <v>2.0</v>
      </c>
      <c r="B638" s="2" t="s">
        <v>1811</v>
      </c>
      <c r="C638" s="2" t="s">
        <v>1812</v>
      </c>
      <c r="D638" s="2" t="s">
        <v>1813</v>
      </c>
      <c r="E638" s="2" t="s">
        <v>429</v>
      </c>
      <c r="F638" s="2" t="s">
        <v>15</v>
      </c>
      <c r="G638" s="2" t="s">
        <v>453</v>
      </c>
      <c r="H638" s="2" t="s">
        <v>101</v>
      </c>
      <c r="I638" s="2" t="str">
        <f>IFERROR(__xludf.DUMMYFUNCTION("GOOGLETRANSLATE(C638,""fr"",""en"")"),"January. Quote from my dental surgeon addressed to Suravenir. 2 months later no answer. Telephone reminder in early March. The person in charge of my file promises me an answer the next day by email. Today, in early May I have still received nothing. It's"&amp;" distressing ... pitiful.")</f>
        <v>January. Quote from my dental surgeon addressed to Suravenir. 2 months later no answer. Telephone reminder in early March. The person in charge of my file promises me an answer the next day by email. Today, in early May I have still received nothing. It's distressing ... pitiful.</v>
      </c>
    </row>
    <row r="639" ht="15.75" customHeight="1">
      <c r="A639" s="2">
        <v>2.0</v>
      </c>
      <c r="B639" s="2" t="s">
        <v>1814</v>
      </c>
      <c r="C639" s="2" t="s">
        <v>1815</v>
      </c>
      <c r="D639" s="2" t="s">
        <v>95</v>
      </c>
      <c r="E639" s="2" t="s">
        <v>233</v>
      </c>
      <c r="F639" s="2" t="s">
        <v>15</v>
      </c>
      <c r="G639" s="2" t="s">
        <v>1816</v>
      </c>
      <c r="H639" s="2" t="s">
        <v>164</v>
      </c>
      <c r="I639" s="2" t="str">
        <f>IFERROR(__xludf.DUMMYFUNCTION("GOOGLETRANSLATE(C639,""fr"",""en"")"),"Hello here is my problem this is that I have been waiting for an annuity refund for several weeks software reception problem but if it was we who were money it would not be the same it won't hang around")</f>
        <v>Hello here is my problem this is that I have been waiting for an annuity refund for several weeks software reception problem but if it was we who were money it would not be the same it won't hang around</v>
      </c>
    </row>
    <row r="640" ht="15.75" customHeight="1">
      <c r="A640" s="2">
        <v>1.0</v>
      </c>
      <c r="B640" s="2" t="s">
        <v>1817</v>
      </c>
      <c r="C640" s="2" t="s">
        <v>1818</v>
      </c>
      <c r="D640" s="2" t="s">
        <v>39</v>
      </c>
      <c r="E640" s="2" t="s">
        <v>14</v>
      </c>
      <c r="F640" s="2" t="s">
        <v>15</v>
      </c>
      <c r="G640" s="2" t="s">
        <v>1162</v>
      </c>
      <c r="H640" s="2" t="s">
        <v>109</v>
      </c>
      <c r="I640" s="2" t="str">
        <f>IFERROR(__xludf.DUMMYFUNCTION("GOOGLETRANSLATE(C640,""fr"",""en"")"),"Direct Insurance is exceeded and very expensive. On the market there are offers per km at much better prices with the same contract terms. He makes no effort during confinement while the vehicles remained in the garage")</f>
        <v>Direct Insurance is exceeded and very expensive. On the market there are offers per km at much better prices with the same contract terms. He makes no effort during confinement while the vehicles remained in the garage</v>
      </c>
    </row>
    <row r="641" ht="15.75" customHeight="1">
      <c r="A641" s="2">
        <v>3.0</v>
      </c>
      <c r="B641" s="2" t="s">
        <v>1819</v>
      </c>
      <c r="C641" s="2" t="s">
        <v>1820</v>
      </c>
      <c r="D641" s="2" t="s">
        <v>39</v>
      </c>
      <c r="E641" s="2" t="s">
        <v>14</v>
      </c>
      <c r="F641" s="2" t="s">
        <v>15</v>
      </c>
      <c r="G641" s="2" t="s">
        <v>263</v>
      </c>
      <c r="H641" s="2" t="s">
        <v>113</v>
      </c>
      <c r="I641" s="2" t="str">
        <f>IFERROR(__xludf.DUMMYFUNCTION("GOOGLETRANSLATE(C641,""fr"",""en"")"),"Do we have to settle the full year?
I wanted to make a monthly payment but the site only proposes to pay a whole year.
A payment by monthly payment would have arranged me")</f>
        <v>Do we have to settle the full year?
I wanted to make a monthly payment but the site only proposes to pay a whole year.
A payment by monthly payment would have arranged me</v>
      </c>
    </row>
    <row r="642" ht="15.75" customHeight="1">
      <c r="A642" s="2">
        <v>2.0</v>
      </c>
      <c r="B642" s="2" t="s">
        <v>1821</v>
      </c>
      <c r="C642" s="2" t="s">
        <v>1822</v>
      </c>
      <c r="D642" s="2" t="s">
        <v>25</v>
      </c>
      <c r="E642" s="2" t="s">
        <v>14</v>
      </c>
      <c r="F642" s="2" t="s">
        <v>15</v>
      </c>
      <c r="G642" s="2" t="s">
        <v>112</v>
      </c>
      <c r="H642" s="2" t="s">
        <v>113</v>
      </c>
      <c r="I642" s="2" t="str">
        <f>IFERROR(__xludf.DUMMYFUNCTION("GOOGLETRANSLATE(C642,""fr"",""en"")"),"The price remains in the most competitive, but the very bad telephone service, we do not answer my questions and I still do not know how I will have a 50 € discount with the promo code ???")</f>
        <v>The price remains in the most competitive, but the very bad telephone service, we do not answer my questions and I still do not know how I will have a 50 € discount with the promo code ???</v>
      </c>
    </row>
    <row r="643" ht="15.75" customHeight="1">
      <c r="A643" s="2">
        <v>3.0</v>
      </c>
      <c r="B643" s="2" t="s">
        <v>1823</v>
      </c>
      <c r="C643" s="2" t="s">
        <v>1824</v>
      </c>
      <c r="D643" s="2" t="s">
        <v>259</v>
      </c>
      <c r="E643" s="2" t="s">
        <v>14</v>
      </c>
      <c r="F643" s="2" t="s">
        <v>15</v>
      </c>
      <c r="G643" s="2" t="s">
        <v>1825</v>
      </c>
      <c r="H643" s="2" t="s">
        <v>224</v>
      </c>
      <c r="I643" s="2" t="str">
        <f>IFERROR(__xludf.DUMMYFUNCTION("GOOGLETRANSLATE(C643,""fr"",""en"")"),"No !!! We can't say better. No one null zero null zero zero
It's a catastrophe. Above all, don't put your money on it.")</f>
        <v>No !!! We can't say better. No one null zero null zero zero
It's a catastrophe. Above all, don't put your money on it.</v>
      </c>
    </row>
    <row r="644" ht="15.75" customHeight="1">
      <c r="A644" s="2">
        <v>5.0</v>
      </c>
      <c r="B644" s="2" t="s">
        <v>1826</v>
      </c>
      <c r="C644" s="2" t="s">
        <v>1827</v>
      </c>
      <c r="D644" s="2" t="s">
        <v>208</v>
      </c>
      <c r="E644" s="2" t="s">
        <v>14</v>
      </c>
      <c r="F644" s="2" t="s">
        <v>15</v>
      </c>
      <c r="G644" s="2" t="s">
        <v>1828</v>
      </c>
      <c r="H644" s="2" t="s">
        <v>1083</v>
      </c>
      <c r="I644" s="2" t="str">
        <f>IFERROR(__xludf.DUMMYFUNCTION("GOOGLETRANSLATE(C644,""fr"",""en"")"),"Very good Customer Service Bravo. I have been a customer for years, and I find the quality of service is excellent. Smile welcome and products that meet expectations.")</f>
        <v>Very good Customer Service Bravo. I have been a customer for years, and I find the quality of service is excellent. Smile welcome and products that meet expectations.</v>
      </c>
    </row>
    <row r="645" ht="15.75" customHeight="1">
      <c r="A645" s="2">
        <v>5.0</v>
      </c>
      <c r="B645" s="2" t="s">
        <v>1829</v>
      </c>
      <c r="C645" s="2" t="s">
        <v>1830</v>
      </c>
      <c r="D645" s="2" t="s">
        <v>39</v>
      </c>
      <c r="E645" s="2" t="s">
        <v>14</v>
      </c>
      <c r="F645" s="2" t="s">
        <v>15</v>
      </c>
      <c r="G645" s="2" t="s">
        <v>1831</v>
      </c>
      <c r="H645" s="2" t="s">
        <v>27</v>
      </c>
      <c r="I645" s="2" t="str">
        <f>IFERROR(__xludf.DUMMYFUNCTION("GOOGLETRANSLATE(C645,""fr"",""en"")"),"I am satisfied with the services and the price, for the moment I never need to have my insurance walk so I would like to have a reduction on my contracts")</f>
        <v>I am satisfied with the services and the price, for the moment I never need to have my insurance walk so I would like to have a reduction on my contracts</v>
      </c>
    </row>
    <row r="646" ht="15.75" customHeight="1">
      <c r="A646" s="2">
        <v>1.0</v>
      </c>
      <c r="B646" s="2" t="s">
        <v>1832</v>
      </c>
      <c r="C646" s="2" t="s">
        <v>1833</v>
      </c>
      <c r="D646" s="2" t="s">
        <v>13</v>
      </c>
      <c r="E646" s="2" t="s">
        <v>14</v>
      </c>
      <c r="F646" s="2" t="s">
        <v>15</v>
      </c>
      <c r="G646" s="2" t="s">
        <v>1834</v>
      </c>
      <c r="H646" s="2" t="s">
        <v>325</v>
      </c>
      <c r="I646" s="2" t="str">
        <f>IFERROR(__xludf.DUMMYFUNCTION("GOOGLETRANSLATE(C646,""fr"",""en"")"),"Very disappointed because my wife went to a garage to repair and the garage lent him a vehicle but it got complicated when it was necessary to change the insurance to avoid the deductible on the loan car. My wife is not the subscriber but only the main dr"&amp;"iver she was therefore not authorized by Pacifica to make the change. So if she had an accident with this car we had a big frankness. For them only the subscriber can make changes !!!! Other insurances do it without reluctant.")</f>
        <v>Very disappointed because my wife went to a garage to repair and the garage lent him a vehicle but it got complicated when it was necessary to change the insurance to avoid the deductible on the loan car. My wife is not the subscriber but only the main driver she was therefore not authorized by Pacifica to make the change. So if she had an accident with this car we had a big frankness. For them only the subscriber can make changes !!!! Other insurances do it without reluctant.</v>
      </c>
    </row>
    <row r="647" ht="15.75" customHeight="1">
      <c r="A647" s="2">
        <v>4.0</v>
      </c>
      <c r="B647" s="2" t="s">
        <v>1835</v>
      </c>
      <c r="C647" s="2" t="s">
        <v>1836</v>
      </c>
      <c r="D647" s="2" t="s">
        <v>25</v>
      </c>
      <c r="E647" s="2" t="s">
        <v>14</v>
      </c>
      <c r="F647" s="2" t="s">
        <v>15</v>
      </c>
      <c r="G647" s="2" t="s">
        <v>1837</v>
      </c>
      <c r="H647" s="2" t="s">
        <v>120</v>
      </c>
      <c r="I647" s="2" t="str">
        <f>IFERROR(__xludf.DUMMYFUNCTION("GOOGLETRANSLATE(C647,""fr"",""en"")"),"I am satisfied with very attentive customer service, respond to all our problems, the prices are correct, to see subsequently in terms of guarantees")</f>
        <v>I am satisfied with very attentive customer service, respond to all our problems, the prices are correct, to see subsequently in terms of guarantees</v>
      </c>
    </row>
    <row r="648" ht="15.75" customHeight="1">
      <c r="A648" s="2">
        <v>5.0</v>
      </c>
      <c r="B648" s="2" t="s">
        <v>1838</v>
      </c>
      <c r="C648" s="2" t="s">
        <v>1839</v>
      </c>
      <c r="D648" s="2" t="s">
        <v>25</v>
      </c>
      <c r="E648" s="2" t="s">
        <v>14</v>
      </c>
      <c r="F648" s="2" t="s">
        <v>15</v>
      </c>
      <c r="G648" s="2" t="s">
        <v>138</v>
      </c>
      <c r="H648" s="2" t="s">
        <v>64</v>
      </c>
      <c r="I648" s="2" t="str">
        <f>IFERROR(__xludf.DUMMYFUNCTION("GOOGLETRANSLATE(C648,""fr"",""en"")"),"I am satisfied with the service and very well informed about the insurance contract and question of the price is reasonable I thanked you very soon")</f>
        <v>I am satisfied with the service and very well informed about the insurance contract and question of the price is reasonable I thanked you very soon</v>
      </c>
    </row>
    <row r="649" ht="15.75" customHeight="1">
      <c r="A649" s="2">
        <v>1.0</v>
      </c>
      <c r="B649" s="2" t="s">
        <v>1840</v>
      </c>
      <c r="C649" s="2" t="s">
        <v>1841</v>
      </c>
      <c r="D649" s="2" t="s">
        <v>315</v>
      </c>
      <c r="E649" s="2" t="s">
        <v>50</v>
      </c>
      <c r="F649" s="2" t="s">
        <v>15</v>
      </c>
      <c r="G649" s="2" t="s">
        <v>1842</v>
      </c>
      <c r="H649" s="2" t="s">
        <v>539</v>
      </c>
      <c r="I649" s="2" t="str">
        <f>IFERROR(__xludf.DUMMYFUNCTION("GOOGLETRANSLATE(C649,""fr"",""en"")"),"Since early June date of a declaration of claim the file has been dragged, a zero and liar mandated expert who takes more than a month to make a report (still not trapped in insurance) returns because has not seen well in the calculations puts exclusions "&amp;"to me in my contract and absolutely wants to have me sign a letter of acceptance by sending me a cloth because of its annotations on the quotes !!! In short, after my recommended, stress a week and I go in front of the TGI. Information to flee and also nu"&amp;"llise telephone advisers and all for a sacred price!")</f>
        <v>Since early June date of a declaration of claim the file has been dragged, a zero and liar mandated expert who takes more than a month to make a report (still not trapped in insurance) returns because has not seen well in the calculations puts exclusions to me in my contract and absolutely wants to have me sign a letter of acceptance by sending me a cloth because of its annotations on the quotes !!! In short, after my recommended, stress a week and I go in front of the TGI. Information to flee and also nullise telephone advisers and all for a sacred price!</v>
      </c>
    </row>
    <row r="650" ht="15.75" customHeight="1">
      <c r="A650" s="2">
        <v>3.0</v>
      </c>
      <c r="B650" s="2" t="s">
        <v>1843</v>
      </c>
      <c r="C650" s="2" t="s">
        <v>1844</v>
      </c>
      <c r="D650" s="2" t="s">
        <v>39</v>
      </c>
      <c r="E650" s="2" t="s">
        <v>14</v>
      </c>
      <c r="F650" s="2" t="s">
        <v>15</v>
      </c>
      <c r="G650" s="2" t="s">
        <v>443</v>
      </c>
      <c r="H650" s="2" t="s">
        <v>27</v>
      </c>
      <c r="I650" s="2" t="str">
        <f>IFERROR(__xludf.DUMMYFUNCTION("GOOGLETRANSLATE(C650,""fr"",""en"")"),"Good insurance, but now, having more than 3 years of license, I find it a little expensive, for a minimum third party.
My vehicle is small displacement and my bonus has increased.
")</f>
        <v>Good insurance, but now, having more than 3 years of license, I find it a little expensive, for a minimum third party.
My vehicle is small displacement and my bonus has increased.
</v>
      </c>
    </row>
    <row r="651" ht="15.75" customHeight="1">
      <c r="A651" s="2">
        <v>1.0</v>
      </c>
      <c r="B651" s="2" t="s">
        <v>1845</v>
      </c>
      <c r="C651" s="2" t="s">
        <v>1846</v>
      </c>
      <c r="D651" s="2" t="s">
        <v>328</v>
      </c>
      <c r="E651" s="2" t="s">
        <v>429</v>
      </c>
      <c r="F651" s="2" t="s">
        <v>15</v>
      </c>
      <c r="G651" s="2" t="s">
        <v>1847</v>
      </c>
      <c r="H651" s="2" t="s">
        <v>594</v>
      </c>
      <c r="I651" s="2" t="str">
        <f>IFERROR(__xludf.DUMMYFUNCTION("GOOGLETRANSLATE(C651,""fr"",""en"")"),"At a time when we are told to be careful for the planet it is not for you. On February 17, 2020, three identical letters comprising for 9 A4 sheets. Still no answers.")</f>
        <v>At a time when we are told to be careful for the planet it is not for you. On February 17, 2020, three identical letters comprising for 9 A4 sheets. Still no answers.</v>
      </c>
    </row>
    <row r="652" ht="15.75" customHeight="1">
      <c r="A652" s="2">
        <v>4.0</v>
      </c>
      <c r="B652" s="2" t="s">
        <v>1848</v>
      </c>
      <c r="C652" s="2" t="s">
        <v>1849</v>
      </c>
      <c r="D652" s="2" t="s">
        <v>67</v>
      </c>
      <c r="E652" s="2" t="s">
        <v>14</v>
      </c>
      <c r="F652" s="2" t="s">
        <v>15</v>
      </c>
      <c r="G652" s="2" t="s">
        <v>1698</v>
      </c>
      <c r="H652" s="2" t="s">
        <v>84</v>
      </c>
      <c r="I652" s="2" t="str">
        <f>IFERROR(__xludf.DUMMYFUNCTION("GOOGLETRANSLATE(C652,""fr"",""en"")"),"A little expensive given my seniority as a customer and having my multiple contracts. A starting schedule not respected because continuous increases, from month to month, without communication or reason exposed. Even if sometimes it is only a few cents, a"&amp;"fter several years, it is starting to be a lot ... and no ""real"" bonus as a good driver on many years ...")</f>
        <v>A little expensive given my seniority as a customer and having my multiple contracts. A starting schedule not respected because continuous increases, from month to month, without communication or reason exposed. Even if sometimes it is only a few cents, after several years, it is starting to be a lot ... and no "real" bonus as a good driver on many years ...</v>
      </c>
    </row>
    <row r="653" ht="15.75" customHeight="1">
      <c r="A653" s="2">
        <v>1.0</v>
      </c>
      <c r="B653" s="2" t="s">
        <v>1850</v>
      </c>
      <c r="C653" s="2" t="s">
        <v>1851</v>
      </c>
      <c r="D653" s="2" t="s">
        <v>398</v>
      </c>
      <c r="E653" s="2" t="s">
        <v>45</v>
      </c>
      <c r="F653" s="2" t="s">
        <v>15</v>
      </c>
      <c r="G653" s="2" t="s">
        <v>1852</v>
      </c>
      <c r="H653" s="2" t="s">
        <v>594</v>
      </c>
      <c r="I653" s="2" t="str">
        <f>IFERROR(__xludf.DUMMYFUNCTION("GOOGLETRANSLATE(C653,""fr"",""en"")"),"Lamentable and ultra unpleasant customer service on the phone
Contributions that increase exponentially every year
Impossible to create an account on their website without being able to give me a valid reason")</f>
        <v>Lamentable and ultra unpleasant customer service on the phone
Contributions that increase exponentially every year
Impossible to create an account on their website without being able to give me a valid reason</v>
      </c>
    </row>
    <row r="654" ht="15.75" customHeight="1">
      <c r="A654" s="2">
        <v>3.0</v>
      </c>
      <c r="B654" s="2" t="s">
        <v>1853</v>
      </c>
      <c r="C654" s="2" t="s">
        <v>1854</v>
      </c>
      <c r="D654" s="2" t="s">
        <v>1058</v>
      </c>
      <c r="E654" s="2" t="s">
        <v>347</v>
      </c>
      <c r="F654" s="2" t="s">
        <v>15</v>
      </c>
      <c r="G654" s="2" t="s">
        <v>1855</v>
      </c>
      <c r="H654" s="2" t="s">
        <v>847</v>
      </c>
      <c r="I654" s="2" t="str">
        <f>IFERROR(__xludf.DUMMYFUNCTION("GOOGLETRANSLATE(C654,""fr"",""en"")"),"I want to say that I am disappointed with the lack of professionalism and especially why subscribe if behind you don't get whole
 satisfaction concerning our services even by being in our law. I find that the seller sells us from the dream")</f>
        <v>I want to say that I am disappointed with the lack of professionalism and especially why subscribe if behind you don't get whole
 satisfaction concerning our services even by being in our law. I find that the seller sells us from the dream</v>
      </c>
    </row>
    <row r="655" ht="15.75" customHeight="1">
      <c r="A655" s="2">
        <v>4.0</v>
      </c>
      <c r="B655" s="2" t="s">
        <v>1856</v>
      </c>
      <c r="C655" s="2" t="s">
        <v>1857</v>
      </c>
      <c r="D655" s="2" t="s">
        <v>67</v>
      </c>
      <c r="E655" s="2" t="s">
        <v>14</v>
      </c>
      <c r="F655" s="2" t="s">
        <v>15</v>
      </c>
      <c r="G655" s="2" t="s">
        <v>1245</v>
      </c>
      <c r="H655" s="2" t="s">
        <v>101</v>
      </c>
      <c r="I655" s="2" t="str">
        <f>IFERROR(__xludf.DUMMYFUNCTION("GOOGLETRANSLATE(C655,""fr"",""en"")"),"Overall satisfied by the quality/price ratio of services. Coverage and reimbursement of satisfactory claims. Very easy internet management, the situation of the office closest to my home not allowing free parking nearby.")</f>
        <v>Overall satisfied by the quality/price ratio of services. Coverage and reimbursement of satisfactory claims. Very easy internet management, the situation of the office closest to my home not allowing free parking nearby.</v>
      </c>
    </row>
    <row r="656" ht="15.75" customHeight="1">
      <c r="A656" s="2">
        <v>5.0</v>
      </c>
      <c r="B656" s="2" t="s">
        <v>1858</v>
      </c>
      <c r="C656" s="2" t="s">
        <v>1859</v>
      </c>
      <c r="D656" s="2" t="s">
        <v>25</v>
      </c>
      <c r="E656" s="2" t="s">
        <v>14</v>
      </c>
      <c r="F656" s="2" t="s">
        <v>15</v>
      </c>
      <c r="G656" s="2" t="s">
        <v>1860</v>
      </c>
      <c r="H656" s="2" t="s">
        <v>120</v>
      </c>
      <c r="I656" s="2" t="str">
        <f>IFERROR(__xludf.DUMMYFUNCTION("GOOGLETRANSLATE(C656,""fr"",""en"")"),"Affordable price, reactive online service, offer adapted to the need and precise and clear information made available. Newly registered, we have access to our account easily")</f>
        <v>Affordable price, reactive online service, offer adapted to the need and precise and clear information made available. Newly registered, we have access to our account easily</v>
      </c>
    </row>
    <row r="657" ht="15.75" customHeight="1">
      <c r="A657" s="2">
        <v>2.0</v>
      </c>
      <c r="B657" s="2" t="s">
        <v>1861</v>
      </c>
      <c r="C657" s="2" t="s">
        <v>1862</v>
      </c>
      <c r="D657" s="2" t="s">
        <v>25</v>
      </c>
      <c r="E657" s="2" t="s">
        <v>14</v>
      </c>
      <c r="F657" s="2" t="s">
        <v>15</v>
      </c>
      <c r="G657" s="2" t="s">
        <v>1863</v>
      </c>
      <c r="H657" s="2" t="s">
        <v>69</v>
      </c>
      <c r="I657" s="2" t="str">
        <f>IFERROR(__xludf.DUMMYFUNCTION("GOOGLETRANSLATE(C657,""fr"",""en"")"),"Intervention deleted at the request of the Internet user.")</f>
        <v>Intervention deleted at the request of the Internet user.</v>
      </c>
    </row>
    <row r="658" ht="15.75" customHeight="1">
      <c r="A658" s="2">
        <v>1.0</v>
      </c>
      <c r="B658" s="2" t="s">
        <v>1864</v>
      </c>
      <c r="C658" s="2" t="s">
        <v>1865</v>
      </c>
      <c r="D658" s="2" t="s">
        <v>25</v>
      </c>
      <c r="E658" s="2" t="s">
        <v>14</v>
      </c>
      <c r="F658" s="2" t="s">
        <v>15</v>
      </c>
      <c r="G658" s="2" t="s">
        <v>1866</v>
      </c>
      <c r="H658" s="2" t="s">
        <v>22</v>
      </c>
      <c r="I658" s="2" t="str">
        <f>IFERROR(__xludf.DUMMYFUNCTION("GOOGLETRANSLATE(C658,""fr"",""en"")"),"Undoubtedly the worst insurer of all time")</f>
        <v>Undoubtedly the worst insurer of all time</v>
      </c>
    </row>
    <row r="659" ht="15.75" customHeight="1">
      <c r="A659" s="2">
        <v>1.0</v>
      </c>
      <c r="B659" s="2" t="s">
        <v>1867</v>
      </c>
      <c r="C659" s="2" t="s">
        <v>1868</v>
      </c>
      <c r="D659" s="2" t="s">
        <v>398</v>
      </c>
      <c r="E659" s="2" t="s">
        <v>45</v>
      </c>
      <c r="F659" s="2" t="s">
        <v>15</v>
      </c>
      <c r="G659" s="2" t="s">
        <v>1869</v>
      </c>
      <c r="H659" s="2" t="s">
        <v>317</v>
      </c>
      <c r="I659" s="2" t="str">
        <f>IFERROR(__xludf.DUMMYFUNCTION("GOOGLETRANSLATE(C659,""fr"",""en"")"),"I am told that the inscription is immediate. More than a month !
3 months to receive my card.
However, the samples are retroactive.
At the agency, I am advised to go through the app.
I download the app. It is molding. It always grinds. However, I un"&amp;"installed and reinstalled the app.
I go through the site. I click on ""Attach a document"". Message: ""Mhmeditaccount is not available at the moment"".
I let you judge ...
The monthly payments are high and if it is to have such a lamentable service. "&amp;"I'm wondering !?
")</f>
        <v>I am told that the inscription is immediate. More than a month !
3 months to receive my card.
However, the samples are retroactive.
At the agency, I am advised to go through the app.
I download the app. It is molding. It always grinds. However, I uninstalled and reinstalled the app.
I go through the site. I click on "Attach a document". Message: "Mhmeditaccount is not available at the moment".
I let you judge ...
The monthly payments are high and if it is to have such a lamentable service. I'm wondering !?
</v>
      </c>
    </row>
    <row r="660" ht="15.75" customHeight="1">
      <c r="A660" s="2">
        <v>5.0</v>
      </c>
      <c r="B660" s="2" t="s">
        <v>1870</v>
      </c>
      <c r="C660" s="2" t="s">
        <v>1871</v>
      </c>
      <c r="D660" s="2" t="s">
        <v>67</v>
      </c>
      <c r="E660" s="2" t="s">
        <v>14</v>
      </c>
      <c r="F660" s="2" t="s">
        <v>15</v>
      </c>
      <c r="G660" s="2" t="s">
        <v>1872</v>
      </c>
      <c r="H660" s="2" t="s">
        <v>109</v>
      </c>
      <c r="I660" s="2" t="str">
        <f>IFERROR(__xludf.DUMMYFUNCTION("GOOGLETRANSLATE(C660,""fr"",""en"")"),"The advisers are very patient and professional that changes me with previous insurance companies. My claims quickly adjusted and works carefully. A little waiting to reach claims but good compared to it that remains reasonable. Suddenly a big thank you th"&amp;"e GMF")</f>
        <v>The advisers are very patient and professional that changes me with previous insurance companies. My claims quickly adjusted and works carefully. A little waiting to reach claims but good compared to it that remains reasonable. Suddenly a big thank you the GMF</v>
      </c>
    </row>
    <row r="661" ht="15.75" customHeight="1">
      <c r="A661" s="2">
        <v>4.0</v>
      </c>
      <c r="B661" s="2" t="s">
        <v>1873</v>
      </c>
      <c r="C661" s="2" t="s">
        <v>1874</v>
      </c>
      <c r="D661" s="2" t="s">
        <v>35</v>
      </c>
      <c r="E661" s="2" t="s">
        <v>31</v>
      </c>
      <c r="F661" s="2" t="s">
        <v>15</v>
      </c>
      <c r="G661" s="2" t="s">
        <v>1860</v>
      </c>
      <c r="H661" s="2" t="s">
        <v>113</v>
      </c>
      <c r="I661" s="2" t="str">
        <f>IFERROR(__xludf.DUMMYFUNCTION("GOOGLETRANSLATE(C661,""fr"",""en"")"),"I terminated my insurance contracts for health reasons. I have never had a reason to complain since I subscribed my contracts at AMV.
The site is well constructed and allows you to find an answer to my questions.")</f>
        <v>I terminated my insurance contracts for health reasons. I have never had a reason to complain since I subscribed my contracts at AMV.
The site is well constructed and allows you to find an answer to my questions.</v>
      </c>
    </row>
    <row r="662" ht="15.75" customHeight="1">
      <c r="A662" s="2">
        <v>4.0</v>
      </c>
      <c r="B662" s="2" t="s">
        <v>1875</v>
      </c>
      <c r="C662" s="2" t="s">
        <v>1876</v>
      </c>
      <c r="D662" s="2" t="s">
        <v>39</v>
      </c>
      <c r="E662" s="2" t="s">
        <v>14</v>
      </c>
      <c r="F662" s="2" t="s">
        <v>15</v>
      </c>
      <c r="G662" s="2" t="s">
        <v>1877</v>
      </c>
      <c r="H662" s="2" t="s">
        <v>17</v>
      </c>
      <c r="I662" s="2" t="str">
        <f>IFERROR(__xludf.DUMMYFUNCTION("GOOGLETRANSLATE(C662,""fr"",""en"")"),"First telephonic appointment very well with a young man who was to remind me of the finalization, no recall, so I recalled myself and I came across a fairly unpleasant woman who clearly took me for a six -week rabbit in telling me that she knew better tha"&amp;"n me what a contract number it was necessary to call my current insurance he turns out that I was right")</f>
        <v>First telephonic appointment very well with a young man who was to remind me of the finalization, no recall, so I recalled myself and I came across a fairly unpleasant woman who clearly took me for a six -week rabbit in telling me that she knew better than me what a contract number it was necessary to call my current insurance he turns out that I was right</v>
      </c>
    </row>
    <row r="663" ht="15.75" customHeight="1">
      <c r="A663" s="2">
        <v>5.0</v>
      </c>
      <c r="B663" s="2" t="s">
        <v>1878</v>
      </c>
      <c r="C663" s="2" t="s">
        <v>1879</v>
      </c>
      <c r="D663" s="2" t="s">
        <v>35</v>
      </c>
      <c r="E663" s="2" t="s">
        <v>31</v>
      </c>
      <c r="F663" s="2" t="s">
        <v>15</v>
      </c>
      <c r="G663" s="2" t="s">
        <v>612</v>
      </c>
      <c r="H663" s="2" t="s">
        <v>113</v>
      </c>
      <c r="I663" s="2" t="str">
        <f>IFERROR(__xludf.DUMMYFUNCTION("GOOGLETRANSLATE(C663,""fr"",""en"")"),"I am satisfied with the service, the price and the offer is interesting. I already have two other insured vehicles (motorcycles) and I am satisfied. I recommend.")</f>
        <v>I am satisfied with the service, the price and the offer is interesting. I already have two other insured vehicles (motorcycles) and I am satisfied. I recommend.</v>
      </c>
    </row>
    <row r="664" ht="15.75" customHeight="1">
      <c r="A664" s="2">
        <v>5.0</v>
      </c>
      <c r="B664" s="2" t="s">
        <v>1880</v>
      </c>
      <c r="C664" s="2" t="s">
        <v>1881</v>
      </c>
      <c r="D664" s="2" t="s">
        <v>25</v>
      </c>
      <c r="E664" s="2" t="s">
        <v>14</v>
      </c>
      <c r="F664" s="2" t="s">
        <v>15</v>
      </c>
      <c r="G664" s="2" t="s">
        <v>1264</v>
      </c>
      <c r="H664" s="2" t="s">
        <v>27</v>
      </c>
      <c r="I664" s="2" t="str">
        <f>IFERROR(__xludf.DUMMYFUNCTION("GOOGLETRANSLATE(C664,""fr"",""en"")"),"I am satisfied with the telephone reception, the site interface, the prices offered in relation to the guarantees offered, the speed of execution of the contract.")</f>
        <v>I am satisfied with the telephone reception, the site interface, the prices offered in relation to the guarantees offered, the speed of execution of the contract.</v>
      </c>
    </row>
    <row r="665" ht="15.75" customHeight="1">
      <c r="A665" s="2">
        <v>3.0</v>
      </c>
      <c r="B665" s="2" t="s">
        <v>1882</v>
      </c>
      <c r="C665" s="2" t="s">
        <v>1883</v>
      </c>
      <c r="D665" s="2" t="s">
        <v>107</v>
      </c>
      <c r="E665" s="2" t="s">
        <v>45</v>
      </c>
      <c r="F665" s="2" t="s">
        <v>15</v>
      </c>
      <c r="G665" s="2" t="s">
        <v>1541</v>
      </c>
      <c r="H665" s="2" t="s">
        <v>688</v>
      </c>
      <c r="I665" s="2" t="str">
        <f>IFERROR(__xludf.DUMMYFUNCTION("GOOGLETRANSLATE(C665,""fr"",""en"")"),"Quite difficult reimbursements at the dental level compared to the contract. Poor precision concerning the clauses. Otherwise, everything is renegotiable and the interlocutors are very kind. Effective telework.")</f>
        <v>Quite difficult reimbursements at the dental level compared to the contract. Poor precision concerning the clauses. Otherwise, everything is renegotiable and the interlocutors are very kind. Effective telework.</v>
      </c>
    </row>
    <row r="666" ht="15.75" customHeight="1">
      <c r="A666" s="2">
        <v>1.0</v>
      </c>
      <c r="B666" s="2" t="s">
        <v>1884</v>
      </c>
      <c r="C666" s="2" t="s">
        <v>1885</v>
      </c>
      <c r="D666" s="2" t="s">
        <v>107</v>
      </c>
      <c r="E666" s="2" t="s">
        <v>45</v>
      </c>
      <c r="F666" s="2" t="s">
        <v>15</v>
      </c>
      <c r="G666" s="2" t="s">
        <v>1886</v>
      </c>
      <c r="H666" s="2" t="s">
        <v>1627</v>
      </c>
      <c r="I666" s="2" t="str">
        <f>IFERROR(__xludf.DUMMYFUNCTION("GOOGLETRANSLATE(C666,""fr"",""en"")"),"Today on August 6, 2018 I was shocked by an unscrupulous dealer of your products who pretended to be a person from the URSSAF and thus forcing me to sign a contract. Of course, believing that it was the real organization, I agreed to send it the validatio"&amp;"n code which was worth good for agreement. 5 mins later, I called him to retract myself and this one threatened to harm my activity if I did not take out the contract. I just opposed the bank.")</f>
        <v>Today on August 6, 2018 I was shocked by an unscrupulous dealer of your products who pretended to be a person from the URSSAF and thus forcing me to sign a contract. Of course, believing that it was the real organization, I agreed to send it the validation code which was worth good for agreement. 5 mins later, I called him to retract myself and this one threatened to harm my activity if I did not take out the contract. I just opposed the bank.</v>
      </c>
    </row>
    <row r="667" ht="15.75" customHeight="1">
      <c r="A667" s="2">
        <v>1.0</v>
      </c>
      <c r="B667" s="2" t="s">
        <v>1887</v>
      </c>
      <c r="C667" s="2" t="s">
        <v>1888</v>
      </c>
      <c r="D667" s="2" t="s">
        <v>20</v>
      </c>
      <c r="E667" s="2" t="s">
        <v>50</v>
      </c>
      <c r="F667" s="2" t="s">
        <v>15</v>
      </c>
      <c r="G667" s="2" t="s">
        <v>1154</v>
      </c>
      <c r="H667" s="2" t="s">
        <v>17</v>
      </c>
      <c r="I667" s="2" t="str">
        <f>IFERROR(__xludf.DUMMYFUNCTION("GOOGLETRANSLATE(C667,""fr"",""en"")"),"Very expensive and zero. Water damage in early March. In early August nothing done despite all our reminders. The expert is incompetent, does not know his files.
 ")</f>
        <v>Very expensive and zero. Water damage in early March. In early August nothing done despite all our reminders. The expert is incompetent, does not know his files.
 </v>
      </c>
    </row>
    <row r="668" ht="15.75" customHeight="1">
      <c r="A668" s="2">
        <v>5.0</v>
      </c>
      <c r="B668" s="2" t="s">
        <v>1889</v>
      </c>
      <c r="C668" s="2" t="s">
        <v>1890</v>
      </c>
      <c r="D668" s="2" t="s">
        <v>30</v>
      </c>
      <c r="E668" s="2" t="s">
        <v>31</v>
      </c>
      <c r="F668" s="2" t="s">
        <v>15</v>
      </c>
      <c r="G668" s="2" t="s">
        <v>669</v>
      </c>
      <c r="H668" s="2" t="s">
        <v>27</v>
      </c>
      <c r="I668" s="2" t="str">
        <f>IFERROR(__xludf.DUMMYFUNCTION("GOOGLETRANSLATE(C668,""fr"",""en"")"),"Satisfied with services on the net. Quick and easy to use. The prices are more than satisfactory. I recommend, very easy to use.")</f>
        <v>Satisfied with services on the net. Quick and easy to use. The prices are more than satisfactory. I recommend, very easy to use.</v>
      </c>
    </row>
    <row r="669" ht="15.75" customHeight="1">
      <c r="A669" s="2">
        <v>4.0</v>
      </c>
      <c r="B669" s="2" t="s">
        <v>1891</v>
      </c>
      <c r="C669" s="2" t="s">
        <v>1892</v>
      </c>
      <c r="D669" s="2" t="s">
        <v>25</v>
      </c>
      <c r="E669" s="2" t="s">
        <v>14</v>
      </c>
      <c r="F669" s="2" t="s">
        <v>15</v>
      </c>
      <c r="G669" s="2" t="s">
        <v>961</v>
      </c>
      <c r="H669" s="2" t="s">
        <v>113</v>
      </c>
      <c r="I669" s="2" t="str">
        <f>IFERROR(__xludf.DUMMYFUNCTION("GOOGLETRANSLATE(C669,""fr"",""en"")"),"Fast and easy to use service.
Electronic signature that saves time and prevents us from postal mail.
Perfect.
In terms of cheaper rates for the same guarantees.")</f>
        <v>Fast and easy to use service.
Electronic signature that saves time and prevents us from postal mail.
Perfect.
In terms of cheaper rates for the same guarantees.</v>
      </c>
    </row>
    <row r="670" ht="15.75" customHeight="1">
      <c r="A670" s="2">
        <v>3.0</v>
      </c>
      <c r="B670" s="2" t="s">
        <v>1893</v>
      </c>
      <c r="C670" s="2" t="s">
        <v>1894</v>
      </c>
      <c r="D670" s="2" t="s">
        <v>208</v>
      </c>
      <c r="E670" s="2" t="s">
        <v>50</v>
      </c>
      <c r="F670" s="2" t="s">
        <v>15</v>
      </c>
      <c r="G670" s="2" t="s">
        <v>1895</v>
      </c>
      <c r="H670" s="2" t="s">
        <v>295</v>
      </c>
      <c r="I670" s="2" t="str">
        <f>IFERROR(__xludf.DUMMYFUNCTION("GOOGLETRANSLATE(C670,""fr"",""en"")"),"Direct contact with agency. A good welcome, quick and suitable responses. A good listening are the prerequisite. The value for money seems very satisfactory in any case compared to Allianz and Axa which were my former insurers.")</f>
        <v>Direct contact with agency. A good welcome, quick and suitable responses. A good listening are the prerequisite. The value for money seems very satisfactory in any case compared to Allianz and Axa which were my former insurers.</v>
      </c>
    </row>
    <row r="671" ht="15.75" customHeight="1">
      <c r="A671" s="2">
        <v>5.0</v>
      </c>
      <c r="B671" s="2" t="s">
        <v>1896</v>
      </c>
      <c r="C671" s="2" t="s">
        <v>1897</v>
      </c>
      <c r="D671" s="2" t="s">
        <v>39</v>
      </c>
      <c r="E671" s="2" t="s">
        <v>14</v>
      </c>
      <c r="F671" s="2" t="s">
        <v>15</v>
      </c>
      <c r="G671" s="2" t="s">
        <v>1898</v>
      </c>
      <c r="H671" s="2" t="s">
        <v>52</v>
      </c>
      <c r="I671" s="2" t="str">
        <f>IFERROR(__xludf.DUMMYFUNCTION("GOOGLETRANSLATE(C671,""fr"",""en"")"),"Available when the others are not, fast &amp; clear, a price suitable for vehicle characteristics, an excellent tracking and transfer platform.
In short all good for this start, I do not hope to test the accident &amp; dispute version, but it should if necessary"&amp;" be of so good quality in my humble opinion.
I think to associate other contracts under this banner")</f>
        <v>Available when the others are not, fast &amp; clear, a price suitable for vehicle characteristics, an excellent tracking and transfer platform.
In short all good for this start, I do not hope to test the accident &amp; dispute version, but it should if necessary be of so good quality in my humble opinion.
I think to associate other contracts under this banner</v>
      </c>
    </row>
    <row r="672" ht="15.75" customHeight="1">
      <c r="A672" s="2">
        <v>1.0</v>
      </c>
      <c r="B672" s="2" t="s">
        <v>1899</v>
      </c>
      <c r="C672" s="2" t="s">
        <v>1900</v>
      </c>
      <c r="D672" s="2" t="s">
        <v>44</v>
      </c>
      <c r="E672" s="2" t="s">
        <v>45</v>
      </c>
      <c r="F672" s="2" t="s">
        <v>15</v>
      </c>
      <c r="G672" s="2" t="s">
        <v>1773</v>
      </c>
      <c r="H672" s="2" t="s">
        <v>688</v>
      </c>
      <c r="I672" s="2" t="str">
        <f>IFERROR(__xludf.DUMMYFUNCTION("GOOGLETRANSLATE(C672,""fr"",""en"")"),"Customer Cegema for 5 years now, I have divorced, am unemployed, change department. And after having made several letter of terminations, they refuse the termination because they say they are grouping of mutuals therefore do not take into account the legi"&amp;"slation in force. Also I have sent for 2 years two months before the deadline for the contract as stipulating in their CGU but he always find a pretext either too early or too late. Today I go to the CMU given my resources and I am more covered by the CMU"&amp;" than at home. I also changed bank accounts and CEGEMA takes the money well in the months well, but reimbursements are always doing on the old account what I pointed out but I have no return from them, by phone they Say each time that it will be taken int"&amp;"o account but they must be made a letter to which they do not answer.")</f>
        <v>Customer Cegema for 5 years now, I have divorced, am unemployed, change department. And after having made several letter of terminations, they refuse the termination because they say they are grouping of mutuals therefore do not take into account the legislation in force. Also I have sent for 2 years two months before the deadline for the contract as stipulating in their CGU but he always find a pretext either too early or too late. Today I go to the CMU given my resources and I am more covered by the CMU than at home. I also changed bank accounts and CEGEMA takes the money well in the months well, but reimbursements are always doing on the old account what I pointed out but I have no return from them, by phone they Say each time that it will be taken into account but they must be made a letter to which they do not answer.</v>
      </c>
    </row>
    <row r="673" ht="15.75" customHeight="1">
      <c r="A673" s="2">
        <v>4.0</v>
      </c>
      <c r="B673" s="2" t="s">
        <v>1901</v>
      </c>
      <c r="C673" s="2" t="s">
        <v>1902</v>
      </c>
      <c r="D673" s="2" t="s">
        <v>35</v>
      </c>
      <c r="E673" s="2" t="s">
        <v>31</v>
      </c>
      <c r="F673" s="2" t="s">
        <v>15</v>
      </c>
      <c r="G673" s="2" t="s">
        <v>80</v>
      </c>
      <c r="H673" s="2" t="s">
        <v>17</v>
      </c>
      <c r="I673" s="2" t="str">
        <f>IFERROR(__xludf.DUMMYFUNCTION("GOOGLETRANSLATE(C673,""fr"",""en"")"),"I am satisfied with AMV's proposals. Carrying out your quote is as simple as it is effective and above all: without bad surprise (s) when it comes to a reality.")</f>
        <v>I am satisfied with AMV's proposals. Carrying out your quote is as simple as it is effective and above all: without bad surprise (s) when it comes to a reality.</v>
      </c>
    </row>
    <row r="674" ht="15.75" customHeight="1">
      <c r="A674" s="2">
        <v>2.0</v>
      </c>
      <c r="B674" s="2" t="s">
        <v>1903</v>
      </c>
      <c r="C674" s="2" t="s">
        <v>1904</v>
      </c>
      <c r="D674" s="2" t="s">
        <v>1905</v>
      </c>
      <c r="E674" s="2" t="s">
        <v>429</v>
      </c>
      <c r="F674" s="2" t="s">
        <v>15</v>
      </c>
      <c r="G674" s="2" t="s">
        <v>1906</v>
      </c>
      <c r="H674" s="2" t="s">
        <v>131</v>
      </c>
      <c r="I674" s="2" t="str">
        <f>IFERROR(__xludf.DUMMYFUNCTION("GOOGLETRANSLATE(C674,""fr"",""en"")"),"I asked for an acknowledgment of receipt following the sending of the email I am answered it is not possible! I ask to fill in an insurance certificate following a renegotiation of a mortgage to Crédit Agricole within 1 month because otherwise the offer o"&amp;"f the SERS Caduque bank I do not stop walking despite my multiple reminders because the Dateoir is very close! I don't even understand why? It's really fucking mouth! They know how to take me but for the rest ghost insurance! You still don't have to finis"&amp;"h in court just for a certificate that they are supposed to provide me as soon as possible!")</f>
        <v>I asked for an acknowledgment of receipt following the sending of the email I am answered it is not possible! I ask to fill in an insurance certificate following a renegotiation of a mortgage to Crédit Agricole within 1 month because otherwise the offer of the SERS Caduque bank I do not stop walking despite my multiple reminders because the Dateoir is very close! I don't even understand why? It's really fucking mouth! They know how to take me but for the rest ghost insurance! You still don't have to finish in court just for a certificate that they are supposed to provide me as soon as possible!</v>
      </c>
    </row>
    <row r="675" ht="15.75" customHeight="1">
      <c r="A675" s="2">
        <v>1.0</v>
      </c>
      <c r="B675" s="2" t="s">
        <v>1907</v>
      </c>
      <c r="C675" s="2" t="s">
        <v>1908</v>
      </c>
      <c r="D675" s="2" t="s">
        <v>44</v>
      </c>
      <c r="E675" s="2" t="s">
        <v>45</v>
      </c>
      <c r="F675" s="2" t="s">
        <v>15</v>
      </c>
      <c r="G675" s="2" t="s">
        <v>1909</v>
      </c>
      <c r="H675" s="2" t="s">
        <v>424</v>
      </c>
      <c r="I675" s="2" t="str">
        <f>IFERROR(__xludf.DUMMYFUNCTION("GOOGLETRANSLATE(C675,""fr"",""en"")"),"Impossible to have information on reimbursements, the various requests are always unanswered. I can't wait to leave this mutual that absolutely does not suit me.")</f>
        <v>Impossible to have information on reimbursements, the various requests are always unanswered. I can't wait to leave this mutual that absolutely does not suit me.</v>
      </c>
    </row>
    <row r="676" ht="15.75" customHeight="1">
      <c r="A676" s="2">
        <v>1.0</v>
      </c>
      <c r="B676" s="2" t="s">
        <v>1910</v>
      </c>
      <c r="C676" s="2" t="s">
        <v>1911</v>
      </c>
      <c r="D676" s="2" t="s">
        <v>39</v>
      </c>
      <c r="E676" s="2" t="s">
        <v>14</v>
      </c>
      <c r="F676" s="2" t="s">
        <v>15</v>
      </c>
      <c r="G676" s="2" t="s">
        <v>1912</v>
      </c>
      <c r="H676" s="2" t="s">
        <v>198</v>
      </c>
      <c r="I676" s="2" t="str">
        <f>IFERROR(__xludf.DUMMYFUNCTION("GOOGLETRANSLATE(C676,""fr"",""en"")"),"Interesting prices for subscription but prices that increases double during renewals with the years! !!! Yet no accident and a bonus in the max !!!")</f>
        <v>Interesting prices for subscription but prices that increases double during renewals with the years! !!! Yet no accident and a bonus in the max !!!</v>
      </c>
    </row>
    <row r="677" ht="15.75" customHeight="1">
      <c r="A677" s="2">
        <v>5.0</v>
      </c>
      <c r="B677" s="2" t="s">
        <v>1913</v>
      </c>
      <c r="C677" s="2" t="s">
        <v>1914</v>
      </c>
      <c r="D677" s="2" t="s">
        <v>25</v>
      </c>
      <c r="E677" s="2" t="s">
        <v>14</v>
      </c>
      <c r="F677" s="2" t="s">
        <v>15</v>
      </c>
      <c r="G677" s="2" t="s">
        <v>83</v>
      </c>
      <c r="H677" s="2" t="s">
        <v>120</v>
      </c>
      <c r="I677" s="2" t="str">
        <f>IFERROR(__xludf.DUMMYFUNCTION("GOOGLETRANSLATE(C677,""fr"",""en"")"),"Top price value
Super pleasant customer service.
My dad did not find insurance and he is very pleasantly surprised
Thank you for everything.")</f>
        <v>Top price value
Super pleasant customer service.
My dad did not find insurance and he is very pleasantly surprised
Thank you for everything.</v>
      </c>
    </row>
    <row r="678" ht="15.75" customHeight="1">
      <c r="A678" s="2">
        <v>3.0</v>
      </c>
      <c r="B678" s="2" t="s">
        <v>1915</v>
      </c>
      <c r="C678" s="2" t="s">
        <v>1916</v>
      </c>
      <c r="D678" s="2" t="s">
        <v>391</v>
      </c>
      <c r="E678" s="2" t="s">
        <v>347</v>
      </c>
      <c r="F678" s="2" t="s">
        <v>15</v>
      </c>
      <c r="G678" s="2" t="s">
        <v>1917</v>
      </c>
      <c r="H678" s="2" t="s">
        <v>974</v>
      </c>
      <c r="I678" s="2" t="str">
        <f>IFERROR(__xludf.DUMMYFUNCTION("GOOGLETRANSLATE(C678,""fr"",""en"")"),"No one does not reimburse much and above all read all the lines like all insurers")</f>
        <v>No one does not reimburse much and above all read all the lines like all insurers</v>
      </c>
    </row>
    <row r="679" ht="15.75" customHeight="1">
      <c r="A679" s="2">
        <v>3.0</v>
      </c>
      <c r="B679" s="2" t="s">
        <v>1918</v>
      </c>
      <c r="C679" s="2" t="s">
        <v>1919</v>
      </c>
      <c r="D679" s="2" t="s">
        <v>25</v>
      </c>
      <c r="E679" s="2" t="s">
        <v>14</v>
      </c>
      <c r="F679" s="2" t="s">
        <v>15</v>
      </c>
      <c r="G679" s="2" t="s">
        <v>567</v>
      </c>
      <c r="H679" s="2" t="s">
        <v>109</v>
      </c>
      <c r="I679" s="2" t="str">
        <f>IFERROR(__xludf.DUMMYFUNCTION("GOOGLETRANSLATE(C679,""fr"",""en"")"),"I am satisfied with the service. Simple and quick.
Exchange on the friendly site and value for money in line with my expectations.
I hope the service will be up to it.")</f>
        <v>I am satisfied with the service. Simple and quick.
Exchange on the friendly site and value for money in line with my expectations.
I hope the service will be up to it.</v>
      </c>
    </row>
    <row r="680" ht="15.75" customHeight="1">
      <c r="A680" s="2">
        <v>1.0</v>
      </c>
      <c r="B680" s="2" t="s">
        <v>1920</v>
      </c>
      <c r="C680" s="2" t="s">
        <v>1921</v>
      </c>
      <c r="D680" s="2" t="s">
        <v>137</v>
      </c>
      <c r="E680" s="2" t="s">
        <v>45</v>
      </c>
      <c r="F680" s="2" t="s">
        <v>15</v>
      </c>
      <c r="G680" s="2" t="s">
        <v>317</v>
      </c>
      <c r="H680" s="2" t="s">
        <v>317</v>
      </c>
      <c r="I680" s="2" t="str">
        <f>IFERROR(__xludf.DUMMYFUNCTION("GOOGLETRANSLATE(C680,""fr"",""en"")"),"I was provided for more than 2 years at April via the MAAF.
Obliged to monitor reimbursements, a lot of oversights, reimbursement time not at all as promised.
And above all, following a RAR letter sent by April in the middle of August, concerning the su"&amp;"bscription, and therefore not received due to vacation, to terminate purely and simply, while the payment had been made as soon as the delay is made.
I do not recommend, there are plethora of other much more serious companies!")</f>
        <v>I was provided for more than 2 years at April via the MAAF.
Obliged to monitor reimbursements, a lot of oversights, reimbursement time not at all as promised.
And above all, following a RAR letter sent by April in the middle of August, concerning the subscription, and therefore not received due to vacation, to terminate purely and simply, while the payment had been made as soon as the delay is made.
I do not recommend, there are plethora of other much more serious companies!</v>
      </c>
    </row>
    <row r="681" ht="15.75" customHeight="1">
      <c r="A681" s="2">
        <v>1.0</v>
      </c>
      <c r="B681" s="2" t="s">
        <v>1922</v>
      </c>
      <c r="C681" s="2" t="s">
        <v>1923</v>
      </c>
      <c r="D681" s="2" t="s">
        <v>339</v>
      </c>
      <c r="E681" s="2" t="s">
        <v>45</v>
      </c>
      <c r="F681" s="2" t="s">
        <v>15</v>
      </c>
      <c r="G681" s="2" t="s">
        <v>1245</v>
      </c>
      <c r="H681" s="2" t="s">
        <v>101</v>
      </c>
      <c r="I681" s="2" t="str">
        <f>IFERROR(__xludf.DUMMYFUNCTION("GOOGLETRANSLATE(C681,""fr"",""en"")"),"It has already been more than 2 months old than I await my reimbursements (plus 400 EUR). Despite my many calls (you need 20 minutes each time to reach them).
Mutual company for my part. To flee !!")</f>
        <v>It has already been more than 2 months old than I await my reimbursements (plus 400 EUR). Despite my many calls (you need 20 minutes each time to reach them).
Mutual company for my part. To flee !!</v>
      </c>
    </row>
    <row r="682" ht="15.75" customHeight="1">
      <c r="A682" s="2">
        <v>4.0</v>
      </c>
      <c r="B682" s="2" t="s">
        <v>1924</v>
      </c>
      <c r="C682" s="2" t="s">
        <v>1925</v>
      </c>
      <c r="D682" s="2" t="s">
        <v>67</v>
      </c>
      <c r="E682" s="2" t="s">
        <v>14</v>
      </c>
      <c r="F682" s="2" t="s">
        <v>15</v>
      </c>
      <c r="G682" s="2" t="s">
        <v>1534</v>
      </c>
      <c r="H682" s="2" t="s">
        <v>113</v>
      </c>
      <c r="I682" s="2" t="str">
        <f>IFERROR(__xludf.DUMMYFUNCTION("GOOGLETRANSLATE(C682,""fr"",""en"")"),"I am satisfied with the service. Prices suit me for the moment. Housing having increased sharply. To see in time, hoping for less increases")</f>
        <v>I am satisfied with the service. Prices suit me for the moment. Housing having increased sharply. To see in time, hoping for less increases</v>
      </c>
    </row>
    <row r="683" ht="15.75" customHeight="1">
      <c r="A683" s="2">
        <v>2.0</v>
      </c>
      <c r="B683" s="2" t="s">
        <v>1926</v>
      </c>
      <c r="C683" s="2" t="s">
        <v>1927</v>
      </c>
      <c r="D683" s="2" t="s">
        <v>39</v>
      </c>
      <c r="E683" s="2" t="s">
        <v>14</v>
      </c>
      <c r="F683" s="2" t="s">
        <v>15</v>
      </c>
      <c r="G683" s="2" t="s">
        <v>1928</v>
      </c>
      <c r="H683" s="2" t="s">
        <v>109</v>
      </c>
      <c r="I683" s="2" t="str">
        <f>IFERROR(__xludf.DUMMYFUNCTION("GOOGLETRANSLATE(C683,""fr"",""en"")"),"How is it that my subscription increased when with the pandemic period it should have dropped? Needless to say, you have to pay for those who are not insured or other. I have nothing to do with it.
")</f>
        <v>How is it that my subscription increased when with the pandemic period it should have dropped? Needless to say, you have to pay for those who are not insured or other. I have nothing to do with it.
</v>
      </c>
    </row>
    <row r="684" ht="15.75" customHeight="1">
      <c r="A684" s="2">
        <v>1.0</v>
      </c>
      <c r="B684" s="2" t="s">
        <v>1929</v>
      </c>
      <c r="C684" s="2" t="s">
        <v>1930</v>
      </c>
      <c r="D684" s="2" t="s">
        <v>49</v>
      </c>
      <c r="E684" s="2" t="s">
        <v>14</v>
      </c>
      <c r="F684" s="2" t="s">
        <v>15</v>
      </c>
      <c r="G684" s="2" t="s">
        <v>1931</v>
      </c>
      <c r="H684" s="2" t="s">
        <v>476</v>
      </c>
      <c r="I684" s="2" t="str">
        <f>IFERROR(__xludf.DUMMYFUNCTION("GOOGLETRANSLATE(C684,""fr"",""en"")"),"I have had a sinister since January 12, 2017 I am not wrongly insured any risk. This is the car in the garage and since always no news since have not always sent a one to have nothing to do at least 3 times a week and You are always new, the garage wants "&amp;"to take me a car that when the result has passed on foot since January 12, unable to go to work I am unemployed. Thank you very much Allianz.")</f>
        <v>I have had a sinister since January 12, 2017 I am not wrongly insured any risk. This is the car in the garage and since always no news since have not always sent a one to have nothing to do at least 3 times a week and You are always new, the garage wants to take me a car that when the result has passed on foot since January 12, unable to go to work I am unemployed. Thank you very much Allianz.</v>
      </c>
    </row>
    <row r="685" ht="15.75" customHeight="1">
      <c r="A685" s="2">
        <v>4.0</v>
      </c>
      <c r="B685" s="2" t="s">
        <v>1932</v>
      </c>
      <c r="C685" s="2" t="s">
        <v>1933</v>
      </c>
      <c r="D685" s="2" t="s">
        <v>67</v>
      </c>
      <c r="E685" s="2" t="s">
        <v>14</v>
      </c>
      <c r="F685" s="2" t="s">
        <v>15</v>
      </c>
      <c r="G685" s="2" t="s">
        <v>718</v>
      </c>
      <c r="H685" s="2" t="s">
        <v>17</v>
      </c>
      <c r="I685" s="2" t="str">
        <f>IFERROR(__xludf.DUMMYFUNCTION("GOOGLETRANSLATE(C685,""fr"",""en"")"),"The phone advisers are very effective.
The prices applied are relatively correct, I have been at the same insurer for 26 years without having declared any claim, he lost me because he did not consider my remarks on the prices of his insurance, I assure m"&amp;"yself at GMF who understood that the competition is to be taken into account.")</f>
        <v>The phone advisers are very effective.
The prices applied are relatively correct, I have been at the same insurer for 26 years without having declared any claim, he lost me because he did not consider my remarks on the prices of his insurance, I assure myself at GMF who understood that the competition is to be taken into account.</v>
      </c>
    </row>
    <row r="686" ht="15.75" customHeight="1">
      <c r="A686" s="2">
        <v>4.0</v>
      </c>
      <c r="B686" s="2" t="s">
        <v>1934</v>
      </c>
      <c r="C686" s="2" t="s">
        <v>1935</v>
      </c>
      <c r="D686" s="2" t="s">
        <v>25</v>
      </c>
      <c r="E686" s="2" t="s">
        <v>14</v>
      </c>
      <c r="F686" s="2" t="s">
        <v>15</v>
      </c>
      <c r="G686" s="2" t="s">
        <v>1698</v>
      </c>
      <c r="H686" s="2" t="s">
        <v>84</v>
      </c>
      <c r="I686" s="2" t="str">
        <f>IFERROR(__xludf.DUMMYFUNCTION("GOOGLETRANSLATE(C686,""fr"",""en"")"),"very satisfied by this proposal
Very good price. apparently complete and attractive offer
a final opinion after use and formalities of termination of the old contract")</f>
        <v>very satisfied by this proposal
Very good price. apparently complete and attractive offer
a final opinion after use and formalities of termination of the old contract</v>
      </c>
    </row>
    <row r="687" ht="15.75" customHeight="1">
      <c r="A687" s="2">
        <v>4.0</v>
      </c>
      <c r="B687" s="2" t="s">
        <v>1936</v>
      </c>
      <c r="C687" s="2" t="s">
        <v>1937</v>
      </c>
      <c r="D687" s="2" t="s">
        <v>25</v>
      </c>
      <c r="E687" s="2" t="s">
        <v>14</v>
      </c>
      <c r="F687" s="2" t="s">
        <v>15</v>
      </c>
      <c r="G687" s="2" t="s">
        <v>144</v>
      </c>
      <c r="H687" s="2" t="s">
        <v>113</v>
      </c>
      <c r="I687" s="2" t="str">
        <f>IFERROR(__xludf.DUMMYFUNCTION("GOOGLETRANSLATE(C687,""fr"",""en"")"),"I am satisfied with the service and the price, I await the sending of the final green card to see in can the time it will take. In any case for the moment very satisfied")</f>
        <v>I am satisfied with the service and the price, I await the sending of the final green card to see in can the time it will take. In any case for the moment very satisfied</v>
      </c>
    </row>
    <row r="688" ht="15.75" customHeight="1">
      <c r="A688" s="2">
        <v>4.0</v>
      </c>
      <c r="B688" s="2" t="s">
        <v>1938</v>
      </c>
      <c r="C688" s="2" t="s">
        <v>1939</v>
      </c>
      <c r="D688" s="2" t="s">
        <v>107</v>
      </c>
      <c r="E688" s="2" t="s">
        <v>45</v>
      </c>
      <c r="F688" s="2" t="s">
        <v>15</v>
      </c>
      <c r="G688" s="2" t="s">
        <v>1251</v>
      </c>
      <c r="H688" s="2" t="s">
        <v>109</v>
      </c>
      <c r="I688" s="2" t="str">
        <f>IFERROR(__xludf.DUMMYFUNCTION("GOOGLETRANSLATE(C688,""fr"",""en"")"),"Following my telephone interview of 23/03 I would like to tell you my full satisfaction with respect to D, Emeline which informed me very well as well as for her kindness and her professionalism.")</f>
        <v>Following my telephone interview of 23/03 I would like to tell you my full satisfaction with respect to D, Emeline which informed me very well as well as for her kindness and her professionalism.</v>
      </c>
    </row>
    <row r="689" ht="15.75" customHeight="1">
      <c r="A689" s="2">
        <v>1.0</v>
      </c>
      <c r="B689" s="2" t="s">
        <v>1940</v>
      </c>
      <c r="C689" s="2" t="s">
        <v>1941</v>
      </c>
      <c r="D689" s="2" t="s">
        <v>39</v>
      </c>
      <c r="E689" s="2" t="s">
        <v>14</v>
      </c>
      <c r="F689" s="2" t="s">
        <v>15</v>
      </c>
      <c r="G689" s="2" t="s">
        <v>381</v>
      </c>
      <c r="H689" s="2" t="s">
        <v>84</v>
      </c>
      <c r="I689" s="2" t="str">
        <f>IFERROR(__xludf.DUMMYFUNCTION("GOOGLETRANSLATE(C689,""fr"",""en"")"),"I have been trying since this morning with several computers and browsers different on their site to declare a flight on my vehicle. Impossible, always an error ??? I therefore contacted them by phone and I discover that the items outside of the vehicle a"&amp;"re not covered by my all -risk insurance. Summons, if we are robbed of the catalyst (in my case) or the rims or the brake discs or any other external parts of the vehicle are not taken into account. All the thieves, next time be nice and fart me with the "&amp;"window and try to start it like that there will be break-ins and maybe I will be reimbursing (well perhaps ....). Let's summarize your insurance and above all but above all expect nothing from their part.")</f>
        <v>I have been trying since this morning with several computers and browsers different on their site to declare a flight on my vehicle. Impossible, always an error ??? I therefore contacted them by phone and I discover that the items outside of the vehicle are not covered by my all -risk insurance. Summons, if we are robbed of the catalyst (in my case) or the rims or the brake discs or any other external parts of the vehicle are not taken into account. All the thieves, next time be nice and fart me with the window and try to start it like that there will be break-ins and maybe I will be reimbursing (well perhaps ....). Let's summarize your insurance and above all but above all expect nothing from their part.</v>
      </c>
    </row>
    <row r="690" ht="15.75" customHeight="1">
      <c r="A690" s="2">
        <v>2.0</v>
      </c>
      <c r="B690" s="2" t="s">
        <v>1942</v>
      </c>
      <c r="C690" s="2" t="s">
        <v>1943</v>
      </c>
      <c r="D690" s="2" t="s">
        <v>39</v>
      </c>
      <c r="E690" s="2" t="s">
        <v>14</v>
      </c>
      <c r="F690" s="2" t="s">
        <v>15</v>
      </c>
      <c r="G690" s="2" t="s">
        <v>1944</v>
      </c>
      <c r="H690" s="2" t="s">
        <v>52</v>
      </c>
      <c r="I690" s="2" t="str">
        <f>IFERROR(__xludf.DUMMYFUNCTION("GOOGLETRANSLATE(C690,""fr"",""en"")"),"Hello,
I share my bad experience with Direct Insurance.
I had an accident not responsible on 08/14/2020 on the road to my vacation. A van struck the back of my vehicle at the entrance to a roundabout.
Pay attention to the guaranteed options * by Di"&amp;"rect Insurance.
&gt; Despite the insurance with the serenity pack that I have with a loan of a vehicle during the duration of the work in one of their partner garage, Direct Insurance does not guarantee this car loan. This car loan is actually at the good"&amp;" will of the partner garage. In my case, the garage (yet a Peugeot garage) does not offer this loan.
&gt; In very small, it is stipulated in the serenity pack, if the garage cannot provide a vehicle loan, Direct Insurance compensates you for € 10 per immo"&amp;"bilization day.
And still smaller, these days are calculated on the expert's estimate. They are not calculated on the reality of the immobilization days of your vehicle.
In my case, a car towed on 08/14/2020 and has always repaired.
Expert repair est"&amp;"imate&gt; 3 days
Reality&gt; Towed on 08/14/2020 - Today 04/09/2020 - So 21 days of immobilization and I do not know when my car is ready. Neither direct insurance nor the Peugeot garage are able to give a date of provision of my vehicle.
Result&gt; € 30 compe"&amp;"nsation - no loan car and I don't know when my car is ready.
")</f>
        <v>Hello,
I share my bad experience with Direct Insurance.
I had an accident not responsible on 08/14/2020 on the road to my vacation. A van struck the back of my vehicle at the entrance to a roundabout.
Pay attention to the guaranteed options * by Direct Insurance.
&gt; Despite the insurance with the serenity pack that I have with a loan of a vehicle during the duration of the work in one of their partner garage, Direct Insurance does not guarantee this car loan. This car loan is actually at the good will of the partner garage. In my case, the garage (yet a Peugeot garage) does not offer this loan.
&gt; In very small, it is stipulated in the serenity pack, if the garage cannot provide a vehicle loan, Direct Insurance compensates you for € 10 per immobilization day.
And still smaller, these days are calculated on the expert's estimate. They are not calculated on the reality of the immobilization days of your vehicle.
In my case, a car towed on 08/14/2020 and has always repaired.
Expert repair estimate&gt; 3 days
Reality&gt; Towed on 08/14/2020 - Today 04/09/2020 - So 21 days of immobilization and I do not know when my car is ready. Neither direct insurance nor the Peugeot garage are able to give a date of provision of my vehicle.
Result&gt; € 30 compensation - no loan car and I don't know when my car is ready.
</v>
      </c>
    </row>
    <row r="691" ht="15.75" customHeight="1">
      <c r="A691" s="2">
        <v>5.0</v>
      </c>
      <c r="B691" s="2" t="s">
        <v>1945</v>
      </c>
      <c r="C691" s="2" t="s">
        <v>1946</v>
      </c>
      <c r="D691" s="2" t="s">
        <v>39</v>
      </c>
      <c r="E691" s="2" t="s">
        <v>14</v>
      </c>
      <c r="F691" s="2" t="s">
        <v>15</v>
      </c>
      <c r="G691" s="2" t="s">
        <v>1947</v>
      </c>
      <c r="H691" s="2" t="s">
        <v>84</v>
      </c>
      <c r="I691" s="2" t="str">
        <f>IFERROR(__xludf.DUMMYFUNCTION("GOOGLETRANSLATE(C691,""fr"",""en"")"),"Very much very fast Competitive price the top
Site well presented attractive price
Great site to be quickly assumed
The top insurance in France")</f>
        <v>Very much very fast Competitive price the top
Site well presented attractive price
Great site to be quickly assumed
The top insurance in France</v>
      </c>
    </row>
    <row r="692" ht="15.75" customHeight="1">
      <c r="A692" s="2">
        <v>5.0</v>
      </c>
      <c r="B692" s="2" t="s">
        <v>1948</v>
      </c>
      <c r="C692" s="2" t="s">
        <v>1949</v>
      </c>
      <c r="D692" s="2" t="s">
        <v>162</v>
      </c>
      <c r="E692" s="2" t="s">
        <v>45</v>
      </c>
      <c r="F692" s="2" t="s">
        <v>15</v>
      </c>
      <c r="G692" s="2" t="s">
        <v>1950</v>
      </c>
      <c r="H692" s="2" t="s">
        <v>178</v>
      </c>
      <c r="I692" s="2" t="str">
        <f>IFERROR(__xludf.DUMMYFUNCTION("GOOGLETRANSLATE(C692,""fr"",""en"")"),"A rather nice and dynamic team, I was very bored with my insurer the last year (general) so as not to quote them and I am very happy to have had them because they were able to make the revival which goes well with the 'Insurer to facilitate my care.")</f>
        <v>A rather nice and dynamic team, I was very bored with my insurer the last year (general) so as not to quote them and I am very happy to have had them because they were able to make the revival which goes well with the 'Insurer to facilitate my care.</v>
      </c>
    </row>
    <row r="693" ht="15.75" customHeight="1">
      <c r="A693" s="2">
        <v>4.0</v>
      </c>
      <c r="B693" s="2" t="s">
        <v>1951</v>
      </c>
      <c r="C693" s="2" t="s">
        <v>1952</v>
      </c>
      <c r="D693" s="2" t="s">
        <v>39</v>
      </c>
      <c r="E693" s="2" t="s">
        <v>14</v>
      </c>
      <c r="F693" s="2" t="s">
        <v>15</v>
      </c>
      <c r="G693" s="2" t="s">
        <v>104</v>
      </c>
      <c r="H693" s="2" t="s">
        <v>84</v>
      </c>
      <c r="I693" s="2" t="str">
        <f>IFERROR(__xludf.DUMMYFUNCTION("GOOGLETRANSLATE(C693,""fr"",""en"")"),"Simple, efficient, price. I come back to Direct Insurance with pleasure, with more than 300 euros saved compared to another competition quote")</f>
        <v>Simple, efficient, price. I come back to Direct Insurance with pleasure, with more than 300 euros saved compared to another competition quote</v>
      </c>
    </row>
    <row r="694" ht="15.75" customHeight="1">
      <c r="A694" s="2">
        <v>5.0</v>
      </c>
      <c r="B694" s="2" t="s">
        <v>1953</v>
      </c>
      <c r="C694" s="2" t="s">
        <v>1954</v>
      </c>
      <c r="D694" s="2" t="s">
        <v>39</v>
      </c>
      <c r="E694" s="2" t="s">
        <v>14</v>
      </c>
      <c r="F694" s="2" t="s">
        <v>15</v>
      </c>
      <c r="G694" s="2" t="s">
        <v>672</v>
      </c>
      <c r="H694" s="2" t="s">
        <v>238</v>
      </c>
      <c r="I694" s="2" t="str">
        <f>IFERROR(__xludf.DUMMYFUNCTION("GOOGLETRANSLATE(C694,""fr"",""en"")"),"Conviviality, politeness, fast, great quality price, very clear contract with bonus 50, very important, telling I can drive quietly while respecting the highway code and the limited speed to stay at the bonus 50 its important I thank very direct insurance")</f>
        <v>Conviviality, politeness, fast, great quality price, very clear contract with bonus 50, very important, telling I can drive quietly while respecting the highway code and the limited speed to stay at the bonus 50 its important I thank very direct insurance</v>
      </c>
    </row>
    <row r="695" ht="15.75" customHeight="1">
      <c r="A695" s="2">
        <v>2.0</v>
      </c>
      <c r="B695" s="2" t="s">
        <v>1955</v>
      </c>
      <c r="C695" s="2" t="s">
        <v>1956</v>
      </c>
      <c r="D695" s="2" t="s">
        <v>39</v>
      </c>
      <c r="E695" s="2" t="s">
        <v>14</v>
      </c>
      <c r="F695" s="2" t="s">
        <v>15</v>
      </c>
      <c r="G695" s="2" t="s">
        <v>1743</v>
      </c>
      <c r="H695" s="2" t="s">
        <v>77</v>
      </c>
      <c r="I695" s="2" t="str">
        <f>IFERROR(__xludf.DUMMYFUNCTION("GOOGLETRANSLATE(C695,""fr"",""en"")"),"During my Ice Broke the procedure is long and complicated. You have to justify by phone then by email and then make a letter when the expert passes. For a simple broken ice it is laborious, especially since there is a franchise. Price level by making a qu"&amp;"ote on the Macif I managed to obtain a more interesting price.")</f>
        <v>During my Ice Broke the procedure is long and complicated. You have to justify by phone then by email and then make a letter when the expert passes. For a simple broken ice it is laborious, especially since there is a franchise. Price level by making a quote on the Macif I managed to obtain a more interesting price.</v>
      </c>
    </row>
    <row r="696" ht="15.75" customHeight="1">
      <c r="A696" s="2">
        <v>1.0</v>
      </c>
      <c r="B696" s="2" t="s">
        <v>1957</v>
      </c>
      <c r="C696" s="2" t="s">
        <v>1958</v>
      </c>
      <c r="D696" s="2" t="s">
        <v>123</v>
      </c>
      <c r="E696" s="2" t="s">
        <v>233</v>
      </c>
      <c r="F696" s="2" t="s">
        <v>15</v>
      </c>
      <c r="G696" s="2" t="s">
        <v>289</v>
      </c>
      <c r="H696" s="2" t="s">
        <v>290</v>
      </c>
      <c r="I696" s="2" t="str">
        <f>IFERROR(__xludf.DUMMYFUNCTION("GOOGLETRANSLATE(C696,""fr"",""en"")"),"
 Impossible to speak to competent people who are unpleasant person to the such who knows what they are talking about sends recommended dozens of calls and me waiting for nothing to settle")</f>
        <v>
 Impossible to speak to competent people who are unpleasant person to the such who knows what they are talking about sends recommended dozens of calls and me waiting for nothing to settle</v>
      </c>
    </row>
    <row r="697" ht="15.75" customHeight="1">
      <c r="A697" s="2">
        <v>2.0</v>
      </c>
      <c r="B697" s="2" t="s">
        <v>1959</v>
      </c>
      <c r="C697" s="2" t="s">
        <v>1960</v>
      </c>
      <c r="D697" s="2" t="s">
        <v>67</v>
      </c>
      <c r="E697" s="2" t="s">
        <v>50</v>
      </c>
      <c r="F697" s="2" t="s">
        <v>15</v>
      </c>
      <c r="G697" s="2" t="s">
        <v>1961</v>
      </c>
      <c r="H697" s="2" t="s">
        <v>431</v>
      </c>
      <c r="I697" s="2" t="str">
        <f>IFERROR(__xludf.DUMMYFUNCTION("GOOGLETRANSLATE(C697,""fr"",""en"")"),"Services and particularly the claims never recall. The files are never updated.
We are not informed of the content of the expertise.
The expert signed his conclusions to older insured persons who do not have the possibility and time to read the establis"&amp;"hed report.
No double is left to them to have a third party read.")</f>
        <v>Services and particularly the claims never recall. The files are never updated.
We are not informed of the content of the expertise.
The expert signed his conclusions to older insured persons who do not have the possibility and time to read the established report.
No double is left to them to have a third party read.</v>
      </c>
    </row>
    <row r="698" ht="15.75" customHeight="1">
      <c r="A698" s="2">
        <v>1.0</v>
      </c>
      <c r="B698" s="2" t="s">
        <v>1962</v>
      </c>
      <c r="C698" s="2" t="s">
        <v>1963</v>
      </c>
      <c r="D698" s="2" t="s">
        <v>39</v>
      </c>
      <c r="E698" s="2" t="s">
        <v>14</v>
      </c>
      <c r="F698" s="2" t="s">
        <v>15</v>
      </c>
      <c r="G698" s="2" t="s">
        <v>27</v>
      </c>
      <c r="H698" s="2" t="s">
        <v>27</v>
      </c>
      <c r="I698" s="2" t="str">
        <f>IFERROR(__xludf.DUMMYFUNCTION("GOOGLETRANSLATE(C698,""fr"",""en"")"),"I am not satisfied by the service of my insurer
Each year I receive an increase in prices, and when I passed a complaint had total ignorance there.
No interest in keeping customers and I received a minimum of information that I asked, in other words you"&amp;" can terminate.")</f>
        <v>I am not satisfied by the service of my insurer
Each year I receive an increase in prices, and when I passed a complaint had total ignorance there.
No interest in keeping customers and I received a minimum of information that I asked, in other words you can terminate.</v>
      </c>
    </row>
    <row r="699" ht="15.75" customHeight="1">
      <c r="A699" s="2">
        <v>2.0</v>
      </c>
      <c r="B699" s="2" t="s">
        <v>1964</v>
      </c>
      <c r="C699" s="2" t="s">
        <v>1965</v>
      </c>
      <c r="D699" s="2" t="s">
        <v>466</v>
      </c>
      <c r="E699" s="2" t="s">
        <v>429</v>
      </c>
      <c r="F699" s="2" t="s">
        <v>15</v>
      </c>
      <c r="G699" s="2" t="s">
        <v>1810</v>
      </c>
      <c r="H699" s="2" t="s">
        <v>178</v>
      </c>
      <c r="I699" s="2" t="str">
        <f>IFERROR(__xludf.DUMMYFUNCTION("GOOGLETRANSLATE(C699,""fr"",""en"")"),"You take insurance for disability and unfortunately you fall ill and in disability we are not covered on the pretext that you are not 66%")</f>
        <v>You take insurance for disability and unfortunately you fall ill and in disability we are not covered on the pretext that you are not 66%</v>
      </c>
    </row>
    <row r="700" ht="15.75" customHeight="1">
      <c r="A700" s="2">
        <v>2.0</v>
      </c>
      <c r="B700" s="2" t="s">
        <v>1966</v>
      </c>
      <c r="C700" s="2" t="s">
        <v>1967</v>
      </c>
      <c r="D700" s="2" t="s">
        <v>39</v>
      </c>
      <c r="E700" s="2" t="s">
        <v>14</v>
      </c>
      <c r="F700" s="2" t="s">
        <v>15</v>
      </c>
      <c r="G700" s="2" t="s">
        <v>1198</v>
      </c>
      <c r="H700" s="2" t="s">
        <v>101</v>
      </c>
      <c r="I700" s="2" t="str">
        <f>IFERROR(__xludf.DUMMYFUNCTION("GOOGLETRANSLATE(C700,""fr"",""en"")"),"I am not at all satisfied with your customer services.
Customer service on the phone incompetent and not trained (from what I am told on the phone).
Not taken into account and/or load of my multiple requests.")</f>
        <v>I am not at all satisfied with your customer services.
Customer service on the phone incompetent and not trained (from what I am told on the phone).
Not taken into account and/or load of my multiple requests.</v>
      </c>
    </row>
    <row r="701" ht="15.75" customHeight="1">
      <c r="A701" s="2">
        <v>4.0</v>
      </c>
      <c r="B701" s="2" t="s">
        <v>1968</v>
      </c>
      <c r="C701" s="2" t="s">
        <v>1969</v>
      </c>
      <c r="D701" s="2" t="s">
        <v>39</v>
      </c>
      <c r="E701" s="2" t="s">
        <v>14</v>
      </c>
      <c r="F701" s="2" t="s">
        <v>15</v>
      </c>
      <c r="G701" s="2" t="s">
        <v>559</v>
      </c>
      <c r="H701" s="2" t="s">
        <v>17</v>
      </c>
      <c r="I701" s="2" t="str">
        <f>IFERROR(__xludf.DUMMYFUNCTION("GOOGLETRANSLATE(C701,""fr"",""en"")"),"Can always do better. I hope not to be disappointed if necessary, and that service and up to it. I am nothing else to add for my opinion. ??")</f>
        <v>Can always do better. I hope not to be disappointed if necessary, and that service and up to it. I am nothing else to add for my opinion. ??</v>
      </c>
    </row>
    <row r="702" ht="15.75" customHeight="1">
      <c r="A702" s="2">
        <v>4.0</v>
      </c>
      <c r="B702" s="2" t="s">
        <v>1970</v>
      </c>
      <c r="C702" s="2" t="s">
        <v>1971</v>
      </c>
      <c r="D702" s="2" t="s">
        <v>25</v>
      </c>
      <c r="E702" s="2" t="s">
        <v>14</v>
      </c>
      <c r="F702" s="2" t="s">
        <v>15</v>
      </c>
      <c r="G702" s="2" t="s">
        <v>230</v>
      </c>
      <c r="H702" s="2" t="s">
        <v>101</v>
      </c>
      <c r="I702" s="2" t="str">
        <f>IFERROR(__xludf.DUMMYFUNCTION("GOOGLETRANSLATE(C702,""fr"",""en"")"),"Very welcome telephone, very responsive and helped me very quickly to obtain the information statement of my old insurance which took a long time to send it to me.")</f>
        <v>Very welcome telephone, very responsive and helped me very quickly to obtain the information statement of my old insurance which took a long time to send it to me.</v>
      </c>
    </row>
    <row r="703" ht="15.75" customHeight="1">
      <c r="A703" s="2">
        <v>1.0</v>
      </c>
      <c r="B703" s="2" t="s">
        <v>1972</v>
      </c>
      <c r="C703" s="2" t="s">
        <v>1973</v>
      </c>
      <c r="D703" s="2" t="s">
        <v>95</v>
      </c>
      <c r="E703" s="2" t="s">
        <v>233</v>
      </c>
      <c r="F703" s="2" t="s">
        <v>15</v>
      </c>
      <c r="G703" s="2" t="s">
        <v>1974</v>
      </c>
      <c r="H703" s="2" t="s">
        <v>309</v>
      </c>
      <c r="I703" s="2" t="str">
        <f>IFERROR(__xludf.DUMMYFUNCTION("GOOGLETRANSLATE(C703,""fr"",""en"")"),"Liberal profession I am arrested for severe retractile capsulitis for a year I discovered with amazement this morning that after having modified my contract to increase my services given the increase in my charges my insurer simply brought back from two y"&amp;"ears to one year the payment of My general costs I therefore find myself without income and with a shortfall of € 3000
Who would be stupid enough to lower the cover time to one year while URSSAF and taxes will take me for two years !!!!!
I am furious to"&amp;" have trusted my insurer and to have signed without reading in detail and of course he does not answer my calls
I will have to go back to work I am a liberal nurse I do not know how I will be able to manipulate my patients because I cannot raise my arm b"&amp;"ut too bad .... thank you for your help thank you for making me subscribe this amendment but the insurer but the insurer but the insurer but the insurer but the insurer Doesn't he have a duty to advice ???? Find the mistake")</f>
        <v>Liberal profession I am arrested for severe retractile capsulitis for a year I discovered with amazement this morning that after having modified my contract to increase my services given the increase in my charges my insurer simply brought back from two years to one year the payment of My general costs I therefore find myself without income and with a shortfall of € 3000
Who would be stupid enough to lower the cover time to one year while URSSAF and taxes will take me for two years !!!!!
I am furious to have trusted my insurer and to have signed without reading in detail and of course he does not answer my calls
I will have to go back to work I am a liberal nurse I do not know how I will be able to manipulate my patients because I cannot raise my arm but too bad .... thank you for your help thank you for making me subscribe this amendment but the insurer but the insurer but the insurer but the insurer but the insurer Doesn't he have a duty to advice ???? Find the mistake</v>
      </c>
    </row>
    <row r="704" ht="15.75" customHeight="1">
      <c r="A704" s="2">
        <v>2.0</v>
      </c>
      <c r="B704" s="2" t="s">
        <v>1975</v>
      </c>
      <c r="C704" s="2" t="s">
        <v>1976</v>
      </c>
      <c r="D704" s="2" t="s">
        <v>20</v>
      </c>
      <c r="E704" s="2" t="s">
        <v>31</v>
      </c>
      <c r="F704" s="2" t="s">
        <v>15</v>
      </c>
      <c r="G704" s="2" t="s">
        <v>1977</v>
      </c>
      <c r="H704" s="2" t="s">
        <v>1719</v>
      </c>
      <c r="I704" s="2" t="str">
        <f>IFERROR(__xludf.DUMMYFUNCTION("GOOGLETRANSLATE(C704,""fr"",""en"")"),"We give hope to the person to ultimately no longer finalize their file. Young people do not have their chances in insurance and even less at the MAAF knowing that I have been assured at home. Since without assurance of their fault.")</f>
        <v>We give hope to the person to ultimately no longer finalize their file. Young people do not have their chances in insurance and even less at the MAAF knowing that I have been assured at home. Since without assurance of their fault.</v>
      </c>
    </row>
    <row r="705" ht="15.75" customHeight="1">
      <c r="A705" s="2">
        <v>5.0</v>
      </c>
      <c r="B705" s="2" t="s">
        <v>1978</v>
      </c>
      <c r="C705" s="2" t="s">
        <v>1979</v>
      </c>
      <c r="D705" s="2" t="s">
        <v>35</v>
      </c>
      <c r="E705" s="2" t="s">
        <v>31</v>
      </c>
      <c r="F705" s="2" t="s">
        <v>15</v>
      </c>
      <c r="G705" s="2" t="s">
        <v>1267</v>
      </c>
      <c r="H705" s="2" t="s">
        <v>84</v>
      </c>
      <c r="I705" s="2" t="str">
        <f>IFERROR(__xludf.DUMMYFUNCTION("GOOGLETRANSLATE(C705,""fr"",""en"")"),"Very satisfied with customer service damage that there are not often commercial discounts for long duration customers
WISHING YOU GOOD RECEPTION
CORDIALLY")</f>
        <v>Very satisfied with customer service damage that there are not often commercial discounts for long duration customers
WISHING YOU GOOD RECEPTION
CORDIALLY</v>
      </c>
    </row>
    <row r="706" ht="15.75" customHeight="1">
      <c r="A706" s="2">
        <v>3.0</v>
      </c>
      <c r="B706" s="2" t="s">
        <v>1980</v>
      </c>
      <c r="C706" s="2" t="s">
        <v>1981</v>
      </c>
      <c r="D706" s="2" t="s">
        <v>67</v>
      </c>
      <c r="E706" s="2" t="s">
        <v>14</v>
      </c>
      <c r="F706" s="2" t="s">
        <v>15</v>
      </c>
      <c r="G706" s="2" t="s">
        <v>245</v>
      </c>
      <c r="H706" s="2" t="s">
        <v>113</v>
      </c>
      <c r="I706" s="2" t="str">
        <f>IFERROR(__xludf.DUMMYFUNCTION("GOOGLETRANSLATE(C706,""fr"",""en"")"),"I am satisfied with your services. I wish to receive a provisional insurance certificate that I will regulate with a GMF advisor. Thanks in advance.")</f>
        <v>I am satisfied with your services. I wish to receive a provisional insurance certificate that I will regulate with a GMF advisor. Thanks in advance.</v>
      </c>
    </row>
    <row r="707" ht="15.75" customHeight="1">
      <c r="A707" s="2">
        <v>1.0</v>
      </c>
      <c r="B707" s="2" t="s">
        <v>1982</v>
      </c>
      <c r="C707" s="2" t="s">
        <v>1983</v>
      </c>
      <c r="D707" s="2" t="s">
        <v>20</v>
      </c>
      <c r="E707" s="2" t="s">
        <v>14</v>
      </c>
      <c r="F707" s="2" t="s">
        <v>15</v>
      </c>
      <c r="G707" s="2" t="s">
        <v>1984</v>
      </c>
      <c r="H707" s="2" t="s">
        <v>550</v>
      </c>
      <c r="I707" s="2" t="str">
        <f>IFERROR(__xludf.DUMMYFUNCTION("GOOGLETRANSLATE(C707,""fr"",""en"")"),"It gets me drunk you want a recovery via internet-harassment and no you have to type an advisor I want steep answers via email not phone at all")</f>
        <v>It gets me drunk you want a recovery via internet-harassment and no you have to type an advisor I want steep answers via email not phone at all</v>
      </c>
    </row>
    <row r="708" ht="15.75" customHeight="1">
      <c r="A708" s="2">
        <v>2.0</v>
      </c>
      <c r="B708" s="2" t="s">
        <v>1985</v>
      </c>
      <c r="C708" s="2" t="s">
        <v>1986</v>
      </c>
      <c r="D708" s="2" t="s">
        <v>39</v>
      </c>
      <c r="E708" s="2" t="s">
        <v>14</v>
      </c>
      <c r="F708" s="2" t="s">
        <v>15</v>
      </c>
      <c r="G708" s="2" t="s">
        <v>1000</v>
      </c>
      <c r="H708" s="2" t="s">
        <v>624</v>
      </c>
      <c r="I708" s="2" t="str">
        <f>IFERROR(__xludf.DUMMYFUNCTION("GOOGLETRANSLATE(C708,""fr"",""en"")"),"Rather attractive prices but beware of the ""second Kiss cool effect"" ...
To be not recommended for people whose vehicle is devoid of a spare wheel (eg Renault Grand Scenic 7 places): unlike other insurers, it is to manage in the event of a puncture, ev"&amp;"en 300 km from your home when you have subscribed For 0km assistance.")</f>
        <v>Rather attractive prices but beware of the "second Kiss cool effect" ...
To be not recommended for people whose vehicle is devoid of a spare wheel (eg Renault Grand Scenic 7 places): unlike other insurers, it is to manage in the event of a puncture, even 300 km from your home when you have subscribed For 0km assistance.</v>
      </c>
    </row>
    <row r="709" ht="15.75" customHeight="1">
      <c r="A709" s="2">
        <v>5.0</v>
      </c>
      <c r="B709" s="2" t="s">
        <v>1987</v>
      </c>
      <c r="C709" s="2" t="s">
        <v>1988</v>
      </c>
      <c r="D709" s="2" t="s">
        <v>67</v>
      </c>
      <c r="E709" s="2" t="s">
        <v>14</v>
      </c>
      <c r="F709" s="2" t="s">
        <v>15</v>
      </c>
      <c r="G709" s="2" t="s">
        <v>104</v>
      </c>
      <c r="H709" s="2" t="s">
        <v>84</v>
      </c>
      <c r="I709" s="2" t="str">
        <f>IFERROR(__xludf.DUMMYFUNCTION("GOOGLETRANSLATE(C709,""fr"",""en"")"),"Hello I am satisfied with your a companion.
Your sevice and always to our listening for us amiliore and to understand
CORDIALLY
Suffou Maddi")</f>
        <v>Hello I am satisfied with your a companion.
Your sevice and always to our listening for us amiliore and to understand
CORDIALLY
Suffou Maddi</v>
      </c>
    </row>
    <row r="710" ht="15.75" customHeight="1">
      <c r="A710" s="2">
        <v>1.0</v>
      </c>
      <c r="B710" s="2" t="s">
        <v>1989</v>
      </c>
      <c r="C710" s="2" t="s">
        <v>1990</v>
      </c>
      <c r="D710" s="2" t="s">
        <v>39</v>
      </c>
      <c r="E710" s="2" t="s">
        <v>14</v>
      </c>
      <c r="F710" s="2" t="s">
        <v>15</v>
      </c>
      <c r="G710" s="2" t="s">
        <v>101</v>
      </c>
      <c r="H710" s="2" t="s">
        <v>101</v>
      </c>
      <c r="I710" s="2" t="str">
        <f>IFERROR(__xludf.DUMMYFUNCTION("GOOGLETRANSLATE(C710,""fr"",""en"")"),"I am disappointed with the claim service, because very long to answer.
I had to receive a message following my call, to inform you of a disaster, I always wait. !!!!!!!!!!!!!!!!!!!")</f>
        <v>I am disappointed with the claim service, because very long to answer.
I had to receive a message following my call, to inform you of a disaster, I always wait. !!!!!!!!!!!!!!!!!!!</v>
      </c>
    </row>
    <row r="711" ht="15.75" customHeight="1">
      <c r="A711" s="2">
        <v>3.0</v>
      </c>
      <c r="B711" s="2" t="s">
        <v>1991</v>
      </c>
      <c r="C711" s="2" t="s">
        <v>1992</v>
      </c>
      <c r="D711" s="2" t="s">
        <v>25</v>
      </c>
      <c r="E711" s="2" t="s">
        <v>14</v>
      </c>
      <c r="F711" s="2" t="s">
        <v>15</v>
      </c>
      <c r="G711" s="2" t="s">
        <v>1993</v>
      </c>
      <c r="H711" s="2" t="s">
        <v>69</v>
      </c>
      <c r="I711" s="2" t="str">
        <f>IFERROR(__xludf.DUMMYFUNCTION("GOOGLETRANSLATE(C711,""fr"",""en"")"),"Internet simulation which gives a certain price for my car insurance.
I contact an advisor to have details. The price is different.
I finally finalize my request on the Internet. Everything seems ok.
After having regulated and sent the documents relati"&amp;"ng to the 2 drivers, I receive a document with twice the same name for the two drivers ... I call them to share their error. They answer me that they must redo a file which, despite the fact that I communicate exactly the same information, comes out with "&amp;"a much more expensive price.
No comment ... I'm waiting for your answer.")</f>
        <v>Internet simulation which gives a certain price for my car insurance.
I contact an advisor to have details. The price is different.
I finally finalize my request on the Internet. Everything seems ok.
After having regulated and sent the documents relating to the 2 drivers, I receive a document with twice the same name for the two drivers ... I call them to share their error. They answer me that they must redo a file which, despite the fact that I communicate exactly the same information, comes out with a much more expensive price.
No comment ... I'm waiting for your answer.</v>
      </c>
    </row>
    <row r="712" ht="15.75" customHeight="1">
      <c r="A712" s="2">
        <v>5.0</v>
      </c>
      <c r="B712" s="2" t="s">
        <v>1994</v>
      </c>
      <c r="C712" s="2" t="s">
        <v>1995</v>
      </c>
      <c r="D712" s="2" t="s">
        <v>67</v>
      </c>
      <c r="E712" s="2" t="s">
        <v>14</v>
      </c>
      <c r="F712" s="2" t="s">
        <v>15</v>
      </c>
      <c r="G712" s="2" t="s">
        <v>1548</v>
      </c>
      <c r="H712" s="2" t="s">
        <v>17</v>
      </c>
      <c r="I712" s="2" t="str">
        <f>IFERROR(__xludf.DUMMYFUNCTION("GOOGLETRANSLATE(C712,""fr"",""en"")"),"I am satisfied with the service, the prices are not the most advantageous, I think there is still a little effort made on this side. Very reactive insurance.")</f>
        <v>I am satisfied with the service, the prices are not the most advantageous, I think there is still a little effort made on this side. Very reactive insurance.</v>
      </c>
    </row>
    <row r="713" ht="15.75" customHeight="1">
      <c r="A713" s="2">
        <v>1.0</v>
      </c>
      <c r="B713" s="2" t="s">
        <v>1996</v>
      </c>
      <c r="C713" s="2" t="s">
        <v>1997</v>
      </c>
      <c r="D713" s="2" t="s">
        <v>39</v>
      </c>
      <c r="E713" s="2" t="s">
        <v>14</v>
      </c>
      <c r="F713" s="2" t="s">
        <v>15</v>
      </c>
      <c r="G713" s="2" t="s">
        <v>1998</v>
      </c>
      <c r="H713" s="2" t="s">
        <v>101</v>
      </c>
      <c r="I713" s="2" t="str">
        <f>IFERROR(__xludf.DUMMYFUNCTION("GOOGLETRANSLATE(C713,""fr"",""en"")"),"A company that attracts new customers with an attractive price but in the first responsible disaster is not only a 20 % penalty that is applied to you but an increase of 50 % that is made on your subscription. In two words, company to avoid")</f>
        <v>A company that attracts new customers with an attractive price but in the first responsible disaster is not only a 20 % penalty that is applied to you but an increase of 50 % that is made on your subscription. In two words, company to avoid</v>
      </c>
    </row>
    <row r="714" ht="15.75" customHeight="1">
      <c r="A714" s="2">
        <v>4.0</v>
      </c>
      <c r="B714" s="2" t="s">
        <v>1999</v>
      </c>
      <c r="C714" s="2" t="s">
        <v>2000</v>
      </c>
      <c r="D714" s="2" t="s">
        <v>39</v>
      </c>
      <c r="E714" s="2" t="s">
        <v>14</v>
      </c>
      <c r="F714" s="2" t="s">
        <v>15</v>
      </c>
      <c r="G714" s="2" t="s">
        <v>1698</v>
      </c>
      <c r="H714" s="2" t="s">
        <v>84</v>
      </c>
      <c r="I714" s="2" t="str">
        <f>IFERROR(__xludf.DUMMYFUNCTION("GOOGLETRANSLATE(C714,""fr"",""en"")"),"Satisfied with the service, good guarantees, price cheaper than elsewhere.
 I hope it will work in the same way as others over time and there will be no worries about customer service in the future.")</f>
        <v>Satisfied with the service, good guarantees, price cheaper than elsewhere.
 I hope it will work in the same way as others over time and there will be no worries about customer service in the future.</v>
      </c>
    </row>
    <row r="715" ht="15.75" customHeight="1">
      <c r="A715" s="2">
        <v>5.0</v>
      </c>
      <c r="B715" s="2" t="s">
        <v>2001</v>
      </c>
      <c r="C715" s="2" t="s">
        <v>2002</v>
      </c>
      <c r="D715" s="2" t="s">
        <v>39</v>
      </c>
      <c r="E715" s="2" t="s">
        <v>14</v>
      </c>
      <c r="F715" s="2" t="s">
        <v>15</v>
      </c>
      <c r="G715" s="2" t="s">
        <v>2003</v>
      </c>
      <c r="H715" s="2" t="s">
        <v>84</v>
      </c>
      <c r="I715" s="2" t="str">
        <f>IFERROR(__xludf.DUMMYFUNCTION("GOOGLETRANSLATE(C715,""fr"",""en"")"),"I am very quantant to be assured at home thank you
I am very quantant to be assured at home thank you
I am very quantant to be assured at home thank you
I am very quantant to be assured at home thank you
I am very quantant to be assured at home thank "&amp;"you
")</f>
        <v>I am very quantant to be assured at home thank you
I am very quantant to be assured at home thank you
I am very quantant to be assured at home thank you
I am very quantant to be assured at home thank you
I am very quantant to be assured at home thank you
</v>
      </c>
    </row>
    <row r="716" ht="15.75" customHeight="1">
      <c r="A716" s="2">
        <v>2.0</v>
      </c>
      <c r="B716" s="2" t="s">
        <v>2004</v>
      </c>
      <c r="C716" s="2" t="s">
        <v>2005</v>
      </c>
      <c r="D716" s="2" t="s">
        <v>219</v>
      </c>
      <c r="E716" s="2" t="s">
        <v>31</v>
      </c>
      <c r="F716" s="2" t="s">
        <v>15</v>
      </c>
      <c r="G716" s="2" t="s">
        <v>2006</v>
      </c>
      <c r="H716" s="2" t="s">
        <v>69</v>
      </c>
      <c r="I716" s="2" t="str">
        <f>IFERROR(__xludf.DUMMYFUNCTION("GOOGLETRANSLATE(C716,""fr"",""en"")"),"Hello customer for several years with already 3 bonus contract +50 motorcycle car. Request quote for 17 -year -old motorbike it's been 2 weeks. Online fact and given to my agency and the agreement of the head office. I think there is a problem with the ag"&amp;"ency because above all it wants to take me more expensive contract is there a bonus at the end of the year where we must terminate all the contracts")</f>
        <v>Hello customer for several years with already 3 bonus contract +50 motorcycle car. Request quote for 17 -year -old motorbike it's been 2 weeks. Online fact and given to my agency and the agreement of the head office. I think there is a problem with the agency because above all it wants to take me more expensive contract is there a bonus at the end of the year where we must terminate all the contracts</v>
      </c>
    </row>
    <row r="717" ht="15.75" customHeight="1">
      <c r="A717" s="2">
        <v>1.0</v>
      </c>
      <c r="B717" s="2" t="s">
        <v>2007</v>
      </c>
      <c r="C717" s="2" t="s">
        <v>2008</v>
      </c>
      <c r="D717" s="2" t="s">
        <v>49</v>
      </c>
      <c r="E717" s="2" t="s">
        <v>14</v>
      </c>
      <c r="F717" s="2" t="s">
        <v>15</v>
      </c>
      <c r="G717" s="2" t="s">
        <v>2009</v>
      </c>
      <c r="H717" s="2" t="s">
        <v>159</v>
      </c>
      <c r="I717" s="2" t="str">
        <f>IFERROR(__xludf.DUMMYFUNCTION("GOOGLETRANSLATE(C717,""fr"",""en"")"),"Not satisfied at all. Non -compliance with settlement commitments. No way to speak with them no reason that they read a letter or an email directly to the litigation and termination")</f>
        <v>Not satisfied at all. Non -compliance with settlement commitments. No way to speak with them no reason that they read a letter or an email directly to the litigation and termination</v>
      </c>
    </row>
    <row r="718" ht="15.75" customHeight="1">
      <c r="A718" s="2">
        <v>1.0</v>
      </c>
      <c r="B718" s="2" t="s">
        <v>2010</v>
      </c>
      <c r="C718" s="2" t="s">
        <v>2011</v>
      </c>
      <c r="D718" s="2" t="s">
        <v>328</v>
      </c>
      <c r="E718" s="2" t="s">
        <v>96</v>
      </c>
      <c r="F718" s="2" t="s">
        <v>15</v>
      </c>
      <c r="G718" s="2" t="s">
        <v>1810</v>
      </c>
      <c r="H718" s="2" t="s">
        <v>178</v>
      </c>
      <c r="I718" s="2" t="str">
        <f>IFERROR(__xludf.DUMMYFUNCTION("GOOGLETRANSLATE(C718,""fr"",""en"")"),"Deplorable customer service especially when you are already struggling to have lost someone.
We lose the documents sent or we only find them after 5 calls on the phone and no excuse from the staff")</f>
        <v>Deplorable customer service especially when you are already struggling to have lost someone.
We lose the documents sent or we only find them after 5 calls on the phone and no excuse from the staff</v>
      </c>
    </row>
    <row r="719" ht="15.75" customHeight="1">
      <c r="A719" s="2">
        <v>5.0</v>
      </c>
      <c r="B719" s="2" t="s">
        <v>2012</v>
      </c>
      <c r="C719" s="2" t="s">
        <v>2013</v>
      </c>
      <c r="D719" s="2" t="s">
        <v>39</v>
      </c>
      <c r="E719" s="2" t="s">
        <v>14</v>
      </c>
      <c r="F719" s="2" t="s">
        <v>15</v>
      </c>
      <c r="G719" s="2" t="s">
        <v>546</v>
      </c>
      <c r="H719" s="2" t="s">
        <v>17</v>
      </c>
      <c r="I719" s="2" t="str">
        <f>IFERROR(__xludf.DUMMYFUNCTION("GOOGLETRANSLATE(C719,""fr"",""en"")"),"Fast efficient much cheaper than my previous insurance.
Very clear on the phone. To see how it goes in case of a problem but for the moment nothing to complain about")</f>
        <v>Fast efficient much cheaper than my previous insurance.
Very clear on the phone. To see how it goes in case of a problem but for the moment nothing to complain about</v>
      </c>
    </row>
    <row r="720" ht="15.75" customHeight="1">
      <c r="A720" s="2">
        <v>4.0</v>
      </c>
      <c r="B720" s="2" t="s">
        <v>2014</v>
      </c>
      <c r="C720" s="2" t="s">
        <v>2015</v>
      </c>
      <c r="D720" s="2" t="s">
        <v>39</v>
      </c>
      <c r="E720" s="2" t="s">
        <v>14</v>
      </c>
      <c r="F720" s="2" t="s">
        <v>15</v>
      </c>
      <c r="G720" s="2" t="s">
        <v>2016</v>
      </c>
      <c r="H720" s="2" t="s">
        <v>109</v>
      </c>
      <c r="I720" s="2" t="str">
        <f>IFERROR(__xludf.DUMMYFUNCTION("GOOGLETRANSLATE(C720,""fr"",""en"")"),"I am satisfied with direct insurance The practical prices suit me quite I highly recommend this insurance people with whom we are dealing are very nice")</f>
        <v>I am satisfied with direct insurance The practical prices suit me quite I highly recommend this insurance people with whom we are dealing are very nice</v>
      </c>
    </row>
    <row r="721" ht="15.75" customHeight="1">
      <c r="A721" s="2">
        <v>2.0</v>
      </c>
      <c r="B721" s="2" t="s">
        <v>2017</v>
      </c>
      <c r="C721" s="2" t="s">
        <v>2018</v>
      </c>
      <c r="D721" s="2" t="s">
        <v>39</v>
      </c>
      <c r="E721" s="2" t="s">
        <v>14</v>
      </c>
      <c r="F721" s="2" t="s">
        <v>15</v>
      </c>
      <c r="G721" s="2" t="s">
        <v>2019</v>
      </c>
      <c r="H721" s="2" t="s">
        <v>375</v>
      </c>
      <c r="I721" s="2" t="str">
        <f>IFERROR(__xludf.DUMMYFUNCTION("GOOGLETRANSLATE(C721,""fr"",""en"")"),"I called to find out if I could lend my VHL to my son who had just recovered his license after a suspension. And amazement, the standardist tells me that my contract will be terminated because my son still lives under my roof. I specify that there was onl"&amp;"y me as a declared driver, that I have my 12 points, no suspension of my life and no claim at DA. Staring up !!!!!")</f>
        <v>I called to find out if I could lend my VHL to my son who had just recovered his license after a suspension. And amazement, the standardist tells me that my contract will be terminated because my son still lives under my roof. I specify that there was only me as a declared driver, that I have my 12 points, no suspension of my life and no claim at DA. Staring up !!!!!</v>
      </c>
    </row>
    <row r="722" ht="15.75" customHeight="1">
      <c r="A722" s="2">
        <v>2.0</v>
      </c>
      <c r="B722" s="2" t="s">
        <v>2020</v>
      </c>
      <c r="C722" s="2" t="s">
        <v>2021</v>
      </c>
      <c r="D722" s="2" t="s">
        <v>137</v>
      </c>
      <c r="E722" s="2" t="s">
        <v>429</v>
      </c>
      <c r="F722" s="2" t="s">
        <v>15</v>
      </c>
      <c r="G722" s="2" t="s">
        <v>2022</v>
      </c>
      <c r="H722" s="2" t="s">
        <v>371</v>
      </c>
      <c r="I722" s="2" t="str">
        <f>IFERROR(__xludf.DUMMYFUNCTION("GOOGLETRANSLATE(C722,""fr"",""en"")"),"I am trying to take out an insurance delegation for my mortgage at April who was recommended to me by my broker. I may not have my mortgage loan in time due to processing times at April. We started the steps 1 month ago, my partner had an answer after a w"&amp;"eek and for me still nothing. For 3 weeks I have been calling almost every day (I stopped emails because no answer) the advisers who tell me that they will send me an email to ask me for additional information on my medical file, and every day I have the "&amp;"same explanation: ""The email will be sent to you within 48 hours, we are late at the moment"". Except it has been going on for 3 weeks! I ask to be able to speak on the phone live with the people in charge of the medical file to save time, and I am told "&amp;"that it is impossible by invoking medical confidentiality. I regret a lot to have mounted this file with April that is said to be a specialist for this type of insurance. I should have passed through the bank's insurance even if it means paying a little m"&amp;"ore expensive but not risking to have my real estate acquisition (for which we give a 10%warranty, if the sale misses with our fault they are lost) because the insurer takes 1 month to send an email!")</f>
        <v>I am trying to take out an insurance delegation for my mortgage at April who was recommended to me by my broker. I may not have my mortgage loan in time due to processing times at April. We started the steps 1 month ago, my partner had an answer after a week and for me still nothing. For 3 weeks I have been calling almost every day (I stopped emails because no answer) the advisers who tell me that they will send me an email to ask me for additional information on my medical file, and every day I have the same explanation: "The email will be sent to you within 48 hours, we are late at the moment". Except it has been going on for 3 weeks! I ask to be able to speak on the phone live with the people in charge of the medical file to save time, and I am told that it is impossible by invoking medical confidentiality. I regret a lot to have mounted this file with April that is said to be a specialist for this type of insurance. I should have passed through the bank's insurance even if it means paying a little more expensive but not risking to have my real estate acquisition (for which we give a 10%warranty, if the sale misses with our fault they are lost) because the insurer takes 1 month to send an email!</v>
      </c>
    </row>
    <row r="723" ht="15.75" customHeight="1">
      <c r="A723" s="2">
        <v>3.0</v>
      </c>
      <c r="B723" s="2" t="s">
        <v>2023</v>
      </c>
      <c r="C723" s="2" t="s">
        <v>2024</v>
      </c>
      <c r="D723" s="2" t="s">
        <v>30</v>
      </c>
      <c r="E723" s="2" t="s">
        <v>31</v>
      </c>
      <c r="F723" s="2" t="s">
        <v>15</v>
      </c>
      <c r="G723" s="2" t="s">
        <v>60</v>
      </c>
      <c r="H723" s="2" t="s">
        <v>17</v>
      </c>
      <c r="I723" s="2" t="str">
        <f>IFERROR(__xludf.DUMMYFUNCTION("GOOGLETRANSLATE(C723,""fr"",""en"")"),"Too bad that the insurance all risk only takes effect after a year for a minor, in deputy because the concerned already leads the vehicle sepuis more than a year without a claim.")</f>
        <v>Too bad that the insurance all risk only takes effect after a year for a minor, in deputy because the concerned already leads the vehicle sepuis more than a year without a claim.</v>
      </c>
    </row>
    <row r="724" ht="15.75" customHeight="1">
      <c r="A724" s="2">
        <v>5.0</v>
      </c>
      <c r="B724" s="2" t="s">
        <v>2025</v>
      </c>
      <c r="C724" s="2" t="s">
        <v>2026</v>
      </c>
      <c r="D724" s="2" t="s">
        <v>25</v>
      </c>
      <c r="E724" s="2" t="s">
        <v>14</v>
      </c>
      <c r="F724" s="2" t="s">
        <v>15</v>
      </c>
      <c r="G724" s="2" t="s">
        <v>2027</v>
      </c>
      <c r="H724" s="2" t="s">
        <v>101</v>
      </c>
      <c r="I724" s="2" t="str">
        <f>IFERROR(__xludf.DUMMYFUNCTION("GOOGLETRANSLATE(C724,""fr"",""en"")"),"I am very satisfied with my car and home insurance, very good guarantees with very appreciable prices. Customer service is very efficient.")</f>
        <v>I am very satisfied with my car and home insurance, very good guarantees with very appreciable prices. Customer service is very efficient.</v>
      </c>
    </row>
    <row r="725" ht="15.75" customHeight="1">
      <c r="A725" s="2">
        <v>4.0</v>
      </c>
      <c r="B725" s="2" t="s">
        <v>2028</v>
      </c>
      <c r="C725" s="2" t="s">
        <v>2029</v>
      </c>
      <c r="D725" s="2" t="s">
        <v>35</v>
      </c>
      <c r="E725" s="2" t="s">
        <v>31</v>
      </c>
      <c r="F725" s="2" t="s">
        <v>15</v>
      </c>
      <c r="G725" s="2" t="s">
        <v>1022</v>
      </c>
      <c r="H725" s="2" t="s">
        <v>84</v>
      </c>
      <c r="I725" s="2" t="str">
        <f>IFERROR(__xludf.DUMMYFUNCTION("GOOGLETRANSLATE(C725,""fr"",""en"")"),"You are competitive, however, the assistance service is quite average. Unfortunately, I remained stuck on the side of the road for hours and your assistance service has never come. I reported the incident to your management")</f>
        <v>You are competitive, however, the assistance service is quite average. Unfortunately, I remained stuck on the side of the road for hours and your assistance service has never come. I reported the incident to your management</v>
      </c>
    </row>
    <row r="726" ht="15.75" customHeight="1">
      <c r="A726" s="2">
        <v>2.0</v>
      </c>
      <c r="B726" s="2" t="s">
        <v>2030</v>
      </c>
      <c r="C726" s="2" t="s">
        <v>2031</v>
      </c>
      <c r="D726" s="2" t="s">
        <v>39</v>
      </c>
      <c r="E726" s="2" t="s">
        <v>14</v>
      </c>
      <c r="F726" s="2" t="s">
        <v>15</v>
      </c>
      <c r="G726" s="2" t="s">
        <v>410</v>
      </c>
      <c r="H726" s="2" t="s">
        <v>101</v>
      </c>
      <c r="I726" s="2" t="str">
        <f>IFERROR(__xludf.DUMMYFUNCTION("GOOGLETRANSLATE(C726,""fr"",""en"")"),"Interesting hooks but 10% increase every year, for no valid reason.
Hours lost on the phone to refuse abusive increases")</f>
        <v>Interesting hooks but 10% increase every year, for no valid reason.
Hours lost on the phone to refuse abusive increases</v>
      </c>
    </row>
    <row r="727" ht="15.75" customHeight="1">
      <c r="A727" s="2">
        <v>4.0</v>
      </c>
      <c r="B727" s="2" t="s">
        <v>2032</v>
      </c>
      <c r="C727" s="2" t="s">
        <v>2033</v>
      </c>
      <c r="D727" s="2" t="s">
        <v>241</v>
      </c>
      <c r="E727" s="2" t="s">
        <v>45</v>
      </c>
      <c r="F727" s="2" t="s">
        <v>15</v>
      </c>
      <c r="G727" s="2" t="s">
        <v>1162</v>
      </c>
      <c r="H727" s="2" t="s">
        <v>109</v>
      </c>
      <c r="I727" s="2" t="str">
        <f>IFERROR(__xludf.DUMMYFUNCTION("GOOGLETRANSLATE(C727,""fr"",""en"")"),"Dental and optical reimbursement not top. Nevertheless the reception and the answers to the questions are effective and very clear. speed of management of quotes.")</f>
        <v>Dental and optical reimbursement not top. Nevertheless the reception and the answers to the questions are effective and very clear. speed of management of quotes.</v>
      </c>
    </row>
    <row r="728" ht="15.75" customHeight="1">
      <c r="A728" s="2">
        <v>2.0</v>
      </c>
      <c r="B728" s="2" t="s">
        <v>2034</v>
      </c>
      <c r="C728" s="2" t="s">
        <v>2035</v>
      </c>
      <c r="D728" s="2" t="s">
        <v>2036</v>
      </c>
      <c r="E728" s="2" t="s">
        <v>31</v>
      </c>
      <c r="F728" s="2" t="s">
        <v>15</v>
      </c>
      <c r="G728" s="2" t="s">
        <v>1319</v>
      </c>
      <c r="H728" s="2" t="s">
        <v>290</v>
      </c>
      <c r="I728" s="2" t="str">
        <f>IFERROR(__xludf.DUMMYFUNCTION("GOOGLETRANSLATE(C728,""fr"",""en"")"),"Victim of a disaster not responsible on May 31, 2017, the care of my vehicle was immediate.
Where the rub is therefore not in the care, but in reimbursement. Today (November 29, 2018), 18 months later, I have still not been reimbursed by Peyrac, and de"&amp;"spite reminders every week, a direct contact with my concession, the only answer I am:
""Dear insured,
We question the company and return to you upon receipt of their return. ""
Same thing by phone, a different advisor every time, and no idea what is"&amp;" going on or if why the procedure is so long. Without a generosity and blind confidence of my concession, I will always be without a vehicle almost 2 years after my accident! Unacceptable!
This insurance is perfect until you have an accident. It's up t"&amp;"o you to judge if that suits you.
")</f>
        <v>Victim of a disaster not responsible on May 31, 2017, the care of my vehicle was immediate.
Where the rub is therefore not in the care, but in reimbursement. Today (November 29, 2018), 18 months later, I have still not been reimbursed by Peyrac, and despite reminders every week, a direct contact with my concession, the only answer I am:
"Dear insured,
We question the company and return to you upon receipt of their return. "
Same thing by phone, a different advisor every time, and no idea what is going on or if why the procedure is so long. Without a generosity and blind confidence of my concession, I will always be without a vehicle almost 2 years after my accident! Unacceptable!
This insurance is perfect until you have an accident. It's up to you to judge if that suits you.
</v>
      </c>
    </row>
    <row r="729" ht="15.75" customHeight="1">
      <c r="A729" s="2">
        <v>4.0</v>
      </c>
      <c r="B729" s="2" t="s">
        <v>2037</v>
      </c>
      <c r="C729" s="2" t="s">
        <v>2038</v>
      </c>
      <c r="D729" s="2" t="s">
        <v>25</v>
      </c>
      <c r="E729" s="2" t="s">
        <v>14</v>
      </c>
      <c r="F729" s="2" t="s">
        <v>15</v>
      </c>
      <c r="G729" s="2" t="s">
        <v>488</v>
      </c>
      <c r="H729" s="2" t="s">
        <v>109</v>
      </c>
      <c r="I729" s="2" t="str">
        <f>IFERROR(__xludf.DUMMYFUNCTION("GOOGLETRANSLATE(C729,""fr"",""en"")"),"Very satisfied with the service I recommend it. This very fast and very serious. Not complicated . Interesting price advised very pleasant and everything is settled in a tempting.")</f>
        <v>Very satisfied with the service I recommend it. This very fast and very serious. Not complicated . Interesting price advised very pleasant and everything is settled in a tempting.</v>
      </c>
    </row>
    <row r="730" ht="15.75" customHeight="1">
      <c r="A730" s="2">
        <v>1.0</v>
      </c>
      <c r="B730" s="2" t="s">
        <v>2039</v>
      </c>
      <c r="C730" s="2" t="s">
        <v>2040</v>
      </c>
      <c r="D730" s="2" t="s">
        <v>49</v>
      </c>
      <c r="E730" s="2" t="s">
        <v>14</v>
      </c>
      <c r="F730" s="2" t="s">
        <v>15</v>
      </c>
      <c r="G730" s="2" t="s">
        <v>2041</v>
      </c>
      <c r="H730" s="2" t="s">
        <v>431</v>
      </c>
      <c r="I730" s="2" t="str">
        <f>IFERROR(__xludf.DUMMYFUNCTION("GOOGLETRANSLATE(C730,""fr"",""en"")"),"I am very unsatisfied with Allianz. Auto insurance guarantees are too expensive compared to other insurance companies. No commercial gesture to be a customer for several years. When terminating the Auto Insurance Contract for the sale of the vehicle, I wa"&amp;"s not completely reimbursed for the portion of the contribution corresponding to the period from the effect of termination to the initially planned due date. Also, the company refuses me to reimburse the regulatory tax attack.")</f>
        <v>I am very unsatisfied with Allianz. Auto insurance guarantees are too expensive compared to other insurance companies. No commercial gesture to be a customer for several years. When terminating the Auto Insurance Contract for the sale of the vehicle, I was not completely reimbursed for the portion of the contribution corresponding to the period from the effect of termination to the initially planned due date. Also, the company refuses me to reimburse the regulatory tax attack.</v>
      </c>
    </row>
    <row r="731" ht="15.75" customHeight="1">
      <c r="A731" s="2">
        <v>5.0</v>
      </c>
      <c r="B731" s="2" t="s">
        <v>2042</v>
      </c>
      <c r="C731" s="2" t="s">
        <v>2043</v>
      </c>
      <c r="D731" s="2" t="s">
        <v>735</v>
      </c>
      <c r="E731" s="2" t="s">
        <v>31</v>
      </c>
      <c r="F731" s="2" t="s">
        <v>15</v>
      </c>
      <c r="G731" s="2" t="s">
        <v>2044</v>
      </c>
      <c r="H731" s="2" t="s">
        <v>974</v>
      </c>
      <c r="I731" s="2" t="str">
        <f>IFERROR(__xludf.DUMMYFUNCTION("GOOGLETRANSLATE(C731,""fr"",""en"")"),"I had a young woman Shamila super smiling and very professional.
I highly recommend it. Insurance offering very advantageous rate")</f>
        <v>I had a young woman Shamila super smiling and very professional.
I highly recommend it. Insurance offering very advantageous rate</v>
      </c>
    </row>
    <row r="732" ht="15.75" customHeight="1">
      <c r="A732" s="2">
        <v>4.0</v>
      </c>
      <c r="B732" s="2" t="s">
        <v>2045</v>
      </c>
      <c r="C732" s="2" t="s">
        <v>2046</v>
      </c>
      <c r="D732" s="2" t="s">
        <v>25</v>
      </c>
      <c r="E732" s="2" t="s">
        <v>14</v>
      </c>
      <c r="F732" s="2" t="s">
        <v>15</v>
      </c>
      <c r="G732" s="2" t="s">
        <v>507</v>
      </c>
      <c r="H732" s="2" t="s">
        <v>77</v>
      </c>
      <c r="I732" s="2" t="str">
        <f>IFERROR(__xludf.DUMMYFUNCTION("GOOGLETRANSLATE(C732,""fr"",""en"")"),"We will see over time if the service is up to par.
The prices seem good, hoping that the services are too.
The advisor who managed our registration was patient and attentive!")</f>
        <v>We will see over time if the service is up to par.
The prices seem good, hoping that the services are too.
The advisor who managed our registration was patient and attentive!</v>
      </c>
    </row>
    <row r="733" ht="15.75" customHeight="1">
      <c r="A733" s="2">
        <v>1.0</v>
      </c>
      <c r="B733" s="2" t="s">
        <v>2047</v>
      </c>
      <c r="C733" s="2" t="s">
        <v>2048</v>
      </c>
      <c r="D733" s="2" t="s">
        <v>39</v>
      </c>
      <c r="E733" s="2" t="s">
        <v>14</v>
      </c>
      <c r="F733" s="2" t="s">
        <v>15</v>
      </c>
      <c r="G733" s="2" t="s">
        <v>113</v>
      </c>
      <c r="H733" s="2" t="s">
        <v>113</v>
      </c>
      <c r="I733" s="2" t="str">
        <f>IFERROR(__xludf.DUMMYFUNCTION("GOOGLETRANSLATE(C733,""fr"",""en"")"),"I am dissatisfied both by site and by the processing of my file. No inflows found on my sinister's site is in progress !! Don't say anything and what we call Pazs more info!")</f>
        <v>I am dissatisfied both by site and by the processing of my file. No inflows found on my sinister's site is in progress !! Don't say anything and what we call Pazs more info!</v>
      </c>
    </row>
    <row r="734" ht="15.75" customHeight="1">
      <c r="A734" s="2">
        <v>1.0</v>
      </c>
      <c r="B734" s="2" t="s">
        <v>2049</v>
      </c>
      <c r="C734" s="2" t="s">
        <v>2050</v>
      </c>
      <c r="D734" s="2" t="s">
        <v>208</v>
      </c>
      <c r="E734" s="2" t="s">
        <v>14</v>
      </c>
      <c r="F734" s="2" t="s">
        <v>15</v>
      </c>
      <c r="G734" s="2" t="s">
        <v>2051</v>
      </c>
      <c r="H734" s="2" t="s">
        <v>113</v>
      </c>
      <c r="I734" s="2" t="str">
        <f>IFERROR(__xludf.DUMMYFUNCTION("GOOGLETRANSLATE(C734,""fr"",""en"")"),"Insurance that knows how to collect bonuses but does not want to defend its customers, taking refuge in the opinion of his experts who are obviously favorable to him, to be avoided.")</f>
        <v>Insurance that knows how to collect bonuses but does not want to defend its customers, taking refuge in the opinion of his experts who are obviously favorable to him, to be avoided.</v>
      </c>
    </row>
    <row r="735" ht="15.75" customHeight="1">
      <c r="A735" s="2">
        <v>1.0</v>
      </c>
      <c r="B735" s="2" t="s">
        <v>2052</v>
      </c>
      <c r="C735" s="2" t="s">
        <v>2053</v>
      </c>
      <c r="D735" s="2" t="s">
        <v>39</v>
      </c>
      <c r="E735" s="2" t="s">
        <v>14</v>
      </c>
      <c r="F735" s="2" t="s">
        <v>15</v>
      </c>
      <c r="G735" s="2" t="s">
        <v>2054</v>
      </c>
      <c r="H735" s="2" t="s">
        <v>504</v>
      </c>
      <c r="I735" s="2" t="str">
        <f>IFERROR(__xludf.DUMMYFUNCTION("GOOGLETRANSLATE(C735,""fr"",""en"")"),"Hello
very unhappy after receiving my new schedule for a 13% increase
Are you just attractive in the first year to attract new customers if no news on your part we will see the assumption
")</f>
        <v>Hello
very unhappy after receiving my new schedule for a 13% increase
Are you just attractive in the first year to attract new customers if no news on your part we will see the assumption
</v>
      </c>
    </row>
    <row r="736" ht="15.75" customHeight="1">
      <c r="A736" s="2">
        <v>1.0</v>
      </c>
      <c r="B736" s="2" t="s">
        <v>2055</v>
      </c>
      <c r="C736" s="2" t="s">
        <v>2056</v>
      </c>
      <c r="D736" s="2" t="s">
        <v>25</v>
      </c>
      <c r="E736" s="2" t="s">
        <v>14</v>
      </c>
      <c r="F736" s="2" t="s">
        <v>15</v>
      </c>
      <c r="G736" s="2" t="s">
        <v>2057</v>
      </c>
      <c r="H736" s="2" t="s">
        <v>1036</v>
      </c>
      <c r="I736" s="2" t="str">
        <f>IFERROR(__xludf.DUMMYFUNCTION("GOOGLETRANSLATE(C736,""fr"",""en"")"),"Formerly insured with the Olivier Insurance, I had a non -responsible accident with a third party who was not insured. The olive tree tried to run the case, they had everything dragged, I even had to do investigations in their place, I had to call them ev"&amp;"ery day, every day they found a different excuse, nothing advanced. The olive tree announced to me 3 months after my file was classified and that they could not do anything because a third party had not answered their mail! And that they did not have enou"&amp;"gh evidence: the accident was filmed with my Dashcam, I had a signed observation and a witness. I had to resell my rugged car as wreckage, they don't even bother to bring the warranty background. In short, 3 months of waiting for that.
By terminating my "&amp;"insurance they tried to convince me to resume my insurance for my new car, the joke!")</f>
        <v>Formerly insured with the Olivier Insurance, I had a non -responsible accident with a third party who was not insured. The olive tree tried to run the case, they had everything dragged, I even had to do investigations in their place, I had to call them every day, every day they found a different excuse, nothing advanced. The olive tree announced to me 3 months after my file was classified and that they could not do anything because a third party had not answered their mail! And that they did not have enough evidence: the accident was filmed with my Dashcam, I had a signed observation and a witness. I had to resell my rugged car as wreckage, they don't even bother to bring the warranty background. In short, 3 months of waiting for that.
By terminating my insurance they tried to convince me to resume my insurance for my new car, the joke!</v>
      </c>
    </row>
    <row r="737" ht="15.75" customHeight="1">
      <c r="A737" s="2">
        <v>5.0</v>
      </c>
      <c r="B737" s="2" t="s">
        <v>2058</v>
      </c>
      <c r="C737" s="2" t="s">
        <v>2059</v>
      </c>
      <c r="D737" s="2" t="s">
        <v>39</v>
      </c>
      <c r="E737" s="2" t="s">
        <v>14</v>
      </c>
      <c r="F737" s="2" t="s">
        <v>15</v>
      </c>
      <c r="G737" s="2" t="s">
        <v>1154</v>
      </c>
      <c r="H737" s="2" t="s">
        <v>17</v>
      </c>
      <c r="I737" s="2" t="str">
        <f>IFERROR(__xludf.DUMMYFUNCTION("GOOGLETRANSLATE(C737,""fr"",""en"")"),"Very satisfied with the prices for my first car and it is the cheapest that I found in other insurance I am told that it is a big car that I have in short very satisfied")</f>
        <v>Very satisfied with the prices for my first car and it is the cheapest that I found in other insurance I am told that it is a big car that I have in short very satisfied</v>
      </c>
    </row>
    <row r="738" ht="15.75" customHeight="1">
      <c r="A738" s="2">
        <v>5.0</v>
      </c>
      <c r="B738" s="2" t="s">
        <v>2060</v>
      </c>
      <c r="C738" s="2" t="s">
        <v>2061</v>
      </c>
      <c r="D738" s="2" t="s">
        <v>25</v>
      </c>
      <c r="E738" s="2" t="s">
        <v>14</v>
      </c>
      <c r="F738" s="2" t="s">
        <v>15</v>
      </c>
      <c r="G738" s="2" t="s">
        <v>1013</v>
      </c>
      <c r="H738" s="2" t="s">
        <v>27</v>
      </c>
      <c r="I738" s="2" t="str">
        <f>IFERROR(__xludf.DUMMYFUNCTION("GOOGLETRANSLATE(C738,""fr"",""en"")"),"I am satisfied with the services of the olive tree assurance prices suit me very good quality and very responsive telephone relations thank you very much")</f>
        <v>I am satisfied with the services of the olive tree assurance prices suit me very good quality and very responsive telephone relations thank you very much</v>
      </c>
    </row>
    <row r="739" ht="15.75" customHeight="1">
      <c r="A739" s="2">
        <v>5.0</v>
      </c>
      <c r="B739" s="2" t="s">
        <v>2062</v>
      </c>
      <c r="C739" s="2" t="s">
        <v>2063</v>
      </c>
      <c r="D739" s="2" t="s">
        <v>25</v>
      </c>
      <c r="E739" s="2" t="s">
        <v>14</v>
      </c>
      <c r="F739" s="2" t="s">
        <v>15</v>
      </c>
      <c r="G739" s="2" t="s">
        <v>340</v>
      </c>
      <c r="H739" s="2" t="s">
        <v>27</v>
      </c>
      <c r="I739" s="2" t="str">
        <f>IFERROR(__xludf.DUMMYFUNCTION("GOOGLETRANSLATE(C739,""fr"",""en"")"),"Very satisfied with the service and the ease with which it is possible to join an automotive insurance contract. I really recommend.")</f>
        <v>Very satisfied with the service and the ease with which it is possible to join an automotive insurance contract. I really recommend.</v>
      </c>
    </row>
    <row r="740" ht="15.75" customHeight="1">
      <c r="A740" s="2">
        <v>2.0</v>
      </c>
      <c r="B740" s="2" t="s">
        <v>2064</v>
      </c>
      <c r="C740" s="2" t="s">
        <v>2065</v>
      </c>
      <c r="D740" s="2" t="s">
        <v>25</v>
      </c>
      <c r="E740" s="2" t="s">
        <v>14</v>
      </c>
      <c r="F740" s="2" t="s">
        <v>15</v>
      </c>
      <c r="G740" s="2" t="s">
        <v>1802</v>
      </c>
      <c r="H740" s="2" t="s">
        <v>371</v>
      </c>
      <c r="I740" s="2" t="str">
        <f>IFERROR(__xludf.DUMMYFUNCTION("GOOGLETRANSLATE(C740,""fr"",""en"")"),"Very disappointed with this insurer. After 3 years with them without any claim, I terminated my contract on its due date, within the deadlines provided by law. This insurer acknowledged receipt of my request but pretends it to refuse it for an obscure rea"&amp;"son for ""not respected"" procedure! And he tried to take me a new annual deadline, fortunately I had asked my bank in time to cancel the levy authorization. And the height is that he tries to intimidate me by threatening me to terminate me for non -payme"&amp;"nt of premium.
PS for the olive assurance: if you read this post and want to check my words, my contract no: 1080085036. I hope you can settle this situation amicable, but if you have to go to court 'I will ...")</f>
        <v>Very disappointed with this insurer. After 3 years with them without any claim, I terminated my contract on its due date, within the deadlines provided by law. This insurer acknowledged receipt of my request but pretends it to refuse it for an obscure reason for "not respected" procedure! And he tried to take me a new annual deadline, fortunately I had asked my bank in time to cancel the levy authorization. And the height is that he tries to intimidate me by threatening me to terminate me for non -payment of premium.
PS for the olive assurance: if you read this post and want to check my words, my contract no: 1080085036. I hope you can settle this situation amicable, but if you have to go to court 'I will ...</v>
      </c>
    </row>
    <row r="741" ht="15.75" customHeight="1">
      <c r="A741" s="2">
        <v>3.0</v>
      </c>
      <c r="B741" s="2" t="s">
        <v>2066</v>
      </c>
      <c r="C741" s="2" t="s">
        <v>2067</v>
      </c>
      <c r="D741" s="2" t="s">
        <v>39</v>
      </c>
      <c r="E741" s="2" t="s">
        <v>14</v>
      </c>
      <c r="F741" s="2" t="s">
        <v>15</v>
      </c>
      <c r="G741" s="2" t="s">
        <v>2068</v>
      </c>
      <c r="H741" s="2" t="s">
        <v>73</v>
      </c>
      <c r="I741" s="2" t="str">
        <f>IFERROR(__xludf.DUMMYFUNCTION("GOOGLETRANSLATE(C741,""fr"",""en"")"),"Quick estimate ... Waiting to see the rest ... If the care or validation of the dragging file we are taken hostage to give its opinion and I don't like it too much")</f>
        <v>Quick estimate ... Waiting to see the rest ... If the care or validation of the dragging file we are taken hostage to give its opinion and I don't like it too much</v>
      </c>
    </row>
    <row r="742" ht="15.75" customHeight="1">
      <c r="A742" s="2">
        <v>2.0</v>
      </c>
      <c r="B742" s="2" t="s">
        <v>2069</v>
      </c>
      <c r="C742" s="2" t="s">
        <v>2070</v>
      </c>
      <c r="D742" s="2" t="s">
        <v>39</v>
      </c>
      <c r="E742" s="2" t="s">
        <v>14</v>
      </c>
      <c r="F742" s="2" t="s">
        <v>15</v>
      </c>
      <c r="G742" s="2" t="s">
        <v>1190</v>
      </c>
      <c r="H742" s="2" t="s">
        <v>424</v>
      </c>
      <c r="I742" s="2" t="str">
        <f>IFERROR(__xludf.DUMMYFUNCTION("GOOGLETRANSLATE(C742,""fr"",""en"")"),"Luxury proposal to change insurer, then an exponential increase.
Black blah… .. it is not better value for service and price.")</f>
        <v>Luxury proposal to change insurer, then an exponential increase.
Black blah… .. it is not better value for service and price.</v>
      </c>
    </row>
    <row r="743" ht="15.75" customHeight="1">
      <c r="A743" s="2">
        <v>1.0</v>
      </c>
      <c r="B743" s="2" t="s">
        <v>2071</v>
      </c>
      <c r="C743" s="2" t="s">
        <v>2072</v>
      </c>
      <c r="D743" s="2" t="s">
        <v>87</v>
      </c>
      <c r="E743" s="2" t="s">
        <v>14</v>
      </c>
      <c r="F743" s="2" t="s">
        <v>15</v>
      </c>
      <c r="G743" s="2" t="s">
        <v>2073</v>
      </c>
      <c r="H743" s="2" t="s">
        <v>198</v>
      </c>
      <c r="I743" s="2" t="str">
        <f>IFERROR(__xludf.DUMMYFUNCTION("GOOGLETRANSLATE(C743,""fr"",""en"")"),"This insurance is a disaster. I've been waiting for a refund for two months, they are incompetent, they refer the ball when I call.")</f>
        <v>This insurance is a disaster. I've been waiting for a refund for two months, they are incompetent, they refer the ball when I call.</v>
      </c>
    </row>
    <row r="744" ht="15.75" customHeight="1">
      <c r="A744" s="2">
        <v>2.0</v>
      </c>
      <c r="B744" s="2" t="s">
        <v>2074</v>
      </c>
      <c r="C744" s="2" t="s">
        <v>2075</v>
      </c>
      <c r="D744" s="2" t="s">
        <v>123</v>
      </c>
      <c r="E744" s="2" t="s">
        <v>233</v>
      </c>
      <c r="F744" s="2" t="s">
        <v>15</v>
      </c>
      <c r="G744" s="2" t="s">
        <v>2076</v>
      </c>
      <c r="H744" s="2" t="s">
        <v>92</v>
      </c>
      <c r="I744" s="2" t="str">
        <f>IFERROR(__xludf.DUMMYFUNCTION("GOOGLETRANSLATE(C744,""fr"",""en"")"),"Hello, my sister died on January 29, I took care of my sister's funeral.
AG2R my contacted to tell me that I will be reimbursing and that it was to pay for the FUNEBRE pump, but it's been two 2 months now that I beat so that it pays money.
With at least"&amp;" a dozen emails and twenty phone calls and it is always the same thing computer problem.
I no longer know who to address me please help me. Thank you")</f>
        <v>Hello, my sister died on January 29, I took care of my sister's funeral.
AG2R my contacted to tell me that I will be reimbursing and that it was to pay for the FUNEBRE pump, but it's been two 2 months now that I beat so that it pays money.
With at least a dozen emails and twenty phone calls and it is always the same thing computer problem.
I no longer know who to address me please help me. Thank you</v>
      </c>
    </row>
    <row r="745" ht="15.75" customHeight="1">
      <c r="A745" s="2">
        <v>1.0</v>
      </c>
      <c r="B745" s="2" t="s">
        <v>2077</v>
      </c>
      <c r="C745" s="2" t="s">
        <v>2078</v>
      </c>
      <c r="D745" s="2" t="s">
        <v>67</v>
      </c>
      <c r="E745" s="2" t="s">
        <v>50</v>
      </c>
      <c r="F745" s="2" t="s">
        <v>15</v>
      </c>
      <c r="G745" s="2" t="s">
        <v>152</v>
      </c>
      <c r="H745" s="2" t="s">
        <v>77</v>
      </c>
      <c r="I745" s="2" t="str">
        <f>IFERROR(__xludf.DUMMYFUNCTION("GOOGLETRANSLATE(C745,""fr"",""en"")"),"Victim of natural disaster (decree published in July 21) I was strolled from platform to telephone platform for emergency assistance .... GMF refers to Fidelia who transmitted to his compulsory service provider Dynaren who answers ""we do not have company"&amp;" approved in your region ... we cannot send you contact details ... it is confidential !!! ""
Obligation to search (after 15 waiting) a company for ""security"" of the building by paying the invoice without being certain of the reimbursement by the claim"&amp;" service.
GMF assistance is valid for the car but not for housing or legal protection without interest ...")</f>
        <v>Victim of natural disaster (decree published in July 21) I was strolled from platform to telephone platform for emergency assistance .... GMF refers to Fidelia who transmitted to his compulsory service provider Dynaren who answers "we do not have company approved in your region ... we cannot send you contact details ... it is confidential !!! "
Obligation to search (after 15 waiting) a company for "security" of the building by paying the invoice without being certain of the reimbursement by the claim service.
GMF assistance is valid for the car but not for housing or legal protection without interest ...</v>
      </c>
    </row>
    <row r="746" ht="15.75" customHeight="1">
      <c r="A746" s="2">
        <v>4.0</v>
      </c>
      <c r="B746" s="2" t="s">
        <v>2079</v>
      </c>
      <c r="C746" s="2" t="s">
        <v>2080</v>
      </c>
      <c r="D746" s="2" t="s">
        <v>25</v>
      </c>
      <c r="E746" s="2" t="s">
        <v>14</v>
      </c>
      <c r="F746" s="2" t="s">
        <v>15</v>
      </c>
      <c r="G746" s="2" t="s">
        <v>1045</v>
      </c>
      <c r="H746" s="2" t="s">
        <v>27</v>
      </c>
      <c r="I746" s="2" t="str">
        <f>IFERROR(__xludf.DUMMYFUNCTION("GOOGLETRANSLATE(C746,""fr"",""en"")"),"I am currently satisfied with the reception times and the offer for my car contract. Being a former customer it is quite natural that I came back to have a quote, which I accepted.")</f>
        <v>I am currently satisfied with the reception times and the offer for my car contract. Being a former customer it is quite natural that I came back to have a quote, which I accepted.</v>
      </c>
    </row>
    <row r="747" ht="15.75" customHeight="1">
      <c r="A747" s="2">
        <v>5.0</v>
      </c>
      <c r="B747" s="2" t="s">
        <v>2081</v>
      </c>
      <c r="C747" s="2" t="s">
        <v>2082</v>
      </c>
      <c r="D747" s="2" t="s">
        <v>25</v>
      </c>
      <c r="E747" s="2" t="s">
        <v>14</v>
      </c>
      <c r="F747" s="2" t="s">
        <v>15</v>
      </c>
      <c r="G747" s="2" t="s">
        <v>194</v>
      </c>
      <c r="H747" s="2" t="s">
        <v>77</v>
      </c>
      <c r="I747" s="2" t="str">
        <f>IFERROR(__xludf.DUMMYFUNCTION("GOOGLETRANSLATE(C747,""fr"",""en"")"),"I am delighted with your responsiveness and your rates too ... I highly recommend Olivier Assurance. Continue to make us dream and offer us best services.")</f>
        <v>I am delighted with your responsiveness and your rates too ... I highly recommend Olivier Assurance. Continue to make us dream and offer us best services.</v>
      </c>
    </row>
    <row r="748" ht="15.75" customHeight="1">
      <c r="A748" s="2">
        <v>5.0</v>
      </c>
      <c r="B748" s="2" t="s">
        <v>2083</v>
      </c>
      <c r="C748" s="2" t="s">
        <v>2084</v>
      </c>
      <c r="D748" s="2" t="s">
        <v>39</v>
      </c>
      <c r="E748" s="2" t="s">
        <v>14</v>
      </c>
      <c r="F748" s="2" t="s">
        <v>15</v>
      </c>
      <c r="G748" s="2" t="s">
        <v>2085</v>
      </c>
      <c r="H748" s="2" t="s">
        <v>17</v>
      </c>
      <c r="I748" s="2" t="str">
        <f>IFERROR(__xludf.DUMMYFUNCTION("GOOGLETRANSLATE(C748,""fr"",""en"")"),"I am satisfied with the prices and speed to be insured.
In your offer a lot of service is included in the attractive price.
It is to make you know to friends")</f>
        <v>I am satisfied with the prices and speed to be insured.
In your offer a lot of service is included in the attractive price.
It is to make you know to friends</v>
      </c>
    </row>
    <row r="749" ht="15.75" customHeight="1">
      <c r="A749" s="2">
        <v>3.0</v>
      </c>
      <c r="B749" s="2" t="s">
        <v>2086</v>
      </c>
      <c r="C749" s="2" t="s">
        <v>2087</v>
      </c>
      <c r="D749" s="2" t="s">
        <v>30</v>
      </c>
      <c r="E749" s="2" t="s">
        <v>31</v>
      </c>
      <c r="F749" s="2" t="s">
        <v>15</v>
      </c>
      <c r="G749" s="2" t="s">
        <v>1534</v>
      </c>
      <c r="H749" s="2" t="s">
        <v>113</v>
      </c>
      <c r="I749" s="2" t="str">
        <f>IFERROR(__xludf.DUMMYFUNCTION("GOOGLETRANSLATE(C749,""fr"",""en"")"),"I am satisfied with the services despite difficulties in reaching customer service We often come across the answering machine It is difficult to have direct contact")</f>
        <v>I am satisfied with the services despite difficulties in reaching customer service We often come across the answering machine It is difficult to have direct contact</v>
      </c>
    </row>
    <row r="750" ht="15.75" customHeight="1">
      <c r="A750" s="2">
        <v>4.0</v>
      </c>
      <c r="B750" s="2" t="s">
        <v>2088</v>
      </c>
      <c r="C750" s="2" t="s">
        <v>2089</v>
      </c>
      <c r="D750" s="2" t="s">
        <v>67</v>
      </c>
      <c r="E750" s="2" t="s">
        <v>14</v>
      </c>
      <c r="F750" s="2" t="s">
        <v>15</v>
      </c>
      <c r="G750" s="2" t="s">
        <v>898</v>
      </c>
      <c r="H750" s="2" t="s">
        <v>113</v>
      </c>
      <c r="I750" s="2" t="str">
        <f>IFERROR(__xludf.DUMMYFUNCTION("GOOGLETRANSLATE(C750,""fr"",""en"")"),"I am satisfied with the service
A commercial gesture would be good in view of the COVVID health crisis and our seniority.
With confinement our activities and trips were very limited.
")</f>
        <v>I am satisfied with the service
A commercial gesture would be good in view of the COVVID health crisis and our seniority.
With confinement our activities and trips were very limited.
</v>
      </c>
    </row>
    <row r="751" ht="15.75" customHeight="1">
      <c r="A751" s="2">
        <v>3.0</v>
      </c>
      <c r="B751" s="2" t="s">
        <v>2090</v>
      </c>
      <c r="C751" s="2" t="s">
        <v>2091</v>
      </c>
      <c r="D751" s="2" t="s">
        <v>391</v>
      </c>
      <c r="E751" s="2" t="s">
        <v>347</v>
      </c>
      <c r="F751" s="2" t="s">
        <v>15</v>
      </c>
      <c r="G751" s="2" t="s">
        <v>597</v>
      </c>
      <c r="H751" s="2" t="s">
        <v>120</v>
      </c>
      <c r="I751" s="2" t="str">
        <f>IFERROR(__xludf.DUMMYFUNCTION("GOOGLETRANSLATE(C751,""fr"",""en"")"),"Same misadventure as the previous.mail compared to Assuropoil, Blablabla, and at the end, please note that your subscription will be increased by 50 percent! Inadmissible!")</f>
        <v>Same misadventure as the previous.mail compared to Assuropoil, Blablabla, and at the end, please note that your subscription will be increased by 50 percent! Inadmissible!</v>
      </c>
    </row>
    <row r="752" ht="15.75" customHeight="1">
      <c r="A752" s="2">
        <v>3.0</v>
      </c>
      <c r="B752" s="2" t="s">
        <v>2092</v>
      </c>
      <c r="C752" s="2" t="s">
        <v>2093</v>
      </c>
      <c r="D752" s="2" t="s">
        <v>25</v>
      </c>
      <c r="E752" s="2" t="s">
        <v>14</v>
      </c>
      <c r="F752" s="2" t="s">
        <v>15</v>
      </c>
      <c r="G752" s="2" t="s">
        <v>2094</v>
      </c>
      <c r="H752" s="2" t="s">
        <v>504</v>
      </c>
      <c r="I752" s="2" t="str">
        <f>IFERROR(__xludf.DUMMYFUNCTION("GOOGLETRANSLATE(C752,""fr"",""en"")"),"Customer for 2 years with 2 vehicles I have just received my new maturity notice with an increase of 50 % following a responsible disaster but which did not cost them anything then that with a deductible of 755 euros the amount of the repair was lower
To"&amp;" know after a year I already had an increase of 25 taxes which makes in 2 years from 505 euros to 965 euros thank you the olive tree")</f>
        <v>Customer for 2 years with 2 vehicles I have just received my new maturity notice with an increase of 50 % following a responsible disaster but which did not cost them anything then that with a deductible of 755 euros the amount of the repair was lower
To know after a year I already had an increase of 25 taxes which makes in 2 years from 505 euros to 965 euros thank you the olive tree</v>
      </c>
    </row>
    <row r="753" ht="15.75" customHeight="1">
      <c r="A753" s="2">
        <v>4.0</v>
      </c>
      <c r="B753" s="2" t="s">
        <v>2095</v>
      </c>
      <c r="C753" s="2" t="s">
        <v>2096</v>
      </c>
      <c r="D753" s="2" t="s">
        <v>30</v>
      </c>
      <c r="E753" s="2" t="s">
        <v>31</v>
      </c>
      <c r="F753" s="2" t="s">
        <v>15</v>
      </c>
      <c r="G753" s="2" t="s">
        <v>1267</v>
      </c>
      <c r="H753" s="2" t="s">
        <v>84</v>
      </c>
      <c r="I753" s="2" t="str">
        <f>IFERROR(__xludf.DUMMYFUNCTION("GOOGLETRANSLATE(C753,""fr"",""en"")"),"I am very satisfied with the service. The people are clear on the phone they listen to the customer but the prices are just comparing to my student budget")</f>
        <v>I am very satisfied with the service. The people are clear on the phone they listen to the customer but the prices are just comparing to my student budget</v>
      </c>
    </row>
    <row r="754" ht="15.75" customHeight="1">
      <c r="A754" s="2">
        <v>2.0</v>
      </c>
      <c r="B754" s="2" t="s">
        <v>2097</v>
      </c>
      <c r="C754" s="2" t="s">
        <v>2098</v>
      </c>
      <c r="D754" s="2" t="s">
        <v>20</v>
      </c>
      <c r="E754" s="2" t="s">
        <v>14</v>
      </c>
      <c r="F754" s="2" t="s">
        <v>15</v>
      </c>
      <c r="G754" s="2" t="s">
        <v>2099</v>
      </c>
      <c r="H754" s="2" t="s">
        <v>238</v>
      </c>
      <c r="I754" s="2" t="str">
        <f>IFERROR(__xludf.DUMMYFUNCTION("GOOGLETRANSLATE(C754,""fr"",""en"")"),"No assurance support dear to cash in the money no problem for this it increases very strongly gives no advice for those who have very complicated money problems")</f>
        <v>No assurance support dear to cash in the money no problem for this it increases very strongly gives no advice for those who have very complicated money problems</v>
      </c>
    </row>
    <row r="755" ht="15.75" customHeight="1">
      <c r="A755" s="2">
        <v>4.0</v>
      </c>
      <c r="B755" s="2" t="s">
        <v>2100</v>
      </c>
      <c r="C755" s="2" t="s">
        <v>2101</v>
      </c>
      <c r="D755" s="2" t="s">
        <v>162</v>
      </c>
      <c r="E755" s="2" t="s">
        <v>45</v>
      </c>
      <c r="F755" s="2" t="s">
        <v>15</v>
      </c>
      <c r="G755" s="2" t="s">
        <v>2102</v>
      </c>
      <c r="H755" s="2" t="s">
        <v>325</v>
      </c>
      <c r="I755" s="2" t="str">
        <f>IFERROR(__xludf.DUMMYFUNCTION("GOOGLETRANSLATE(C755,""fr"",""en"")"),"Very happy, the person I have on the phone was very kind, professional and efficient!
I took my mutual in 1 hour and I do not regret at all. I who are not used to doing this on the internet, I am very surprised and satisfied by their service.
")</f>
        <v>Very happy, the person I have on the phone was very kind, professional and efficient!
I took my mutual in 1 hour and I do not regret at all. I who are not used to doing this on the internet, I am very surprised and satisfied by their service.
</v>
      </c>
    </row>
    <row r="756" ht="15.75" customHeight="1">
      <c r="A756" s="2">
        <v>1.0</v>
      </c>
      <c r="B756" s="2" t="s">
        <v>2103</v>
      </c>
      <c r="C756" s="2" t="s">
        <v>2104</v>
      </c>
      <c r="D756" s="2" t="s">
        <v>339</v>
      </c>
      <c r="E756" s="2" t="s">
        <v>45</v>
      </c>
      <c r="F756" s="2" t="s">
        <v>15</v>
      </c>
      <c r="G756" s="2" t="s">
        <v>2105</v>
      </c>
      <c r="H756" s="2" t="s">
        <v>624</v>
      </c>
      <c r="I756" s="2" t="str">
        <f>IFERROR(__xludf.DUMMYFUNCTION("GOOGLETRANSLATE(C756,""fr"",""en"")"),"I do not recommend this mutual")</f>
        <v>I do not recommend this mutual</v>
      </c>
    </row>
    <row r="757" ht="15.75" customHeight="1">
      <c r="A757" s="2">
        <v>5.0</v>
      </c>
      <c r="B757" s="2" t="s">
        <v>2106</v>
      </c>
      <c r="C757" s="2" t="s">
        <v>2107</v>
      </c>
      <c r="D757" s="2" t="s">
        <v>107</v>
      </c>
      <c r="E757" s="2" t="s">
        <v>45</v>
      </c>
      <c r="F757" s="2" t="s">
        <v>15</v>
      </c>
      <c r="G757" s="2" t="s">
        <v>1541</v>
      </c>
      <c r="H757" s="2" t="s">
        <v>688</v>
      </c>
      <c r="I757" s="2" t="str">
        <f>IFERROR(__xludf.DUMMYFUNCTION("GOOGLETRANSLATE(C757,""fr"",""en"")"),"Being a member since 2013 I am very satisfied with my health insurance")</f>
        <v>Being a member since 2013 I am very satisfied with my health insurance</v>
      </c>
    </row>
    <row r="758" ht="15.75" customHeight="1">
      <c r="A758" s="2">
        <v>3.0</v>
      </c>
      <c r="B758" s="2" t="s">
        <v>2108</v>
      </c>
      <c r="C758" s="2" t="s">
        <v>2109</v>
      </c>
      <c r="D758" s="2" t="s">
        <v>259</v>
      </c>
      <c r="E758" s="2" t="s">
        <v>14</v>
      </c>
      <c r="F758" s="2" t="s">
        <v>15</v>
      </c>
      <c r="G758" s="2" t="s">
        <v>289</v>
      </c>
      <c r="H758" s="2" t="s">
        <v>290</v>
      </c>
      <c r="I758" s="2" t="str">
        <f>IFERROR(__xludf.DUMMYFUNCTION("GOOGLETRANSLATE(C758,""fr"",""en"")"),"Following a disaster we recovered our car partially repaired. Despite our multiple reminders to finish the work the Macif remains silent. Lamentable")</f>
        <v>Following a disaster we recovered our car partially repaired. Despite our multiple reminders to finish the work the Macif remains silent. Lamentable</v>
      </c>
    </row>
    <row r="759" ht="15.75" customHeight="1">
      <c r="A759" s="2">
        <v>4.0</v>
      </c>
      <c r="B759" s="2" t="s">
        <v>2110</v>
      </c>
      <c r="C759" s="2" t="s">
        <v>2111</v>
      </c>
      <c r="D759" s="2" t="s">
        <v>39</v>
      </c>
      <c r="E759" s="2" t="s">
        <v>14</v>
      </c>
      <c r="F759" s="2" t="s">
        <v>15</v>
      </c>
      <c r="G759" s="2" t="s">
        <v>1045</v>
      </c>
      <c r="H759" s="2" t="s">
        <v>27</v>
      </c>
      <c r="I759" s="2" t="str">
        <f>IFERROR(__xludf.DUMMYFUNCTION("GOOGLETRANSLATE(C759,""fr"",""en"")"),"The prices are very interesting in the first year,
Then with the annual increases, it is less and less the case ....
Should we terminate every 2 years? To keep competitive prices?")</f>
        <v>The prices are very interesting in the first year,
Then with the annual increases, it is less and less the case ....
Should we terminate every 2 years? To keep competitive prices?</v>
      </c>
    </row>
    <row r="760" ht="15.75" customHeight="1">
      <c r="A760" s="2">
        <v>3.0</v>
      </c>
      <c r="B760" s="2" t="s">
        <v>2112</v>
      </c>
      <c r="C760" s="2" t="s">
        <v>2113</v>
      </c>
      <c r="D760" s="2" t="s">
        <v>25</v>
      </c>
      <c r="E760" s="2" t="s">
        <v>14</v>
      </c>
      <c r="F760" s="2" t="s">
        <v>15</v>
      </c>
      <c r="G760" s="2" t="s">
        <v>1264</v>
      </c>
      <c r="H760" s="2" t="s">
        <v>27</v>
      </c>
      <c r="I760" s="2" t="str">
        <f>IFERROR(__xludf.DUMMYFUNCTION("GOOGLETRANSLATE(C760,""fr"",""en"")"),"I am a new customer, I hope that the rest will be at the same level as the registration process. For the moment, we are satisfied. To be continued...
Thank you")</f>
        <v>I am a new customer, I hope that the rest will be at the same level as the registration process. For the moment, we are satisfied. To be continued...
Thank you</v>
      </c>
    </row>
    <row r="761" ht="15.75" customHeight="1">
      <c r="A761" s="2">
        <v>5.0</v>
      </c>
      <c r="B761" s="2" t="s">
        <v>2114</v>
      </c>
      <c r="C761" s="2" t="s">
        <v>2115</v>
      </c>
      <c r="D761" s="2" t="s">
        <v>25</v>
      </c>
      <c r="E761" s="2" t="s">
        <v>14</v>
      </c>
      <c r="F761" s="2" t="s">
        <v>15</v>
      </c>
      <c r="G761" s="2" t="s">
        <v>2116</v>
      </c>
      <c r="H761" s="2" t="s">
        <v>17</v>
      </c>
      <c r="I761" s="2" t="str">
        <f>IFERROR(__xludf.DUMMYFUNCTION("GOOGLETRANSLATE(C761,""fr"",""en"")"),"I am very satisfied with the welcome of my advisor, Mr. Sébastien.
I was able to be insured a few minutes from the purchase of my vehicle it was very fast.")</f>
        <v>I am very satisfied with the welcome of my advisor, Mr. Sébastien.
I was able to be insured a few minutes from the purchase of my vehicle it was very fast.</v>
      </c>
    </row>
    <row r="762" ht="15.75" customHeight="1">
      <c r="A762" s="2">
        <v>4.0</v>
      </c>
      <c r="B762" s="2" t="s">
        <v>2117</v>
      </c>
      <c r="C762" s="2" t="s">
        <v>2118</v>
      </c>
      <c r="D762" s="2" t="s">
        <v>25</v>
      </c>
      <c r="E762" s="2" t="s">
        <v>14</v>
      </c>
      <c r="F762" s="2" t="s">
        <v>15</v>
      </c>
      <c r="G762" s="2" t="s">
        <v>134</v>
      </c>
      <c r="H762" s="2" t="s">
        <v>101</v>
      </c>
      <c r="I762" s="2" t="str">
        <f>IFERROR(__xludf.DUMMYFUNCTION("GOOGLETRANSLATE(C762,""fr"",""en"")"),"I am very satisfied to be able to ensure my new powerful vehicle so quickly and everything is very clear with an attractive price. Glad to become a new customer the olive tree.")</f>
        <v>I am very satisfied to be able to ensure my new powerful vehicle so quickly and everything is very clear with an attractive price. Glad to become a new customer the olive tree.</v>
      </c>
    </row>
    <row r="763" ht="15.75" customHeight="1">
      <c r="A763" s="2">
        <v>1.0</v>
      </c>
      <c r="B763" s="2" t="s">
        <v>2119</v>
      </c>
      <c r="C763" s="2" t="s">
        <v>2120</v>
      </c>
      <c r="D763" s="2" t="s">
        <v>39</v>
      </c>
      <c r="E763" s="2" t="s">
        <v>14</v>
      </c>
      <c r="F763" s="2" t="s">
        <v>15</v>
      </c>
      <c r="G763" s="2" t="s">
        <v>479</v>
      </c>
      <c r="H763" s="2" t="s">
        <v>109</v>
      </c>
      <c r="I763" s="2" t="str">
        <f>IFERROR(__xludf.DUMMYFUNCTION("GOOGLETRANSLATE(C763,""fr"",""en"")"),"If we could give a negative note, I would gladly.
I did not wait to have a claim before being unhappy. I just wanted to pass my 2 cars from public parking to secure underground parking. Their answer: - 0.04 € on the annual subscription of my 1st car and "&amp;"-01 € on the 2nd. No commercial gesture concerning confinement and the fact that I stayed in teleworking (very few kilometers traveled).
I immediately remove my 2 cars, and I also remove my parents' cars.
I do not recommend at all !")</f>
        <v>If we could give a negative note, I would gladly.
I did not wait to have a claim before being unhappy. I just wanted to pass my 2 cars from public parking to secure underground parking. Their answer: - 0.04 € on the annual subscription of my 1st car and -01 € on the 2nd. No commercial gesture concerning confinement and the fact that I stayed in teleworking (very few kilometers traveled).
I immediately remove my 2 cars, and I also remove my parents' cars.
I do not recommend at all !</v>
      </c>
    </row>
    <row r="764" ht="15.75" customHeight="1">
      <c r="A764" s="2">
        <v>5.0</v>
      </c>
      <c r="B764" s="2" t="s">
        <v>2121</v>
      </c>
      <c r="C764" s="2" t="s">
        <v>2122</v>
      </c>
      <c r="D764" s="2" t="s">
        <v>25</v>
      </c>
      <c r="E764" s="2" t="s">
        <v>14</v>
      </c>
      <c r="F764" s="2" t="s">
        <v>15</v>
      </c>
      <c r="G764" s="2" t="s">
        <v>2027</v>
      </c>
      <c r="H764" s="2" t="s">
        <v>101</v>
      </c>
      <c r="I764" s="2" t="str">
        <f>IFERROR(__xludf.DUMMYFUNCTION("GOOGLETRANSLATE(C764,""fr"",""en"")"),"Very nice telephone reception, very professional, I recommend your insurance for its prices and services. Thank you again for being able to take out the car insurance that I wanted")</f>
        <v>Very nice telephone reception, very professional, I recommend your insurance for its prices and services. Thank you again for being able to take out the car insurance that I wanted</v>
      </c>
    </row>
    <row r="765" ht="15.75" customHeight="1">
      <c r="A765" s="2">
        <v>4.0</v>
      </c>
      <c r="B765" s="2" t="s">
        <v>2123</v>
      </c>
      <c r="C765" s="2" t="s">
        <v>2124</v>
      </c>
      <c r="D765" s="2" t="s">
        <v>30</v>
      </c>
      <c r="E765" s="2" t="s">
        <v>31</v>
      </c>
      <c r="F765" s="2" t="s">
        <v>15</v>
      </c>
      <c r="G765" s="2" t="s">
        <v>546</v>
      </c>
      <c r="H765" s="2" t="s">
        <v>17</v>
      </c>
      <c r="I765" s="2" t="str">
        <f>IFERROR(__xludf.DUMMYFUNCTION("GOOGLETRANSLATE(C765,""fr"",""en"")"),"Easily accessible advisers
Correct rates for insurance coverage
The website is easy to use but the quote did not appear on my portal. You have to go through the link received by email for the current quote. It could be an improvement in the site to be e"&amp;"xpected.
Thank you")</f>
        <v>Easily accessible advisers
Correct rates for insurance coverage
The website is easy to use but the quote did not appear on my portal. You have to go through the link received by email for the current quote. It could be an improvement in the site to be expected.
Thank you</v>
      </c>
    </row>
    <row r="766" ht="15.75" customHeight="1">
      <c r="A766" s="2">
        <v>1.0</v>
      </c>
      <c r="B766" s="2" t="s">
        <v>2125</v>
      </c>
      <c r="C766" s="2" t="s">
        <v>2126</v>
      </c>
      <c r="D766" s="2" t="s">
        <v>259</v>
      </c>
      <c r="E766" s="2" t="s">
        <v>50</v>
      </c>
      <c r="F766" s="2" t="s">
        <v>15</v>
      </c>
      <c r="G766" s="2" t="s">
        <v>2127</v>
      </c>
      <c r="H766" s="2" t="s">
        <v>1083</v>
      </c>
      <c r="I766" s="2" t="str">
        <f>IFERROR(__xludf.DUMMYFUNCTION("GOOGLETRANSLATE(C766,""fr"",""en"")"),"I paid for a garage, which found itself disaster, and finally they kicked up by playing a distance clause as for my home. To pay I was the right sheep. To reimburse me there was no one left. I led them to court and won. They lost a 20 -year -old customer "&amp;"and 32,000 euros.")</f>
        <v>I paid for a garage, which found itself disaster, and finally they kicked up by playing a distance clause as for my home. To pay I was the right sheep. To reimburse me there was no one left. I led them to court and won. They lost a 20 -year -old customer and 32,000 euros.</v>
      </c>
    </row>
    <row r="767" ht="15.75" customHeight="1">
      <c r="A767" s="2">
        <v>5.0</v>
      </c>
      <c r="B767" s="2" t="s">
        <v>2128</v>
      </c>
      <c r="C767" s="2" t="s">
        <v>2129</v>
      </c>
      <c r="D767" s="2" t="s">
        <v>162</v>
      </c>
      <c r="E767" s="2" t="s">
        <v>45</v>
      </c>
      <c r="F767" s="2" t="s">
        <v>15</v>
      </c>
      <c r="G767" s="2" t="s">
        <v>1465</v>
      </c>
      <c r="H767" s="2" t="s">
        <v>84</v>
      </c>
      <c r="I767" s="2" t="str">
        <f>IFERROR(__xludf.DUMMYFUNCTION("GOOGLETRANSLATE(C767,""fr"",""en"")"),"Very welcome with Mr Daouda.
Very well informed about my attestation of my employer and as well as my provident insurance contract which was still for me in the vagueness.
Very good exchange.")</f>
        <v>Very welcome with Mr Daouda.
Very well informed about my attestation of my employer and as well as my provident insurance contract which was still for me in the vagueness.
Very good exchange.</v>
      </c>
    </row>
    <row r="768" ht="15.75" customHeight="1">
      <c r="A768" s="2">
        <v>2.0</v>
      </c>
      <c r="B768" s="2" t="s">
        <v>2130</v>
      </c>
      <c r="C768" s="2" t="s">
        <v>2131</v>
      </c>
      <c r="D768" s="2" t="s">
        <v>208</v>
      </c>
      <c r="E768" s="2" t="s">
        <v>14</v>
      </c>
      <c r="F768" s="2" t="s">
        <v>15</v>
      </c>
      <c r="G768" s="2" t="s">
        <v>2132</v>
      </c>
      <c r="H768" s="2" t="s">
        <v>120</v>
      </c>
      <c r="I768" s="2" t="str">
        <f>IFERROR(__xludf.DUMMYFUNCTION("GOOGLETRANSLATE(C768,""fr"",""en"")"),"Today I receive a registered matmut recommended that I was terminated and soothing I too asked for legal aid because of my car in 2020 so especially not to ask for legal aid you just have to pay and do not ask for anything !! How to trust today all these "&amp;"insurances and then how to regain insurance ... a madness !!!")</f>
        <v>Today I receive a registered matmut recommended that I was terminated and soothing I too asked for legal aid because of my car in 2020 so especially not to ask for legal aid you just have to pay and do not ask for anything !! How to trust today all these insurances and then how to regain insurance ... a madness !!!</v>
      </c>
    </row>
    <row r="769" ht="15.75" customHeight="1">
      <c r="A769" s="2">
        <v>4.0</v>
      </c>
      <c r="B769" s="2" t="s">
        <v>2133</v>
      </c>
      <c r="C769" s="2" t="s">
        <v>2134</v>
      </c>
      <c r="D769" s="2" t="s">
        <v>49</v>
      </c>
      <c r="E769" s="2" t="s">
        <v>96</v>
      </c>
      <c r="F769" s="2" t="s">
        <v>15</v>
      </c>
      <c r="G769" s="2" t="s">
        <v>2135</v>
      </c>
      <c r="H769" s="2" t="s">
        <v>164</v>
      </c>
      <c r="I769" s="2" t="str">
        <f>IFERROR(__xludf.DUMMYFUNCTION("GOOGLETRANSLATE(C769,""fr"",""en"")"),"My partial buyout requests on two Allianz life insurance contracts carried out via the Internet without large formalities on my customer area, were honored with extremely short deadlines: less than two weeks for one, barely a few days for the other. Thank"&amp;" you and well done.")</f>
        <v>My partial buyout requests on two Allianz life insurance contracts carried out via the Internet without large formalities on my customer area, were honored with extremely short deadlines: less than two weeks for one, barely a few days for the other. Thank you and well done.</v>
      </c>
    </row>
    <row r="770" ht="15.75" customHeight="1">
      <c r="A770" s="2">
        <v>3.0</v>
      </c>
      <c r="B770" s="2" t="s">
        <v>2136</v>
      </c>
      <c r="C770" s="2" t="s">
        <v>2137</v>
      </c>
      <c r="D770" s="2" t="s">
        <v>67</v>
      </c>
      <c r="E770" s="2" t="s">
        <v>14</v>
      </c>
      <c r="F770" s="2" t="s">
        <v>15</v>
      </c>
      <c r="G770" s="2" t="s">
        <v>2138</v>
      </c>
      <c r="H770" s="2" t="s">
        <v>77</v>
      </c>
      <c r="I770" s="2" t="str">
        <f>IFERROR(__xludf.DUMMYFUNCTION("GOOGLETRANSLATE(C770,""fr"",""en"")"),"Satisfied with the service, satisfied with the prices, very pleasant welcome. The small roller formula is interesting for vehicles that drive little.")</f>
        <v>Satisfied with the service, satisfied with the prices, very pleasant welcome. The small roller formula is interesting for vehicles that drive little.</v>
      </c>
    </row>
    <row r="771" ht="15.75" customHeight="1">
      <c r="A771" s="2">
        <v>1.0</v>
      </c>
      <c r="B771" s="2" t="s">
        <v>2139</v>
      </c>
      <c r="C771" s="2" t="s">
        <v>2140</v>
      </c>
      <c r="D771" s="2" t="s">
        <v>361</v>
      </c>
      <c r="E771" s="2" t="s">
        <v>14</v>
      </c>
      <c r="F771" s="2" t="s">
        <v>15</v>
      </c>
      <c r="G771" s="2" t="s">
        <v>2141</v>
      </c>
      <c r="H771" s="2" t="s">
        <v>290</v>
      </c>
      <c r="I771" s="2" t="str">
        <f>IFERROR(__xludf.DUMMYFUNCTION("GOOGLETRANSLATE(C771,""fr"",""en"")"),"Very disappointed!!!! When the contract is terminated following a sale, I had the right to 7.2 euros in a change of file! I hallucinate! Displayed since the time I am there! Never again")</f>
        <v>Very disappointed!!!! When the contract is terminated following a sale, I had the right to 7.2 euros in a change of file! I hallucinate! Displayed since the time I am there! Never again</v>
      </c>
    </row>
    <row r="772" ht="15.75" customHeight="1">
      <c r="A772" s="2">
        <v>2.0</v>
      </c>
      <c r="B772" s="2" t="s">
        <v>2142</v>
      </c>
      <c r="C772" s="2" t="s">
        <v>2143</v>
      </c>
      <c r="D772" s="2" t="s">
        <v>39</v>
      </c>
      <c r="E772" s="2" t="s">
        <v>14</v>
      </c>
      <c r="F772" s="2" t="s">
        <v>15</v>
      </c>
      <c r="G772" s="2" t="s">
        <v>2144</v>
      </c>
      <c r="H772" s="2" t="s">
        <v>185</v>
      </c>
      <c r="I772" s="2" t="str">
        <f>IFERROR(__xludf.DUMMYFUNCTION("GOOGLETRANSLATE(C772,""fr"",""en"")"),"Hello,
You are looking for your life, you have not ensured problems, you sleep well at night or even wonder if you are crazy. So Direct Insurance is there for you. Find problems and inconsistencies directly from the subscription, they will save you 240 €"&amp;" on the price of your insurance and take more than 10 years on your state of health. Your interlocutor reachable 24 hours a day, coming directly from another planet still unknown. Download their application and directly order an asylum room, yes Direct In"&amp;"surance takes care of yourself. Subscribe your self -support contract with your doctor and a confirmed psychologist. Sponsor your friends and family you will quickly find yourself alone.
Insurance that never remembers you.")</f>
        <v>Hello,
You are looking for your life, you have not ensured problems, you sleep well at night or even wonder if you are crazy. So Direct Insurance is there for you. Find problems and inconsistencies directly from the subscription, they will save you 240 € on the price of your insurance and take more than 10 years on your state of health. Your interlocutor reachable 24 hours a day, coming directly from another planet still unknown. Download their application and directly order an asylum room, yes Direct Insurance takes care of yourself. Subscribe your self -support contract with your doctor and a confirmed psychologist. Sponsor your friends and family you will quickly find yourself alone.
Insurance that never remembers you.</v>
      </c>
    </row>
    <row r="773" ht="15.75" customHeight="1">
      <c r="A773" s="2">
        <v>3.0</v>
      </c>
      <c r="B773" s="2" t="s">
        <v>2145</v>
      </c>
      <c r="C773" s="2" t="s">
        <v>2146</v>
      </c>
      <c r="D773" s="2" t="s">
        <v>25</v>
      </c>
      <c r="E773" s="2" t="s">
        <v>14</v>
      </c>
      <c r="F773" s="2" t="s">
        <v>15</v>
      </c>
      <c r="G773" s="2" t="s">
        <v>853</v>
      </c>
      <c r="H773" s="2" t="s">
        <v>77</v>
      </c>
      <c r="I773" s="2" t="str">
        <f>IFERROR(__xludf.DUMMYFUNCTION("GOOGLETRANSLATE(C773,""fr"",""en"")"),"I am satisfied with the Servie and the price of 528 euros to the Anne Don a price of 34 euros per month I thanked you Regards Mr. Chaibriant Steven")</f>
        <v>I am satisfied with the Servie and the price of 528 euros to the Anne Don a price of 34 euros per month I thanked you Regards Mr. Chaibriant Steven</v>
      </c>
    </row>
    <row r="774" ht="15.75" customHeight="1">
      <c r="A774" s="2">
        <v>5.0</v>
      </c>
      <c r="B774" s="2" t="s">
        <v>2147</v>
      </c>
      <c r="C774" s="2" t="s">
        <v>2148</v>
      </c>
      <c r="D774" s="2" t="s">
        <v>25</v>
      </c>
      <c r="E774" s="2" t="s">
        <v>14</v>
      </c>
      <c r="F774" s="2" t="s">
        <v>15</v>
      </c>
      <c r="G774" s="2" t="s">
        <v>443</v>
      </c>
      <c r="H774" s="2" t="s">
        <v>27</v>
      </c>
      <c r="I774" s="2" t="str">
        <f>IFERROR(__xludf.DUMMYFUNCTION("GOOGLETRANSLATE(C774,""fr"",""en"")"),"I am satisfied with the services. Rapiditis, satisfactory price, easily accessibble. In short, I am happy to be assured at the Olivier Insurance.")</f>
        <v>I am satisfied with the services. Rapiditis, satisfactory price, easily accessibble. In short, I am happy to be assured at the Olivier Insurance.</v>
      </c>
    </row>
    <row r="775" ht="15.75" customHeight="1">
      <c r="A775" s="2">
        <v>1.0</v>
      </c>
      <c r="B775" s="2" t="s">
        <v>2149</v>
      </c>
      <c r="C775" s="2" t="s">
        <v>2150</v>
      </c>
      <c r="D775" s="2" t="s">
        <v>13</v>
      </c>
      <c r="E775" s="2" t="s">
        <v>14</v>
      </c>
      <c r="F775" s="2" t="s">
        <v>15</v>
      </c>
      <c r="G775" s="2" t="s">
        <v>2151</v>
      </c>
      <c r="H775" s="2" t="s">
        <v>295</v>
      </c>
      <c r="I775" s="2" t="str">
        <f>IFERROR(__xludf.DUMMYFUNCTION("GOOGLETRANSLATE(C775,""fr"",""en"")"),"I have recently been a client at Pacifia. They give us a quote and when we subscribe the contract, the price increases (3.90 euros per month) they do not say that it is an increase in April. On the birthday date my contract will be terminated and I go bac"&amp;"k to my assure Groupama because with them no unpleasant surprises.")</f>
        <v>I have recently been a client at Pacifia. They give us a quote and when we subscribe the contract, the price increases (3.90 euros per month) they do not say that it is an increase in April. On the birthday date my contract will be terminated and I go back to my assure Groupama because with them no unpleasant surprises.</v>
      </c>
    </row>
    <row r="776" ht="15.75" customHeight="1">
      <c r="A776" s="2">
        <v>2.0</v>
      </c>
      <c r="B776" s="2" t="s">
        <v>2152</v>
      </c>
      <c r="C776" s="2" t="s">
        <v>2153</v>
      </c>
      <c r="D776" s="2" t="s">
        <v>95</v>
      </c>
      <c r="E776" s="2" t="s">
        <v>233</v>
      </c>
      <c r="F776" s="2" t="s">
        <v>15</v>
      </c>
      <c r="G776" s="2" t="s">
        <v>2154</v>
      </c>
      <c r="H776" s="2" t="s">
        <v>178</v>
      </c>
      <c r="I776" s="2" t="str">
        <f>IFERROR(__xludf.DUMMYFUNCTION("GOOGLETRANSLATE(C776,""fr"",""en"")"),"Stop for 5 months he summons you on February 17 with mail received on January 27 and cuts you off daily allowances on January 6 during the expertise it will report from 3 weeks to 1 month so from January 6 to March 15 or 20 'Other at the end of the line t"&amp;"hat touches your pay at the end of the month tells you to manage you
I do not refuse controls but too long")</f>
        <v>Stop for 5 months he summons you on February 17 with mail received on January 27 and cuts you off daily allowances on January 6 during the expertise it will report from 3 weeks to 1 month so from January 6 to March 15 or 20 'Other at the end of the line that touches your pay at the end of the month tells you to manage you
I do not refuse controls but too long</v>
      </c>
    </row>
    <row r="777" ht="15.75" customHeight="1">
      <c r="A777" s="2">
        <v>2.0</v>
      </c>
      <c r="B777" s="2" t="s">
        <v>2155</v>
      </c>
      <c r="C777" s="2" t="s">
        <v>2156</v>
      </c>
      <c r="D777" s="2" t="s">
        <v>293</v>
      </c>
      <c r="E777" s="2" t="s">
        <v>45</v>
      </c>
      <c r="F777" s="2" t="s">
        <v>15</v>
      </c>
      <c r="G777" s="2" t="s">
        <v>348</v>
      </c>
      <c r="H777" s="2" t="s">
        <v>77</v>
      </c>
      <c r="I777" s="2" t="str">
        <f>IFERROR(__xludf.DUMMYFUNCTION("GOOGLETRANSLATE(C777,""fr"",""en"")"),"Too bad that in two years the remote transmission has never worked. Very complicated to return the security statements each time. Certain discrepancy between the information of the different pages of the site: Refund request processed today (and noted as "&amp;"reimbursed) but no visible refund in the my reimbursement tab while necessary for the sending to additional mutuals!")</f>
        <v>Too bad that in two years the remote transmission has never worked. Very complicated to return the security statements each time. Certain discrepancy between the information of the different pages of the site: Refund request processed today (and noted as reimbursed) but no visible refund in the my reimbursement tab while necessary for the sending to additional mutuals!</v>
      </c>
    </row>
    <row r="778" ht="15.75" customHeight="1">
      <c r="A778" s="2">
        <v>5.0</v>
      </c>
      <c r="B778" s="2" t="s">
        <v>2157</v>
      </c>
      <c r="C778" s="2" t="s">
        <v>2158</v>
      </c>
      <c r="D778" s="2" t="s">
        <v>39</v>
      </c>
      <c r="E778" s="2" t="s">
        <v>14</v>
      </c>
      <c r="F778" s="2" t="s">
        <v>15</v>
      </c>
      <c r="G778" s="2" t="s">
        <v>1928</v>
      </c>
      <c r="H778" s="2" t="s">
        <v>109</v>
      </c>
      <c r="I778" s="2" t="str">
        <f>IFERROR(__xludf.DUMMYFUNCTION("GOOGLETRANSLATE(C778,""fr"",""en"")"),"I am satisfied with the service ; Very warm welcome skill ease of update good coverage value for money. To recommend and best service")</f>
        <v>I am satisfied with the service ; Very warm welcome skill ease of update good coverage value for money. To recommend and best service</v>
      </c>
    </row>
    <row r="779" ht="15.75" customHeight="1">
      <c r="A779" s="2">
        <v>1.0</v>
      </c>
      <c r="B779" s="2" t="s">
        <v>2159</v>
      </c>
      <c r="C779" s="2" t="s">
        <v>2160</v>
      </c>
      <c r="D779" s="2" t="s">
        <v>123</v>
      </c>
      <c r="E779" s="2" t="s">
        <v>233</v>
      </c>
      <c r="F779" s="2" t="s">
        <v>15</v>
      </c>
      <c r="G779" s="2" t="s">
        <v>1027</v>
      </c>
      <c r="H779" s="2" t="s">
        <v>202</v>
      </c>
      <c r="I779" s="2" t="str">
        <f>IFERROR(__xludf.DUMMYFUNCTION("GOOGLETRANSLATE(C779,""fr"",""en"")"),"Hello I will explain the pretty sleight of hand as did the temporary pension plan I was arrested for operation from January 6 to February 29, 2020 a stop to the mission after having completed the file by contacting advisers my file was never complete Ther"&amp;"e is still a missing paper so untreated file I was again decree from March 18 to July 5, 2020 still following my operation, the on mission, so the file was much faster the daily allowances were paid to me regularly by Report to that of social security exc"&amp;"ept that on June 4 finally the file for January was processed for the calculation of daily allowances they gave me a nice sleight of hand they will pay that 17 days for the month of January and February because they calculated that the 17 days more those "&amp;"he pays me for the second judgment arrived on June 14 made 92 days so for the rest it was going back to committee they paid me from 4 J Uin on July 5 my daily allowances but what is happening is that the daily compensation of January and February should h"&amp;"ave been paid entirely Nissan so much time to be treated that it finds themselves riding on another kept living insurers I think I will see to find another insurance worthy of the name good day")</f>
        <v>Hello I will explain the pretty sleight of hand as did the temporary pension plan I was arrested for operation from January 6 to February 29, 2020 a stop to the mission after having completed the file by contacting advisers my file was never complete There is still a missing paper so untreated file I was again decree from March 18 to July 5, 2020 still following my operation, the on mission, so the file was much faster the daily allowances were paid to me regularly by Report to that of social security except that on June 4 finally the file for January was processed for the calculation of daily allowances they gave me a nice sleight of hand they will pay that 17 days for the month of January and February because they calculated that the 17 days more those he pays me for the second judgment arrived on June 14 made 92 days so for the rest it was going back to committee they paid me from 4 J Uin on July 5 my daily allowances but what is happening is that the daily compensation of January and February should have been paid entirely Nissan so much time to be treated that it finds themselves riding on another kept living insurers I think I will see to find another insurance worthy of the name good day</v>
      </c>
    </row>
    <row r="780" ht="15.75" customHeight="1">
      <c r="A780" s="2">
        <v>5.0</v>
      </c>
      <c r="B780" s="2" t="s">
        <v>2161</v>
      </c>
      <c r="C780" s="2" t="s">
        <v>2162</v>
      </c>
      <c r="D780" s="2" t="s">
        <v>39</v>
      </c>
      <c r="E780" s="2" t="s">
        <v>14</v>
      </c>
      <c r="F780" s="2" t="s">
        <v>15</v>
      </c>
      <c r="G780" s="2" t="s">
        <v>320</v>
      </c>
      <c r="H780" s="2" t="s">
        <v>27</v>
      </c>
      <c r="I780" s="2" t="str">
        <f>IFERROR(__xludf.DUMMYFUNCTION("GOOGLETRANSLATE(C780,""fr"",""en"")"),"I am satisfied with everything suits me,
 The management is top.
Ras
Papers ask are quick to get,
We can arrange for payments
The care of accidents people are listening
very good insure
")</f>
        <v>I am satisfied with everything suits me,
 The management is top.
Ras
Papers ask are quick to get,
We can arrange for payments
The care of accidents people are listening
very good insure
</v>
      </c>
    </row>
    <row r="781" ht="15.75" customHeight="1">
      <c r="A781" s="2">
        <v>3.0</v>
      </c>
      <c r="B781" s="2" t="s">
        <v>2163</v>
      </c>
      <c r="C781" s="2" t="s">
        <v>2164</v>
      </c>
      <c r="D781" s="2" t="s">
        <v>259</v>
      </c>
      <c r="E781" s="2" t="s">
        <v>14</v>
      </c>
      <c r="F781" s="2" t="s">
        <v>15</v>
      </c>
      <c r="G781" s="2" t="s">
        <v>2165</v>
      </c>
      <c r="H781" s="2" t="s">
        <v>543</v>
      </c>
      <c r="I781" s="2" t="str">
        <f>IFERROR(__xludf.DUMMYFUNCTION("GOOGLETRANSLATE(C781,""fr"",""en"")"),"I am dismayed from this company which stuck a disaster to me without even trying to ensure the veracite of this disaster. I realized it when they decided to terminate my contract.")</f>
        <v>I am dismayed from this company which stuck a disaster to me without even trying to ensure the veracite of this disaster. I realized it when they decided to terminate my contract.</v>
      </c>
    </row>
    <row r="782" ht="15.75" customHeight="1">
      <c r="A782" s="2">
        <v>1.0</v>
      </c>
      <c r="B782" s="2" t="s">
        <v>2166</v>
      </c>
      <c r="C782" s="2" t="s">
        <v>2167</v>
      </c>
      <c r="D782" s="2" t="s">
        <v>39</v>
      </c>
      <c r="E782" s="2" t="s">
        <v>14</v>
      </c>
      <c r="F782" s="2" t="s">
        <v>15</v>
      </c>
      <c r="G782" s="2" t="s">
        <v>2168</v>
      </c>
      <c r="H782" s="2" t="s">
        <v>1719</v>
      </c>
      <c r="I782" s="2" t="str">
        <f>IFERROR(__xludf.DUMMYFUNCTION("GOOGLETRANSLATE(C782,""fr"",""en"")"),"My vehicle has been immobilized since October 15, 2016 due to an accident for which I am not responsible. I have paid another expert to assert my rights today I start a legal proceedings so that they reimburse me the costs of car rentals that I paid.")</f>
        <v>My vehicle has been immobilized since October 15, 2016 due to an accident for which I am not responsible. I have paid another expert to assert my rights today I start a legal proceedings so that they reimburse me the costs of car rentals that I paid.</v>
      </c>
    </row>
    <row r="783" ht="15.75" customHeight="1">
      <c r="A783" s="2">
        <v>1.0</v>
      </c>
      <c r="B783" s="2" t="s">
        <v>2169</v>
      </c>
      <c r="C783" s="2" t="s">
        <v>2170</v>
      </c>
      <c r="D783" s="2" t="s">
        <v>361</v>
      </c>
      <c r="E783" s="2" t="s">
        <v>14</v>
      </c>
      <c r="F783" s="2" t="s">
        <v>15</v>
      </c>
      <c r="G783" s="2" t="s">
        <v>2171</v>
      </c>
      <c r="H783" s="2" t="s">
        <v>974</v>
      </c>
      <c r="I783" s="2" t="str">
        <f>IFERROR(__xludf.DUMMYFUNCTION("GOOGLETRANSLATE(C783,""fr"",""en"")"),"More than double the price compared to competition!
Customer service has no consideration of its customers and does not even try to make a commercial offer to retain them despite 10 years of seniority.
In short, I strongly advise against.")</f>
        <v>More than double the price compared to competition!
Customer service has no consideration of its customers and does not even try to make a commercial offer to retain them despite 10 years of seniority.
In short, I strongly advise against.</v>
      </c>
    </row>
    <row r="784" ht="15.75" customHeight="1">
      <c r="A784" s="2">
        <v>1.0</v>
      </c>
      <c r="B784" s="2" t="s">
        <v>2172</v>
      </c>
      <c r="C784" s="2" t="s">
        <v>2173</v>
      </c>
      <c r="D784" s="2" t="s">
        <v>13</v>
      </c>
      <c r="E784" s="2" t="s">
        <v>50</v>
      </c>
      <c r="F784" s="2" t="s">
        <v>15</v>
      </c>
      <c r="G784" s="2" t="s">
        <v>2174</v>
      </c>
      <c r="H784" s="2" t="s">
        <v>52</v>
      </c>
      <c r="I784" s="2" t="str">
        <f>IFERROR(__xludf.DUMMYFUNCTION("GOOGLETRANSLATE(C784,""fr"",""en"")"),"Catastrophic claims management. We must constantly claim for things to move forward. For 3 months I have always been with a window without windows (four broken windows) and the manager remains unreachable, with an answering machine saying that he is curre"&amp;"ntly online!) The last time I could speak to him was there At 17 days and he told me that the craftsman responsible for performing repairs would call me within 48 hours. For 15 days there is still no call.
Another time, to make me wait the manager replie"&amp;"d that he was waiting for the expert's report, while the expert had given his report and the ball for a long time in the expert and service camp Works.
They take you for fools and tell you anything on the phone.
I am waiting for the work to be completed"&amp;" to change insurer.
They do not give you any count of the amounts of compensation: just an SMS with the overall amount. I asked for the statement from the manager but I did not receive anything.
Reza Tahami
")</f>
        <v>Catastrophic claims management. We must constantly claim for things to move forward. For 3 months I have always been with a window without windows (four broken windows) and the manager remains unreachable, with an answering machine saying that he is currently online!) The last time I could speak to him was there At 17 days and he told me that the craftsman responsible for performing repairs would call me within 48 hours. For 15 days there is still no call.
Another time, to make me wait the manager replied that he was waiting for the expert's report, while the expert had given his report and the ball for a long time in the expert and service camp Works.
They take you for fools and tell you anything on the phone.
I am waiting for the work to be completed to change insurer.
They do not give you any count of the amounts of compensation: just an SMS with the overall amount. I asked for the statement from the manager but I did not receive anything.
Reza Tahami
</v>
      </c>
    </row>
    <row r="785" ht="15.75" customHeight="1">
      <c r="A785" s="2">
        <v>2.0</v>
      </c>
      <c r="B785" s="2" t="s">
        <v>2175</v>
      </c>
      <c r="C785" s="2" t="s">
        <v>2176</v>
      </c>
      <c r="D785" s="2" t="s">
        <v>39</v>
      </c>
      <c r="E785" s="2" t="s">
        <v>14</v>
      </c>
      <c r="F785" s="2" t="s">
        <v>15</v>
      </c>
      <c r="G785" s="2" t="s">
        <v>515</v>
      </c>
      <c r="H785" s="2" t="s">
        <v>109</v>
      </c>
      <c r="I785" s="2" t="str">
        <f>IFERROR(__xludf.DUMMYFUNCTION("GOOGLETRANSLATE(C785,""fr"",""en"")"),"Increase in unjustified prices. To be saying health crisis which you are not impacted, I find it disrespectful towards loyal customers. My satisfaction goes from this comment. Thank you")</f>
        <v>Increase in unjustified prices. To be saying health crisis which you are not impacted, I find it disrespectful towards loyal customers. My satisfaction goes from this comment. Thank you</v>
      </c>
    </row>
    <row r="786" ht="15.75" customHeight="1">
      <c r="A786" s="2">
        <v>5.0</v>
      </c>
      <c r="B786" s="2" t="s">
        <v>2177</v>
      </c>
      <c r="C786" s="2" t="s">
        <v>2178</v>
      </c>
      <c r="D786" s="2" t="s">
        <v>39</v>
      </c>
      <c r="E786" s="2" t="s">
        <v>14</v>
      </c>
      <c r="F786" s="2" t="s">
        <v>15</v>
      </c>
      <c r="G786" s="2" t="s">
        <v>2179</v>
      </c>
      <c r="H786" s="2" t="s">
        <v>17</v>
      </c>
      <c r="I786" s="2" t="str">
        <f>IFERROR(__xludf.DUMMYFUNCTION("GOOGLETRANSLATE(C786,""fr"",""en"")"),"Prices suit me.
I am satisfied with the access to response service everything is easy and an interlocutor can be reached if necessary to conclude a contract.")</f>
        <v>Prices suit me.
I am satisfied with the access to response service everything is easy and an interlocutor can be reached if necessary to conclude a contract.</v>
      </c>
    </row>
    <row r="787" ht="15.75" customHeight="1">
      <c r="A787" s="2">
        <v>1.0</v>
      </c>
      <c r="B787" s="2" t="s">
        <v>2180</v>
      </c>
      <c r="C787" s="2" t="s">
        <v>2181</v>
      </c>
      <c r="D787" s="2" t="s">
        <v>39</v>
      </c>
      <c r="E787" s="2" t="s">
        <v>14</v>
      </c>
      <c r="F787" s="2" t="s">
        <v>15</v>
      </c>
      <c r="G787" s="2" t="s">
        <v>173</v>
      </c>
      <c r="H787" s="2" t="s">
        <v>198</v>
      </c>
      <c r="I787" s="2" t="str">
        <f>IFERROR(__xludf.DUMMYFUNCTION("GOOGLETRANSLATE(C787,""fr"",""en"")"),"Do not make sure it increases the price of year by year, even with an increase in bonuses and without disaster, at the best price then you pay full pot, moreover I see elsewhere")</f>
        <v>Do not make sure it increases the price of year by year, even with an increase in bonuses and without disaster, at the best price then you pay full pot, moreover I see elsewhere</v>
      </c>
    </row>
    <row r="788" ht="15.75" customHeight="1">
      <c r="A788" s="2">
        <v>3.0</v>
      </c>
      <c r="B788" s="2" t="s">
        <v>2182</v>
      </c>
      <c r="C788" s="2" t="s">
        <v>2183</v>
      </c>
      <c r="D788" s="2" t="s">
        <v>30</v>
      </c>
      <c r="E788" s="2" t="s">
        <v>31</v>
      </c>
      <c r="F788" s="2" t="s">
        <v>15</v>
      </c>
      <c r="G788" s="2" t="s">
        <v>590</v>
      </c>
      <c r="H788" s="2" t="s">
        <v>77</v>
      </c>
      <c r="I788" s="2" t="str">
        <f>IFERROR(__xludf.DUMMYFUNCTION("GOOGLETRANSLATE(C788,""fr"",""en"")"),"I am waiting to see...
Hoping that it is good insurance that respects its commitments
The prices are very interesting for the services offered")</f>
        <v>I am waiting to see...
Hoping that it is good insurance that respects its commitments
The prices are very interesting for the services offered</v>
      </c>
    </row>
    <row r="789" ht="15.75" customHeight="1">
      <c r="A789" s="2">
        <v>5.0</v>
      </c>
      <c r="B789" s="2" t="s">
        <v>2184</v>
      </c>
      <c r="C789" s="2" t="s">
        <v>2185</v>
      </c>
      <c r="D789" s="2" t="s">
        <v>25</v>
      </c>
      <c r="E789" s="2" t="s">
        <v>14</v>
      </c>
      <c r="F789" s="2" t="s">
        <v>15</v>
      </c>
      <c r="G789" s="2" t="s">
        <v>559</v>
      </c>
      <c r="H789" s="2" t="s">
        <v>17</v>
      </c>
      <c r="I789" s="2" t="str">
        <f>IFERROR(__xludf.DUMMYFUNCTION("GOOGLETRANSLATE(C789,""fr"",""en"")"),"I am very satisfied with all the conditions of the Insurance Olivier.
I will not fail to offer your insurance to all those who will need it.")</f>
        <v>I am very satisfied with all the conditions of the Insurance Olivier.
I will not fail to offer your insurance to all those who will need it.</v>
      </c>
    </row>
    <row r="790" ht="15.75" customHeight="1">
      <c r="A790" s="2">
        <v>2.0</v>
      </c>
      <c r="B790" s="2" t="s">
        <v>2186</v>
      </c>
      <c r="C790" s="2" t="s">
        <v>2187</v>
      </c>
      <c r="D790" s="2" t="s">
        <v>1905</v>
      </c>
      <c r="E790" s="2" t="s">
        <v>429</v>
      </c>
      <c r="F790" s="2" t="s">
        <v>15</v>
      </c>
      <c r="G790" s="2" t="s">
        <v>2188</v>
      </c>
      <c r="H790" s="2" t="s">
        <v>69</v>
      </c>
      <c r="I790" s="2" t="str">
        <f>IFERROR(__xludf.DUMMYFUNCTION("GOOGLETRANSLATE(C790,""fr"",""en"")"),"I have been provided for my real estate loan at Metlife for several years. The offer and pricing are competitive, but customer service does not exist, or if it exists, it ignores the requests of the subscribers. I seek to join Metlife to revise my insuran"&amp;"ce contract following the renegotiation of my loan (which leads to a modification of the calculation of the insurance premium), and I had no responsibility for my emails since more of 6 months that I relaunch them)")</f>
        <v>I have been provided for my real estate loan at Metlife for several years. The offer and pricing are competitive, but customer service does not exist, or if it exists, it ignores the requests of the subscribers. I seek to join Metlife to revise my insurance contract following the renegotiation of my loan (which leads to a modification of the calculation of the insurance premium), and I had no responsibility for my emails since more of 6 months that I relaunch them)</v>
      </c>
    </row>
    <row r="791" ht="15.75" customHeight="1">
      <c r="A791" s="2">
        <v>1.0</v>
      </c>
      <c r="B791" s="2" t="s">
        <v>2189</v>
      </c>
      <c r="C791" s="2" t="s">
        <v>2190</v>
      </c>
      <c r="D791" s="2" t="s">
        <v>219</v>
      </c>
      <c r="E791" s="2" t="s">
        <v>14</v>
      </c>
      <c r="F791" s="2" t="s">
        <v>15</v>
      </c>
      <c r="G791" s="2" t="s">
        <v>2191</v>
      </c>
      <c r="H791" s="2" t="s">
        <v>325</v>
      </c>
      <c r="I791" s="2" t="str">
        <f>IFERROR(__xludf.DUMMYFUNCTION("GOOGLETRANSLATE(C791,""fr"",""en"")"),"Hello,
I subscribed to a car contract at AXA on April 14 under the number: 0000007599607304. I had paid 3 months of contributions from April to June and I sent the supporting documents in order to have my final green card except that I never received it "&amp;"and apparently it was because they had not received the supporting documents (not my fault). Then after non -receipt of my final green card the contract was terminated for me and I had no longer paid the contributions until November/December where I was r"&amp;"elaunched to do so (in the meantime I was at the 'foreigner therefore I did not receive any letter and I was only reachable by email but I received no recovery by email), in December I called AXA in order to pay my contributions to put the contract in pro"&amp;"gress and not Board in January as confirmed to me the advisor by phone (and you can listen to the call recorded on 12/20/12 where the advisor led me to make me pay and terminate the contract in January), I sent the documents Supporting documents thereafte"&amp;"r to receive my green card as soon as possible (green card that I have been waiting for since last April: inadmissible) and I received confirmation by e-mail as follows:
"" Hello,
We thank you for your shipment.
Your contract will soon be submitted and"&amp;" you will receive your Definitive Green Card.
For any additional information we remain at your disposal on 09 70 80 90 70 Monday to Friday from 8:30 a.m. to 8:00 p.m. and Saturday from 9:00 a.m. to 4:00 p.m.
We thank you for your confidence
Cordially,
"&amp;"
Your AXA advisor ""
Conclusion: I have not received anything since and my auto contract has been terminated without my knowledge (no email/call or other) even if I paid my contributions and send the supporting documents before the Butoire date which was"&amp;" the month of January (the advisor confimped it to me by phone on the day of payment) and when I got it on the phone today on 01/18 she confirmed me simply and coldly that the contract was terminated and that I will never receive my green card if only for"&amp;" the paid months !!!!!!!!!
Thank you for explaining this lack of professionalism and this bad faith to me because I find it inadmissible especially coming from a bank-axa bank !!!!!!!!!!!!!")</f>
        <v>Hello,
I subscribed to a car contract at AXA on April 14 under the number: 0000007599607304. I had paid 3 months of contributions from April to June and I sent the supporting documents in order to have my final green card except that I never received it and apparently it was because they had not received the supporting documents (not my fault). Then after non -receipt of my final green card the contract was terminated for me and I had no longer paid the contributions until November/December where I was relaunched to do so (in the meantime I was at the 'foreigner therefore I did not receive any letter and I was only reachable by email but I received no recovery by email), in December I called AXA in order to pay my contributions to put the contract in progress and not Board in January as confirmed to me the advisor by phone (and you can listen to the call recorded on 12/20/12 where the advisor led me to make me pay and terminate the contract in January), I sent the documents Supporting documents thereafter to receive my green card as soon as possible (green card that I have been waiting for since last April: inadmissible) and I received confirmation by e-mail as follows:
" Hello,
We thank you for your shipment.
Your contract will soon be submitted and you will receive your Definitive Green Card.
For any additional information we remain at your disposal on 09 70 80 90 70 Monday to Friday from 8:30 a.m. to 8:00 p.m. and Saturday from 9:00 a.m. to 4:00 p.m.
We thank you for your confidence
Cordially,
Your AXA advisor "
Conclusion: I have not received anything since and my auto contract has been terminated without my knowledge (no email/call or other) even if I paid my contributions and send the supporting documents before the Butoire date which was the month of January (the advisor confimped it to me by phone on the day of payment) and when I got it on the phone today on 01/18 she confirmed me simply and coldly that the contract was terminated and that I will never receive my green card if only for the paid months !!!!!!!!!
Thank you for explaining this lack of professionalism and this bad faith to me because I find it inadmissible especially coming from a bank-axa bank !!!!!!!!!!!!!</v>
      </c>
    </row>
    <row r="792" ht="15.75" customHeight="1">
      <c r="A792" s="2">
        <v>5.0</v>
      </c>
      <c r="B792" s="2" t="s">
        <v>2192</v>
      </c>
      <c r="C792" s="2" t="s">
        <v>2193</v>
      </c>
      <c r="D792" s="2" t="s">
        <v>25</v>
      </c>
      <c r="E792" s="2" t="s">
        <v>14</v>
      </c>
      <c r="F792" s="2" t="s">
        <v>15</v>
      </c>
      <c r="G792" s="2" t="s">
        <v>173</v>
      </c>
      <c r="H792" s="2" t="s">
        <v>64</v>
      </c>
      <c r="I792" s="2" t="str">
        <f>IFERROR(__xludf.DUMMYFUNCTION("GOOGLETRANSLATE(C792,""fr"",""en"")"),"Professional, and fast service. Commercial managers on the phone are welcoming and professional. Establishment and easy and quick change too.
Thank you the Olivier Assurance")</f>
        <v>Professional, and fast service. Commercial managers on the phone are welcoming and professional. Establishment and easy and quick change too.
Thank you the Olivier Assurance</v>
      </c>
    </row>
    <row r="793" ht="15.75" customHeight="1">
      <c r="A793" s="2">
        <v>4.0</v>
      </c>
      <c r="B793" s="2" t="s">
        <v>2194</v>
      </c>
      <c r="C793" s="2" t="s">
        <v>2195</v>
      </c>
      <c r="D793" s="2" t="s">
        <v>107</v>
      </c>
      <c r="E793" s="2" t="s">
        <v>45</v>
      </c>
      <c r="F793" s="2" t="s">
        <v>15</v>
      </c>
      <c r="G793" s="2" t="s">
        <v>417</v>
      </c>
      <c r="H793" s="2" t="s">
        <v>113</v>
      </c>
      <c r="I793" s="2" t="str">
        <f>IFERROR(__xludf.DUMMYFUNCTION("GOOGLETRANSLATE(C793,""fr"",""en"")"),"hello.
Emilie de l 'Insurance Néoliane Santé has met my expectations to unravel a problem of remote transmission. Erteror made by the Adour insurance broker who has been unreachable for 3 weeks despite mutes reminders, so I do not recommend brokerage
Ad"&amp;"our's insurance which is not very serious on monitoring their customers.
Thank you Emilie.")</f>
        <v>hello.
Emilie de l 'Insurance Néoliane Santé has met my expectations to unravel a problem of remote transmission. Erteror made by the Adour insurance broker who has been unreachable for 3 weeks despite mutes reminders, so I do not recommend brokerage
Adour's insurance which is not very serious on monitoring their customers.
Thank you Emilie.</v>
      </c>
    </row>
    <row r="794" ht="15.75" customHeight="1">
      <c r="A794" s="2">
        <v>1.0</v>
      </c>
      <c r="B794" s="2" t="s">
        <v>2196</v>
      </c>
      <c r="C794" s="2" t="s">
        <v>2197</v>
      </c>
      <c r="D794" s="2" t="s">
        <v>731</v>
      </c>
      <c r="E794" s="2" t="s">
        <v>233</v>
      </c>
      <c r="F794" s="2" t="s">
        <v>15</v>
      </c>
      <c r="G794" s="2" t="s">
        <v>294</v>
      </c>
      <c r="H794" s="2" t="s">
        <v>295</v>
      </c>
      <c r="I794" s="2" t="str">
        <f>IFERROR(__xludf.DUMMYFUNCTION("GOOGLETRANSLATE(C794,""fr"",""en"")"),"A shame this insurance. They are only good to take our money without the slightest scruples. Insurance to flee absolutely where not to subscribe. Flee my friends.")</f>
        <v>A shame this insurance. They are only good to take our money without the slightest scruples. Insurance to flee absolutely where not to subscribe. Flee my friends.</v>
      </c>
    </row>
    <row r="795" ht="15.75" customHeight="1">
      <c r="A795" s="2">
        <v>5.0</v>
      </c>
      <c r="B795" s="2" t="s">
        <v>2198</v>
      </c>
      <c r="C795" s="2" t="s">
        <v>2199</v>
      </c>
      <c r="D795" s="2" t="s">
        <v>25</v>
      </c>
      <c r="E795" s="2" t="s">
        <v>14</v>
      </c>
      <c r="F795" s="2" t="s">
        <v>15</v>
      </c>
      <c r="G795" s="2" t="s">
        <v>853</v>
      </c>
      <c r="H795" s="2" t="s">
        <v>77</v>
      </c>
      <c r="I795" s="2" t="str">
        <f>IFERROR(__xludf.DUMMYFUNCTION("GOOGLETRANSLATE(C795,""fr"",""en"")"),"Cheap insurance and fast management while as a young driver it is difficult to find cheap insurance, I am relieved and reassured.")</f>
        <v>Cheap insurance and fast management while as a young driver it is difficult to find cheap insurance, I am relieved and reassured.</v>
      </c>
    </row>
    <row r="796" ht="15.75" customHeight="1">
      <c r="A796" s="2">
        <v>4.0</v>
      </c>
      <c r="B796" s="2" t="s">
        <v>2200</v>
      </c>
      <c r="C796" s="2" t="s">
        <v>2201</v>
      </c>
      <c r="D796" s="2" t="s">
        <v>30</v>
      </c>
      <c r="E796" s="2" t="s">
        <v>31</v>
      </c>
      <c r="F796" s="2" t="s">
        <v>15</v>
      </c>
      <c r="G796" s="2" t="s">
        <v>2202</v>
      </c>
      <c r="H796" s="2" t="s">
        <v>113</v>
      </c>
      <c r="I796" s="2" t="str">
        <f>IFERROR(__xludf.DUMMYFUNCTION("GOOGLETRANSLATE(C796,""fr"",""en"")"),"Quick, simple and efficient subscription even if the promo code linked to ""Direct July 2021"" operation on the April site did not work, it's a shame.")</f>
        <v>Quick, simple and efficient subscription even if the promo code linked to "Direct July 2021" operation on the April site did not work, it's a shame.</v>
      </c>
    </row>
    <row r="797" ht="15.75" customHeight="1">
      <c r="A797" s="2">
        <v>2.0</v>
      </c>
      <c r="B797" s="2" t="s">
        <v>2203</v>
      </c>
      <c r="C797" s="2" t="s">
        <v>2204</v>
      </c>
      <c r="D797" s="2" t="s">
        <v>87</v>
      </c>
      <c r="E797" s="2" t="s">
        <v>14</v>
      </c>
      <c r="F797" s="2" t="s">
        <v>15</v>
      </c>
      <c r="G797" s="2" t="s">
        <v>865</v>
      </c>
      <c r="H797" s="2" t="s">
        <v>290</v>
      </c>
      <c r="I797" s="2" t="str">
        <f>IFERROR(__xludf.DUMMYFUNCTION("GOOGLETRANSLATE(C797,""fr"",""en"")"),"Impossible to connect to the site for months despite my multiple requests by emails and telephone. I arrive at maturity and they ask me to pay the current year, but without connection it will be difficult to regularize. How to do??")</f>
        <v>Impossible to connect to the site for months despite my multiple requests by emails and telephone. I arrive at maturity and they ask me to pay the current year, but without connection it will be difficult to regularize. How to do??</v>
      </c>
    </row>
    <row r="798" ht="15.75" customHeight="1">
      <c r="A798" s="2">
        <v>4.0</v>
      </c>
      <c r="B798" s="2" t="s">
        <v>2205</v>
      </c>
      <c r="C798" s="2" t="s">
        <v>2206</v>
      </c>
      <c r="D798" s="2" t="s">
        <v>67</v>
      </c>
      <c r="E798" s="2" t="s">
        <v>14</v>
      </c>
      <c r="F798" s="2" t="s">
        <v>15</v>
      </c>
      <c r="G798" s="2" t="s">
        <v>559</v>
      </c>
      <c r="H798" s="2" t="s">
        <v>17</v>
      </c>
      <c r="I798" s="2" t="str">
        <f>IFERROR(__xludf.DUMMYFUNCTION("GOOGLETRANSLATE(C798,""fr"",""en"")"),"The prices are correct and good support in the event of a claim. The big downside is the very elevated additional cost for young drivers including on the parents' contract.
")</f>
        <v>The prices are correct and good support in the event of a claim. The big downside is the very elevated additional cost for young drivers including on the parents' contract.
</v>
      </c>
    </row>
    <row r="799" ht="15.75" customHeight="1">
      <c r="A799" s="2">
        <v>2.0</v>
      </c>
      <c r="B799" s="2" t="s">
        <v>2207</v>
      </c>
      <c r="C799" s="2" t="s">
        <v>2208</v>
      </c>
      <c r="D799" s="2" t="s">
        <v>39</v>
      </c>
      <c r="E799" s="2" t="s">
        <v>14</v>
      </c>
      <c r="F799" s="2" t="s">
        <v>15</v>
      </c>
      <c r="G799" s="2" t="s">
        <v>2209</v>
      </c>
      <c r="H799" s="2" t="s">
        <v>52</v>
      </c>
      <c r="I799" s="2" t="str">
        <f>IFERROR(__xludf.DUMMYFUNCTION("GOOGLETRANSLATE(C799,""fr"",""en"")"),"hello, 
Insured until then for a vehicle, I will hope to be able to ensure another. Desillusion ... A non -responsible accident with this said vehicle, 50% bonus for 20 years .... ""We cannot assure you"". No discussion possible. No comment
")</f>
        <v>hello, 
Insured until then for a vehicle, I will hope to be able to ensure another. Desillusion ... A non -responsible accident with this said vehicle, 50% bonus for 20 years .... "We cannot assure you". No discussion possible. No comment
</v>
      </c>
    </row>
    <row r="800" ht="15.75" customHeight="1">
      <c r="A800" s="2">
        <v>5.0</v>
      </c>
      <c r="B800" s="2" t="s">
        <v>2210</v>
      </c>
      <c r="C800" s="2" t="s">
        <v>2211</v>
      </c>
      <c r="D800" s="2" t="s">
        <v>39</v>
      </c>
      <c r="E800" s="2" t="s">
        <v>14</v>
      </c>
      <c r="F800" s="2" t="s">
        <v>15</v>
      </c>
      <c r="G800" s="2" t="s">
        <v>485</v>
      </c>
      <c r="H800" s="2" t="s">
        <v>17</v>
      </c>
      <c r="I800" s="2" t="str">
        <f>IFERROR(__xludf.DUMMYFUNCTION("GOOGLETRANSLATE(C800,""fr"",""en"")"),"The prices suit me I am happy to come back to your home.
Thank you I am satisfied once again the prices applied and offered to individual customers.")</f>
        <v>The prices suit me I am happy to come back to your home.
Thank you I am satisfied once again the prices applied and offered to individual customers.</v>
      </c>
    </row>
    <row r="801" ht="15.75" customHeight="1">
      <c r="A801" s="2">
        <v>4.0</v>
      </c>
      <c r="B801" s="2" t="s">
        <v>2212</v>
      </c>
      <c r="C801" s="2" t="s">
        <v>2213</v>
      </c>
      <c r="D801" s="2" t="s">
        <v>137</v>
      </c>
      <c r="E801" s="2" t="s">
        <v>45</v>
      </c>
      <c r="F801" s="2" t="s">
        <v>15</v>
      </c>
      <c r="G801" s="2" t="s">
        <v>937</v>
      </c>
      <c r="H801" s="2" t="s">
        <v>120</v>
      </c>
      <c r="I801" s="2" t="str">
        <f>IFERROR(__xludf.DUMMYFUNCTION("GOOGLETRANSLATE(C801,""fr"",""en"")"),"Satisfied with the price and speed of the attractive services agreements on the question for pharmacy, hospitalization, for teeth and glasses.")</f>
        <v>Satisfied with the price and speed of the attractive services agreements on the question for pharmacy, hospitalization, for teeth and glasses.</v>
      </c>
    </row>
    <row r="802" ht="15.75" customHeight="1">
      <c r="A802" s="2">
        <v>3.0</v>
      </c>
      <c r="B802" s="2" t="s">
        <v>2214</v>
      </c>
      <c r="C802" s="2" t="s">
        <v>2215</v>
      </c>
      <c r="D802" s="2" t="s">
        <v>39</v>
      </c>
      <c r="E802" s="2" t="s">
        <v>14</v>
      </c>
      <c r="F802" s="2" t="s">
        <v>15</v>
      </c>
      <c r="G802" s="2" t="s">
        <v>609</v>
      </c>
      <c r="H802" s="2" t="s">
        <v>73</v>
      </c>
      <c r="I802" s="2" t="str">
        <f>IFERROR(__xludf.DUMMYFUNCTION("GOOGLETRANSLATE(C802,""fr"",""en"")"),"Very good clear and efficient site
On the other hand, I thought that the prices would be a little more interesting even if they are quite well placed
I make some other quote
")</f>
        <v>Very good clear and efficient site
On the other hand, I thought that the prices would be a little more interesting even if they are quite well placed
I make some other quote
</v>
      </c>
    </row>
    <row r="803" ht="15.75" customHeight="1">
      <c r="A803" s="2">
        <v>3.0</v>
      </c>
      <c r="B803" s="2" t="s">
        <v>2216</v>
      </c>
      <c r="C803" s="2" t="s">
        <v>2217</v>
      </c>
      <c r="D803" s="2" t="s">
        <v>977</v>
      </c>
      <c r="E803" s="2" t="s">
        <v>233</v>
      </c>
      <c r="F803" s="2" t="s">
        <v>15</v>
      </c>
      <c r="G803" s="2" t="s">
        <v>2218</v>
      </c>
      <c r="H803" s="2" t="s">
        <v>216</v>
      </c>
      <c r="I803" s="2" t="str">
        <f>IFERROR(__xludf.DUMMYFUNCTION("GOOGLETRANSLATE(C803,""fr"",""en"")"),"It is madness and inhuman. I have been in invalidity for more than a year and intermers have not paid me since. I had a medical expertise 2 months ago and still nothing. No interlocurer pro it's just horrible to make you even more sick ....")</f>
        <v>It is madness and inhuman. I have been in invalidity for more than a year and intermers have not paid me since. I had a medical expertise 2 months ago and still nothing. No interlocurer pro it's just horrible to make you even more sick ....</v>
      </c>
    </row>
    <row r="804" ht="15.75" customHeight="1">
      <c r="A804" s="2">
        <v>4.0</v>
      </c>
      <c r="B804" s="2" t="s">
        <v>2219</v>
      </c>
      <c r="C804" s="2" t="s">
        <v>2220</v>
      </c>
      <c r="D804" s="2" t="s">
        <v>30</v>
      </c>
      <c r="E804" s="2" t="s">
        <v>31</v>
      </c>
      <c r="F804" s="2" t="s">
        <v>15</v>
      </c>
      <c r="G804" s="2" t="s">
        <v>1698</v>
      </c>
      <c r="H804" s="2" t="s">
        <v>84</v>
      </c>
      <c r="I804" s="2" t="str">
        <f>IFERROR(__xludf.DUMMYFUNCTION("GOOGLETRANSLATE(C804,""fr"",""en"")"),"I am satisfied with the service offered
Online subscription is very simple and it is very fast
The prices offered are very competitive I went through the ferrets.com")</f>
        <v>I am satisfied with the service offered
Online subscription is very simple and it is very fast
The prices offered are very competitive I went through the ferrets.com</v>
      </c>
    </row>
    <row r="805" ht="15.75" customHeight="1">
      <c r="A805" s="2">
        <v>3.0</v>
      </c>
      <c r="B805" s="2" t="s">
        <v>2221</v>
      </c>
      <c r="C805" s="2" t="s">
        <v>2222</v>
      </c>
      <c r="D805" s="2" t="s">
        <v>162</v>
      </c>
      <c r="E805" s="2" t="s">
        <v>45</v>
      </c>
      <c r="F805" s="2" t="s">
        <v>15</v>
      </c>
      <c r="G805" s="2" t="s">
        <v>2223</v>
      </c>
      <c r="H805" s="2" t="s">
        <v>594</v>
      </c>
      <c r="I805" s="2" t="str">
        <f>IFERROR(__xludf.DUMMYFUNCTION("GOOGLETRANSLATE(C805,""fr"",""en"")"),"I decide to leave a message (which I never do) but there my patience has limits, it has been more than 6 months since I send emails (the last 2 of January 12 and 2020 among others) but no answer concerning Refunds not made, there is certainly a reason, bu"&amp;"t give it to me. We don't leave anyone without explanation. During my commitment at the end of 2018, everything was perfect, good welcome, good listening ...... very caring. They have become deaf and dumb !!!!! Or they have lost their so-called skill.
Co"&amp;"rdially")</f>
        <v>I decide to leave a message (which I never do) but there my patience has limits, it has been more than 6 months since I send emails (the last 2 of January 12 and 2020 among others) but no answer concerning Refunds not made, there is certainly a reason, but give it to me. We don't leave anyone without explanation. During my commitment at the end of 2018, everything was perfect, good welcome, good listening ...... very caring. They have become deaf and dumb !!!!! Or they have lost their so-called skill.
Cordially</v>
      </c>
    </row>
    <row r="806" ht="15.75" customHeight="1">
      <c r="A806" s="2">
        <v>1.0</v>
      </c>
      <c r="B806" s="2" t="s">
        <v>2224</v>
      </c>
      <c r="C806" s="2" t="s">
        <v>2225</v>
      </c>
      <c r="D806" s="2" t="s">
        <v>361</v>
      </c>
      <c r="E806" s="2" t="s">
        <v>50</v>
      </c>
      <c r="F806" s="2" t="s">
        <v>15</v>
      </c>
      <c r="G806" s="2" t="s">
        <v>1405</v>
      </c>
      <c r="H806" s="2" t="s">
        <v>52</v>
      </c>
      <c r="I806" s="2" t="str">
        <f>IFERROR(__xludf.DUMMYFUNCTION("GOOGLETRANSLATE(C806,""fr"",""en"")"),"A shame, this so -called militant insurance close to its insured, it is much worse than the others and with prices applied far from being competitive. Beyond his observation, I am a client and I have paid my premiums every month for 25 years. The day I ha"&amp;"ve a disaster in my good and that this disaster is covered by the warranty, I don't have to fight to obtain compensation, and yet .....
In 25 years it is the 2nd time that a declaration of a claim to be made (water damage) and it is a real nightmare: agg"&amp;"ressive, disrespectful manager, do not know the file, the mandated expert (who is paid by the insurer) n that only one objective which is to do everything so as not to compensate you, voluntarily omit in its report everything that would justify compensati"&amp;"on, in short shameful, scandalous !!!!
Psychologically it is very difficult because this situation has been going on for months but I do not give up it would be too easy. Fortunately, today there are collective associations that allow you to be more ""st"&amp;"rong"": my file is now in their hands.
In conclusion: do not be intimidated, you have rights and they have obligations which are those to compensate you in accordance with the contract which has been signed")</f>
        <v>A shame, this so -called militant insurance close to its insured, it is much worse than the others and with prices applied far from being competitive. Beyond his observation, I am a client and I have paid my premiums every month for 25 years. The day I have a disaster in my good and that this disaster is covered by the warranty, I don't have to fight to obtain compensation, and yet .....
In 25 years it is the 2nd time that a declaration of a claim to be made (water damage) and it is a real nightmare: aggressive, disrespectful manager, do not know the file, the mandated expert (who is paid by the insurer) n that only one objective which is to do everything so as not to compensate you, voluntarily omit in its report everything that would justify compensation, in short shameful, scandalous !!!!
Psychologically it is very difficult because this situation has been going on for months but I do not give up it would be too easy. Fortunately, today there are collective associations that allow you to be more "strong": my file is now in their hands.
In conclusion: do not be intimidated, you have rights and they have obligations which are those to compensate you in accordance with the contract which has been signed</v>
      </c>
    </row>
    <row r="807" ht="15.75" customHeight="1">
      <c r="A807" s="2">
        <v>5.0</v>
      </c>
      <c r="B807" s="2" t="s">
        <v>2226</v>
      </c>
      <c r="C807" s="2" t="s">
        <v>2227</v>
      </c>
      <c r="D807" s="2" t="s">
        <v>25</v>
      </c>
      <c r="E807" s="2" t="s">
        <v>14</v>
      </c>
      <c r="F807" s="2" t="s">
        <v>15</v>
      </c>
      <c r="G807" s="2" t="s">
        <v>1548</v>
      </c>
      <c r="H807" s="2" t="s">
        <v>17</v>
      </c>
      <c r="I807" s="2" t="str">
        <f>IFERROR(__xludf.DUMMYFUNCTION("GOOGLETRANSLATE(C807,""fr"",""en"")"),"I am satisfied with the service.
Thank you for taking note of my phone number 0615505583.
The other number being that of my husband.
Corfedial")</f>
        <v>I am satisfied with the service.
Thank you for taking note of my phone number 0615505583.
The other number being that of my husband.
Corfedial</v>
      </c>
    </row>
    <row r="808" ht="15.75" customHeight="1">
      <c r="A808" s="2">
        <v>1.0</v>
      </c>
      <c r="B808" s="2" t="s">
        <v>2228</v>
      </c>
      <c r="C808" s="2" t="s">
        <v>2229</v>
      </c>
      <c r="D808" s="2" t="s">
        <v>361</v>
      </c>
      <c r="E808" s="2" t="s">
        <v>50</v>
      </c>
      <c r="F808" s="2" t="s">
        <v>15</v>
      </c>
      <c r="G808" s="2" t="s">
        <v>2230</v>
      </c>
      <c r="H808" s="2" t="s">
        <v>253</v>
      </c>
      <c r="I808" s="2" t="str">
        <f>IFERROR(__xludf.DUMMYFUNCTION("GOOGLETRANSLATE(C808,""fr"",""en"")"),"This insurance is a shame, they don't care about everything.
It's up to you to manage for the procedures.
They are pitiful!")</f>
        <v>This insurance is a shame, they don't care about everything.
It's up to you to manage for the procedures.
They are pitiful!</v>
      </c>
    </row>
    <row r="809" ht="15.75" customHeight="1">
      <c r="A809" s="2">
        <v>3.0</v>
      </c>
      <c r="B809" s="2" t="s">
        <v>2231</v>
      </c>
      <c r="C809" s="2" t="s">
        <v>2232</v>
      </c>
      <c r="D809" s="2" t="s">
        <v>25</v>
      </c>
      <c r="E809" s="2" t="s">
        <v>14</v>
      </c>
      <c r="F809" s="2" t="s">
        <v>15</v>
      </c>
      <c r="G809" s="2" t="s">
        <v>520</v>
      </c>
      <c r="H809" s="2" t="s">
        <v>113</v>
      </c>
      <c r="I809" s="2" t="str">
        <f>IFERROR(__xludf.DUMMYFUNCTION("GOOGLETRANSLATE(C809,""fr"",""en"")"),"Very attractive price but reimbursement 0 € for my part and the vehicle is ""wreck"". The fire extinguisher everywhere to erase the fingerprints and DNA, and level reimbursement insurance nothing .... insured to third party without vandalism, the aasure t"&amp;"ells me that it is vandalism when we still tried to stole me vehicle and we stole the whole front of the car before even to vandalize the car ... Insurance to avoid ...
")</f>
        <v>Very attractive price but reimbursement 0 € for my part and the vehicle is "wreck". The fire extinguisher everywhere to erase the fingerprints and DNA, and level reimbursement insurance nothing .... insured to third party without vandalism, the aasure tells me that it is vandalism when we still tried to stole me vehicle and we stole the whole front of the car before even to vandalize the car ... Insurance to avoid ...
</v>
      </c>
    </row>
    <row r="810" ht="15.75" customHeight="1">
      <c r="A810" s="2">
        <v>3.0</v>
      </c>
      <c r="B810" s="2" t="s">
        <v>2233</v>
      </c>
      <c r="C810" s="2" t="s">
        <v>2234</v>
      </c>
      <c r="D810" s="2" t="s">
        <v>25</v>
      </c>
      <c r="E810" s="2" t="s">
        <v>14</v>
      </c>
      <c r="F810" s="2" t="s">
        <v>15</v>
      </c>
      <c r="G810" s="2" t="s">
        <v>1529</v>
      </c>
      <c r="H810" s="2" t="s">
        <v>109</v>
      </c>
      <c r="I810" s="2" t="str">
        <f>IFERROR(__xludf.DUMMYFUNCTION("GOOGLETRANSLATE(C810,""fr"",""en"")"),"For the moment the prices correspond to my budget. The advisor was available and attentive.
I must have a step back to add more judgment.
")</f>
        <v>For the moment the prices correspond to my budget. The advisor was available and attentive.
I must have a step back to add more judgment.
</v>
      </c>
    </row>
    <row r="811" ht="15.75" customHeight="1">
      <c r="A811" s="2">
        <v>5.0</v>
      </c>
      <c r="B811" s="2" t="s">
        <v>2235</v>
      </c>
      <c r="C811" s="2" t="s">
        <v>2236</v>
      </c>
      <c r="D811" s="2" t="s">
        <v>241</v>
      </c>
      <c r="E811" s="2" t="s">
        <v>45</v>
      </c>
      <c r="F811" s="2" t="s">
        <v>15</v>
      </c>
      <c r="G811" s="2" t="s">
        <v>2237</v>
      </c>
      <c r="H811" s="2" t="s">
        <v>202</v>
      </c>
      <c r="I811" s="2" t="str">
        <f>IFERROR(__xludf.DUMMYFUNCTION("GOOGLETRANSLATE(C811,""fr"",""en"")"),"Newly registered, I have no negative opinion, for the moment only positive, very responsive, very pleasant and professional in tel.")</f>
        <v>Newly registered, I have no negative opinion, for the moment only positive, very responsive, very pleasant and professional in tel.</v>
      </c>
    </row>
    <row r="812" ht="15.75" customHeight="1">
      <c r="A812" s="2">
        <v>4.0</v>
      </c>
      <c r="B812" s="2" t="s">
        <v>2238</v>
      </c>
      <c r="C812" s="2" t="s">
        <v>2239</v>
      </c>
      <c r="D812" s="2" t="s">
        <v>39</v>
      </c>
      <c r="E812" s="2" t="s">
        <v>14</v>
      </c>
      <c r="F812" s="2" t="s">
        <v>15</v>
      </c>
      <c r="G812" s="2" t="s">
        <v>17</v>
      </c>
      <c r="H812" s="2" t="s">
        <v>17</v>
      </c>
      <c r="I812" s="2" t="str">
        <f>IFERROR(__xludf.DUMMYFUNCTION("GOOGLETRANSLATE(C812,""fr"",""en"")"),"Very satisfied,
Affordable prices
Very effective customer relationship listening to the customer.
For my vacation it was a pleasure to choose direct insurance")</f>
        <v>Very satisfied,
Affordable prices
Very effective customer relationship listening to the customer.
For my vacation it was a pleasure to choose direct insurance</v>
      </c>
    </row>
    <row r="813" ht="15.75" customHeight="1">
      <c r="A813" s="2">
        <v>5.0</v>
      </c>
      <c r="B813" s="2" t="s">
        <v>2240</v>
      </c>
      <c r="C813" s="2" t="s">
        <v>2241</v>
      </c>
      <c r="D813" s="2" t="s">
        <v>39</v>
      </c>
      <c r="E813" s="2" t="s">
        <v>14</v>
      </c>
      <c r="F813" s="2" t="s">
        <v>15</v>
      </c>
      <c r="G813" s="2" t="s">
        <v>381</v>
      </c>
      <c r="H813" s="2" t="s">
        <v>84</v>
      </c>
      <c r="I813" s="2" t="str">
        <f>IFERROR(__xludf.DUMMYFUNCTION("GOOGLETRANSLATE(C813,""fr"",""en"")"),"I am satisfied with the prices as well as the simplicity and speed of implementing your service. Thank you and I will recommend direct insurance to my loved ones")</f>
        <v>I am satisfied with the prices as well as the simplicity and speed of implementing your service. Thank you and I will recommend direct insurance to my loved ones</v>
      </c>
    </row>
    <row r="814" ht="15.75" customHeight="1">
      <c r="A814" s="2">
        <v>5.0</v>
      </c>
      <c r="B814" s="2" t="s">
        <v>2242</v>
      </c>
      <c r="C814" s="2" t="s">
        <v>2243</v>
      </c>
      <c r="D814" s="2" t="s">
        <v>25</v>
      </c>
      <c r="E814" s="2" t="s">
        <v>14</v>
      </c>
      <c r="F814" s="2" t="s">
        <v>15</v>
      </c>
      <c r="G814" s="2" t="s">
        <v>532</v>
      </c>
      <c r="H814" s="2" t="s">
        <v>120</v>
      </c>
      <c r="I814" s="2" t="str">
        <f>IFERROR(__xludf.DUMMYFUNCTION("GOOGLETRANSLATE(C814,""fr"",""en"")"),"Simple fast efficient
With super competitive prices
Easy customer relations with nice people listening to the customer and very cordial.
")</f>
        <v>Simple fast efficient
With super competitive prices
Easy customer relations with nice people listening to the customer and very cordial.
</v>
      </c>
    </row>
    <row r="815" ht="15.75" customHeight="1">
      <c r="A815" s="2">
        <v>5.0</v>
      </c>
      <c r="B815" s="2" t="s">
        <v>2244</v>
      </c>
      <c r="C815" s="2" t="s">
        <v>2245</v>
      </c>
      <c r="D815" s="2" t="s">
        <v>30</v>
      </c>
      <c r="E815" s="2" t="s">
        <v>31</v>
      </c>
      <c r="F815" s="2" t="s">
        <v>15</v>
      </c>
      <c r="G815" s="2" t="s">
        <v>923</v>
      </c>
      <c r="H815" s="2" t="s">
        <v>27</v>
      </c>
      <c r="I815" s="2" t="str">
        <f>IFERROR(__xludf.DUMMYFUNCTION("GOOGLETRANSLATE(C815,""fr"",""en"")"),"Super I found their site very well done very responsive and intuitive with several formulas I am very satisfied with their service I highly recommend it")</f>
        <v>Super I found their site very well done very responsive and intuitive with several formulas I am very satisfied with their service I highly recommend it</v>
      </c>
    </row>
    <row r="816" ht="15.75" customHeight="1">
      <c r="A816" s="2">
        <v>5.0</v>
      </c>
      <c r="B816" s="2" t="s">
        <v>2246</v>
      </c>
      <c r="C816" s="2" t="s">
        <v>2247</v>
      </c>
      <c r="D816" s="2" t="s">
        <v>162</v>
      </c>
      <c r="E816" s="2" t="s">
        <v>45</v>
      </c>
      <c r="F816" s="2" t="s">
        <v>15</v>
      </c>
      <c r="G816" s="2" t="s">
        <v>2248</v>
      </c>
      <c r="H816" s="2" t="s">
        <v>476</v>
      </c>
      <c r="I816" s="2" t="str">
        <f>IFERROR(__xludf.DUMMYFUNCTION("GOOGLETRANSLATE(C816,""fr"",""en"")"),"Quality experience, I wanted to be able to share it because the Santiane team has been accompanying me for two years and they were able to help me multiple times by first making me save money and especially by avoiding me Wait for the mutual responses tha"&amp;"t were long in ...")</f>
        <v>Quality experience, I wanted to be able to share it because the Santiane team has been accompanying me for two years and they were able to help me multiple times by first making me save money and especially by avoiding me Wait for the mutual responses that were long in ...</v>
      </c>
    </row>
    <row r="817" ht="15.75" customHeight="1">
      <c r="A817" s="2">
        <v>4.0</v>
      </c>
      <c r="B817" s="2" t="s">
        <v>2249</v>
      </c>
      <c r="C817" s="2" t="s">
        <v>2250</v>
      </c>
      <c r="D817" s="2" t="s">
        <v>219</v>
      </c>
      <c r="E817" s="2" t="s">
        <v>50</v>
      </c>
      <c r="F817" s="2" t="s">
        <v>15</v>
      </c>
      <c r="G817" s="2" t="s">
        <v>2251</v>
      </c>
      <c r="H817" s="2" t="s">
        <v>159</v>
      </c>
      <c r="I817" s="2" t="str">
        <f>IFERROR(__xludf.DUMMYFUNCTION("GOOGLETRANSLATE(C817,""fr"",""en"")"),"AXA deserves our confidence.
The management of sinters is very effective &amp; the cost of the well contained contract (especially via a courier).
AXA is one of the world leaders in insurance &amp; deserves our confidence. It is a great success of one of our Fr"&amp;"ench flagships. Simply ! :)")</f>
        <v>AXA deserves our confidence.
The management of sinters is very effective &amp; the cost of the well contained contract (especially via a courier).
AXA is one of the world leaders in insurance &amp; deserves our confidence. It is a great success of one of our French flagships. Simply ! :)</v>
      </c>
    </row>
    <row r="818" ht="15.75" customHeight="1">
      <c r="A818" s="2">
        <v>1.0</v>
      </c>
      <c r="B818" s="2" t="s">
        <v>2252</v>
      </c>
      <c r="C818" s="2" t="s">
        <v>2253</v>
      </c>
      <c r="D818" s="2" t="s">
        <v>1058</v>
      </c>
      <c r="E818" s="2" t="s">
        <v>347</v>
      </c>
      <c r="F818" s="2" t="s">
        <v>15</v>
      </c>
      <c r="G818" s="2" t="s">
        <v>672</v>
      </c>
      <c r="H818" s="2" t="s">
        <v>238</v>
      </c>
      <c r="I818" s="2" t="str">
        <f>IFERROR(__xludf.DUMMYFUNCTION("GOOGLETRANSLATE(C818,""fr"",""en"")"),"Mediocre insurance and the word is low. I put a star because obliged if not impossible to put a comment they do not even deserve it.
No one should subscribe to this zero zero insurance he constantly claims papers and more papers and make you waste monstr"&amp;"ous time so as not to even reimburse you.
")</f>
        <v>Mediocre insurance and the word is low. I put a star because obliged if not impossible to put a comment they do not even deserve it.
No one should subscribe to this zero zero insurance he constantly claims papers and more papers and make you waste monstrous time so as not to even reimburse you.
</v>
      </c>
    </row>
    <row r="819" ht="15.75" customHeight="1">
      <c r="A819" s="2">
        <v>2.0</v>
      </c>
      <c r="B819" s="2" t="s">
        <v>2254</v>
      </c>
      <c r="C819" s="2" t="s">
        <v>2255</v>
      </c>
      <c r="D819" s="2" t="s">
        <v>67</v>
      </c>
      <c r="E819" s="2" t="s">
        <v>14</v>
      </c>
      <c r="F819" s="2" t="s">
        <v>15</v>
      </c>
      <c r="G819" s="2" t="s">
        <v>623</v>
      </c>
      <c r="H819" s="2" t="s">
        <v>624</v>
      </c>
      <c r="I819" s="2" t="str">
        <f>IFERROR(__xludf.DUMMYFUNCTION("GOOGLETRANSLATE(C819,""fr"",""en"")"),"I decided to change insurance and from more than one self, I asked for an information statement: impossible to obtain it.
According to article A. 121-1 of the insurance code, insurance companies are obliged to provide us with it within 15 days")</f>
        <v>I decided to change insurance and from more than one self, I asked for an information statement: impossible to obtain it.
According to article A. 121-1 of the insurance code, insurance companies are obliged to provide us with it within 15 days</v>
      </c>
    </row>
    <row r="820" ht="15.75" customHeight="1">
      <c r="A820" s="2">
        <v>5.0</v>
      </c>
      <c r="B820" s="2" t="s">
        <v>2256</v>
      </c>
      <c r="C820" s="2" t="s">
        <v>2257</v>
      </c>
      <c r="D820" s="2" t="s">
        <v>30</v>
      </c>
      <c r="E820" s="2" t="s">
        <v>31</v>
      </c>
      <c r="F820" s="2" t="s">
        <v>15</v>
      </c>
      <c r="G820" s="2" t="s">
        <v>84</v>
      </c>
      <c r="H820" s="2" t="s">
        <v>84</v>
      </c>
      <c r="I820" s="2" t="str">
        <f>IFERROR(__xludf.DUMMYFUNCTION("GOOGLETRANSLATE(C820,""fr"",""en"")"),"I am satisfied with the site The prices are correct facilitates well -directing properly indicated I highly recommend and would strongly recommend to my friends and colleague")</f>
        <v>I am satisfied with the site The prices are correct facilitates well -directing properly indicated I highly recommend and would strongly recommend to my friends and colleague</v>
      </c>
    </row>
    <row r="821" ht="15.75" customHeight="1">
      <c r="A821" s="2">
        <v>1.0</v>
      </c>
      <c r="B821" s="2" t="s">
        <v>2258</v>
      </c>
      <c r="C821" s="2" t="s">
        <v>2259</v>
      </c>
      <c r="D821" s="2" t="s">
        <v>398</v>
      </c>
      <c r="E821" s="2" t="s">
        <v>45</v>
      </c>
      <c r="F821" s="2" t="s">
        <v>15</v>
      </c>
      <c r="G821" s="2" t="s">
        <v>2260</v>
      </c>
      <c r="H821" s="2" t="s">
        <v>185</v>
      </c>
      <c r="I821" s="2" t="str">
        <f>IFERROR(__xludf.DUMMYFUNCTION("GOOGLETRANSLATE(C821,""fr"",""en"")"),"Mutual who does not respect the commitments made. I am at war with them since May 2017. I sent a quote for exceeding of fees response in a letter that I am reimbursed but after sending the invoice I am no longer reimbursed. So I phone and after several mi"&amp;"nutes answer: but it is included in your contact. I send a second invoice for the same intervention in November and after a message and 2 telephone calls still nothing (we study your file). I think, either the staff are incapable or they do not give a dam"&amp;"n. Except to go to the checkout")</f>
        <v>Mutual who does not respect the commitments made. I am at war with them since May 2017. I sent a quote for exceeding of fees response in a letter that I am reimbursed but after sending the invoice I am no longer reimbursed. So I phone and after several minutes answer: but it is included in your contact. I send a second invoice for the same intervention in November and after a message and 2 telephone calls still nothing (we study your file). I think, either the staff are incapable or they do not give a damn. Except to go to the checkout</v>
      </c>
    </row>
    <row r="822" ht="15.75" customHeight="1">
      <c r="A822" s="2">
        <v>1.0</v>
      </c>
      <c r="B822" s="2" t="s">
        <v>2261</v>
      </c>
      <c r="C822" s="2" t="s">
        <v>2262</v>
      </c>
      <c r="D822" s="2" t="s">
        <v>346</v>
      </c>
      <c r="E822" s="2" t="s">
        <v>347</v>
      </c>
      <c r="F822" s="2" t="s">
        <v>15</v>
      </c>
      <c r="G822" s="2" t="s">
        <v>2263</v>
      </c>
      <c r="H822" s="2" t="s">
        <v>57</v>
      </c>
      <c r="I822" s="2" t="str">
        <f>IFERROR(__xludf.DUMMYFUNCTION("GOOGLETRANSLATE(C822,""fr"",""en"")")," In an entire year, I was reimbursed from zero euro. While I had had lots of veterinary costs (French Bulldog ..)
I was very badly informed, my interlocutors was unpleasant and I had to pay for a year for nothing (around 500 €)")</f>
        <v> In an entire year, I was reimbursed from zero euro. While I had had lots of veterinary costs (French Bulldog ..)
I was very badly informed, my interlocutors was unpleasant and I had to pay for a year for nothing (around 500 €)</v>
      </c>
    </row>
    <row r="823" ht="15.75" customHeight="1">
      <c r="A823" s="2">
        <v>3.0</v>
      </c>
      <c r="B823" s="2" t="s">
        <v>2264</v>
      </c>
      <c r="C823" s="2" t="s">
        <v>2265</v>
      </c>
      <c r="D823" s="2" t="s">
        <v>39</v>
      </c>
      <c r="E823" s="2" t="s">
        <v>14</v>
      </c>
      <c r="F823" s="2" t="s">
        <v>15</v>
      </c>
      <c r="G823" s="2" t="s">
        <v>407</v>
      </c>
      <c r="H823" s="2" t="s">
        <v>73</v>
      </c>
      <c r="I823" s="2" t="str">
        <f>IFERROR(__xludf.DUMMYFUNCTION("GOOGLETRANSLATE(C823,""fr"",""en"")"),"Simple and easy
Fast but if we redo the same quote the prices come twice, I should have validated the quote from the start
Too bad the 0 km assistance is necessarily included in a pack. I would have preferred to take this optional on my own")</f>
        <v>Simple and easy
Fast but if we redo the same quote the prices come twice, I should have validated the quote from the start
Too bad the 0 km assistance is necessarily included in a pack. I would have preferred to take this optional on my own</v>
      </c>
    </row>
    <row r="824" ht="15.75" customHeight="1">
      <c r="A824" s="2">
        <v>4.0</v>
      </c>
      <c r="B824" s="2" t="s">
        <v>2266</v>
      </c>
      <c r="C824" s="2" t="s">
        <v>2267</v>
      </c>
      <c r="D824" s="2" t="s">
        <v>25</v>
      </c>
      <c r="E824" s="2" t="s">
        <v>14</v>
      </c>
      <c r="F824" s="2" t="s">
        <v>15</v>
      </c>
      <c r="G824" s="2" t="s">
        <v>559</v>
      </c>
      <c r="H824" s="2" t="s">
        <v>17</v>
      </c>
      <c r="I824" s="2" t="str">
        <f>IFERROR(__xludf.DUMMYFUNCTION("GOOGLETRANSLATE(C824,""fr"",""en"")"),"OK RAS for the moment, provided that it hard, good telephone contact, finally a real person on the phone, and not a robot that understands nothing ....")</f>
        <v>OK RAS for the moment, provided that it hard, good telephone contact, finally a real person on the phone, and not a robot that understands nothing ....</v>
      </c>
    </row>
    <row r="825" ht="15.75" customHeight="1">
      <c r="A825" s="2">
        <v>1.0</v>
      </c>
      <c r="B825" s="2" t="s">
        <v>2268</v>
      </c>
      <c r="C825" s="2" t="s">
        <v>2269</v>
      </c>
      <c r="D825" s="2" t="s">
        <v>49</v>
      </c>
      <c r="E825" s="2" t="s">
        <v>233</v>
      </c>
      <c r="F825" s="2" t="s">
        <v>15</v>
      </c>
      <c r="G825" s="2" t="s">
        <v>2270</v>
      </c>
      <c r="H825" s="2" t="s">
        <v>185</v>
      </c>
      <c r="I825" s="2" t="str">
        <f>IFERROR(__xludf.DUMMYFUNCTION("GOOGLETRANSLATE(C825,""fr"",""en"")"),"So how to say ...
Wanting to work an acquaintance I subscribed to Allianz when I had my business.
On stop for several months and doctor etc confirm always my condition, Allianz decides I do not know on what basis that partially since July I could work !"&amp;"!! So I have to repay them and they haven't paid me for 3 months!
Knowledge where not everything is on my side so that I do not let go, I am patient, I would not let go.
In the meantime, flee even if you know the agency director.")</f>
        <v>So how to say ...
Wanting to work an acquaintance I subscribed to Allianz when I had my business.
On stop for several months and doctor etc confirm always my condition, Allianz decides I do not know on what basis that partially since July I could work !!! So I have to repay them and they haven't paid me for 3 months!
Knowledge where not everything is on my side so that I do not let go, I am patient, I would not let go.
In the meantime, flee even if you know the agency director.</v>
      </c>
    </row>
    <row r="826" ht="15.75" customHeight="1">
      <c r="A826" s="2">
        <v>1.0</v>
      </c>
      <c r="B826" s="2" t="s">
        <v>2271</v>
      </c>
      <c r="C826" s="2" t="s">
        <v>2272</v>
      </c>
      <c r="D826" s="2" t="s">
        <v>259</v>
      </c>
      <c r="E826" s="2" t="s">
        <v>14</v>
      </c>
      <c r="F826" s="2" t="s">
        <v>15</v>
      </c>
      <c r="G826" s="2" t="s">
        <v>2273</v>
      </c>
      <c r="H826" s="2" t="s">
        <v>69</v>
      </c>
      <c r="I826" s="2" t="str">
        <f>IFERROR(__xludf.DUMMYFUNCTION("GOOGLETRANSLATE(C826,""fr"",""en"")"),"
After 10 years at the Macif de Thorigny sur Marne, I will flee this society which has no qualms and no communications between them,
So who put members in very delicate situations.
No listening just a number after so many years.
Frankly, we are ju"&amp;"st good paid !!!!!!
")</f>
        <v>
After 10 years at the Macif de Thorigny sur Marne, I will flee this society which has no qualms and no communications between them,
So who put members in very delicate situations.
No listening just a number after so many years.
Frankly, we are just good paid !!!!!!
</v>
      </c>
    </row>
    <row r="827" ht="15.75" customHeight="1">
      <c r="A827" s="2">
        <v>1.0</v>
      </c>
      <c r="B827" s="2" t="s">
        <v>2274</v>
      </c>
      <c r="C827" s="2" t="s">
        <v>2275</v>
      </c>
      <c r="D827" s="2" t="s">
        <v>328</v>
      </c>
      <c r="E827" s="2" t="s">
        <v>96</v>
      </c>
      <c r="F827" s="2" t="s">
        <v>15</v>
      </c>
      <c r="G827" s="2" t="s">
        <v>675</v>
      </c>
      <c r="H827" s="2" t="s">
        <v>539</v>
      </c>
      <c r="I827" s="2" t="str">
        <f>IFERROR(__xludf.DUMMYFUNCTION("GOOGLETRANSLATE(C827,""fr"",""en"")"),"Extremely decided by Cardif. Refuse to give me the address or request the payment of a lifestyle downgraded! Very bad welcome. Ask for papers and information that legally, we are not required to give. Go your way.")</f>
        <v>Extremely decided by Cardif. Refuse to give me the address or request the payment of a lifestyle downgraded! Very bad welcome. Ask for papers and information that legally, we are not required to give. Go your way.</v>
      </c>
    </row>
    <row r="828" ht="15.75" customHeight="1">
      <c r="A828" s="2">
        <v>3.0</v>
      </c>
      <c r="B828" s="2" t="s">
        <v>2276</v>
      </c>
      <c r="C828" s="2" t="s">
        <v>2277</v>
      </c>
      <c r="D828" s="2" t="s">
        <v>39</v>
      </c>
      <c r="E828" s="2" t="s">
        <v>14</v>
      </c>
      <c r="F828" s="2" t="s">
        <v>15</v>
      </c>
      <c r="G828" s="2" t="s">
        <v>2278</v>
      </c>
      <c r="H828" s="2" t="s">
        <v>1036</v>
      </c>
      <c r="I828" s="2" t="str">
        <f>IFERROR(__xludf.DUMMYFUNCTION("GOOGLETRANSLATE(C828,""fr"",""en"")"),"In terms of customer service quality, what mediocrity: for a change of vehicle, if we do the operation by phone, you have to pay 20 €. If we don't have the internet (at the vacation location for example), how Make sure? Having all my contracts at Direct A"&amp;"ssurance, I think I will review my position.")</f>
        <v>In terms of customer service quality, what mediocrity: for a change of vehicle, if we do the operation by phone, you have to pay 20 €. If we don't have the internet (at the vacation location for example), how Make sure? Having all my contracts at Direct Assurance, I think I will review my position.</v>
      </c>
    </row>
    <row r="829" ht="15.75" customHeight="1">
      <c r="A829" s="2">
        <v>4.0</v>
      </c>
      <c r="B829" s="2" t="s">
        <v>2279</v>
      </c>
      <c r="C829" s="2" t="s">
        <v>2280</v>
      </c>
      <c r="D829" s="2" t="s">
        <v>39</v>
      </c>
      <c r="E829" s="2" t="s">
        <v>50</v>
      </c>
      <c r="F829" s="2" t="s">
        <v>15</v>
      </c>
      <c r="G829" s="2" t="s">
        <v>2281</v>
      </c>
      <c r="H829" s="2" t="s">
        <v>198</v>
      </c>
      <c r="I829" s="2" t="str">
        <f>IFERROR(__xludf.DUMMYFUNCTION("GOOGLETRANSLATE(C829,""fr"",""en"")"),"Service very well in relation to the competition I recommend to my friends and my family no worries about it, on the other hand I would like to be contacted less often")</f>
        <v>Service very well in relation to the competition I recommend to my friends and my family no worries about it, on the other hand I would like to be contacted less often</v>
      </c>
    </row>
    <row r="830" ht="15.75" customHeight="1">
      <c r="A830" s="2">
        <v>4.0</v>
      </c>
      <c r="B830" s="2" t="s">
        <v>2282</v>
      </c>
      <c r="C830" s="2" t="s">
        <v>2283</v>
      </c>
      <c r="D830" s="2" t="s">
        <v>39</v>
      </c>
      <c r="E830" s="2" t="s">
        <v>14</v>
      </c>
      <c r="F830" s="2" t="s">
        <v>15</v>
      </c>
      <c r="G830" s="2" t="s">
        <v>1162</v>
      </c>
      <c r="H830" s="2" t="s">
        <v>109</v>
      </c>
      <c r="I830" s="2" t="str">
        <f>IFERROR(__xludf.DUMMYFUNCTION("GOOGLETRANSLATE(C830,""fr"",""en"")"),"Yes I am satisfied with the price and the reactivitis of the care of the insurance contract of my new car following my Telephonic call.
")</f>
        <v>Yes I am satisfied with the price and the reactivitis of the care of the insurance contract of my new car following my Telephonic call.
</v>
      </c>
    </row>
    <row r="831" ht="15.75" customHeight="1">
      <c r="A831" s="2">
        <v>1.0</v>
      </c>
      <c r="B831" s="2" t="s">
        <v>2284</v>
      </c>
      <c r="C831" s="2" t="s">
        <v>2285</v>
      </c>
      <c r="D831" s="2" t="s">
        <v>794</v>
      </c>
      <c r="E831" s="2" t="s">
        <v>31</v>
      </c>
      <c r="F831" s="2" t="s">
        <v>15</v>
      </c>
      <c r="G831" s="2" t="s">
        <v>26</v>
      </c>
      <c r="H831" s="2" t="s">
        <v>27</v>
      </c>
      <c r="I831" s="2" t="str">
        <f>IFERROR(__xludf.DUMMYFUNCTION("GOOGLETRANSLATE(C831,""fr"",""en"")"),"Well here it is done I change for the Macif where I have all my contracts
20 years old no claim and taken for a pigeon
I took the same guarantees obviously more newspaper
Important gain")</f>
        <v>Well here it is done I change for the Macif where I have all my contracts
20 years old no claim and taken for a pigeon
I took the same guarantees obviously more newspaper
Important gain</v>
      </c>
    </row>
    <row r="832" ht="15.75" customHeight="1">
      <c r="A832" s="2">
        <v>5.0</v>
      </c>
      <c r="B832" s="2" t="s">
        <v>2286</v>
      </c>
      <c r="C832" s="2" t="s">
        <v>2287</v>
      </c>
      <c r="D832" s="2" t="s">
        <v>39</v>
      </c>
      <c r="E832" s="2" t="s">
        <v>14</v>
      </c>
      <c r="F832" s="2" t="s">
        <v>15</v>
      </c>
      <c r="G832" s="2" t="s">
        <v>127</v>
      </c>
      <c r="H832" s="2" t="s">
        <v>84</v>
      </c>
      <c r="I832" s="2" t="str">
        <f>IFERROR(__xludf.DUMMYFUNCTION("GOOGLETRANSLATE(C832,""fr"",""en"")"),"I am satisfied with the service that has been done.
We will see the rest to see if the service corresponds to what is said in the information that has been communicated.")</f>
        <v>I am satisfied with the service that has been done.
We will see the rest to see if the service corresponds to what is said in the information that has been communicated.</v>
      </c>
    </row>
    <row r="833" ht="15.75" customHeight="1">
      <c r="A833" s="2">
        <v>4.0</v>
      </c>
      <c r="B833" s="2" t="s">
        <v>2288</v>
      </c>
      <c r="C833" s="2" t="s">
        <v>2289</v>
      </c>
      <c r="D833" s="2" t="s">
        <v>25</v>
      </c>
      <c r="E833" s="2" t="s">
        <v>14</v>
      </c>
      <c r="F833" s="2" t="s">
        <v>15</v>
      </c>
      <c r="G833" s="2" t="s">
        <v>116</v>
      </c>
      <c r="H833" s="2" t="s">
        <v>109</v>
      </c>
      <c r="I833" s="2" t="str">
        <f>IFERROR(__xludf.DUMMYFUNCTION("GOOGLETRANSLATE(C833,""fr"",""en"")"),"I am completely satisfied with the listening that I obtained by the advisor I highly recommend very professional insurance and listening with patience")</f>
        <v>I am completely satisfied with the listening that I obtained by the advisor I highly recommend very professional insurance and listening with patience</v>
      </c>
    </row>
    <row r="834" ht="15.75" customHeight="1">
      <c r="A834" s="2">
        <v>3.0</v>
      </c>
      <c r="B834" s="2" t="s">
        <v>2290</v>
      </c>
      <c r="C834" s="2" t="s">
        <v>2291</v>
      </c>
      <c r="D834" s="2" t="s">
        <v>30</v>
      </c>
      <c r="E834" s="2" t="s">
        <v>31</v>
      </c>
      <c r="F834" s="2" t="s">
        <v>15</v>
      </c>
      <c r="G834" s="2" t="s">
        <v>526</v>
      </c>
      <c r="H834" s="2" t="s">
        <v>113</v>
      </c>
      <c r="I834" s="2" t="str">
        <f>IFERROR(__xludf.DUMMYFUNCTION("GOOGLETRANSLATE(C834,""fr"",""en"")"),"I am satisfied with the service in question, the insurance prices suit me perfectly, simple, fast explicit practices cordially cordially Mr Epernon William")</f>
        <v>I am satisfied with the service in question, the insurance prices suit me perfectly, simple, fast explicit practices cordially cordially Mr Epernon William</v>
      </c>
    </row>
    <row r="835" ht="15.75" customHeight="1">
      <c r="A835" s="2">
        <v>2.0</v>
      </c>
      <c r="B835" s="2" t="s">
        <v>2292</v>
      </c>
      <c r="C835" s="2" t="s">
        <v>2293</v>
      </c>
      <c r="D835" s="2" t="s">
        <v>49</v>
      </c>
      <c r="E835" s="2" t="s">
        <v>14</v>
      </c>
      <c r="F835" s="2" t="s">
        <v>15</v>
      </c>
      <c r="G835" s="2" t="s">
        <v>2294</v>
      </c>
      <c r="H835" s="2" t="s">
        <v>847</v>
      </c>
      <c r="I835" s="2" t="str">
        <f>IFERROR(__xludf.DUMMYFUNCTION("GOOGLETRANSLATE(C835,""fr"",""en"")"),"The worst insurance I had.")</f>
        <v>The worst insurance I had.</v>
      </c>
    </row>
    <row r="836" ht="15.75" customHeight="1">
      <c r="A836" s="2">
        <v>4.0</v>
      </c>
      <c r="B836" s="2" t="s">
        <v>2295</v>
      </c>
      <c r="C836" s="2" t="s">
        <v>2296</v>
      </c>
      <c r="D836" s="2" t="s">
        <v>25</v>
      </c>
      <c r="E836" s="2" t="s">
        <v>14</v>
      </c>
      <c r="F836" s="2" t="s">
        <v>15</v>
      </c>
      <c r="G836" s="2" t="s">
        <v>1421</v>
      </c>
      <c r="H836" s="2" t="s">
        <v>101</v>
      </c>
      <c r="I836" s="2" t="str">
        <f>IFERROR(__xludf.DUMMYFUNCTION("GOOGLETRANSLATE(C836,""fr"",""en"")"),"The prices suit me and the advisers have informed me, it is true that physical contact is lacking a little but I would see in the event of a declaration of claim ....")</f>
        <v>The prices suit me and the advisers have informed me, it is true that physical contact is lacking a little but I would see in the event of a declaration of claim ....</v>
      </c>
    </row>
    <row r="837" ht="15.75" customHeight="1">
      <c r="A837" s="2">
        <v>3.0</v>
      </c>
      <c r="B837" s="2" t="s">
        <v>2297</v>
      </c>
      <c r="C837" s="2" t="s">
        <v>2298</v>
      </c>
      <c r="D837" s="2" t="s">
        <v>25</v>
      </c>
      <c r="E837" s="2" t="s">
        <v>14</v>
      </c>
      <c r="F837" s="2" t="s">
        <v>15</v>
      </c>
      <c r="G837" s="2" t="s">
        <v>2299</v>
      </c>
      <c r="H837" s="2" t="s">
        <v>216</v>
      </c>
      <c r="I837" s="2" t="str">
        <f>IFERROR(__xludf.DUMMYFUNCTION("GOOGLETRANSLATE(C837,""fr"",""en"")"),"Hello,
I share my opinion, assured for 2 months dear the olive tree, customer service is unaffordable. 30min to try to speak to a person ... it's incredible!
I paid my 722 ""cache"" insurance to have a more attractive price! And in the end, for a disast"&amp;"er which has been not declared, and not responsible, I am asked to settle the additional sum of 174 EUR! I find his sad of the relative of this insurance! I tried to review it is downwards but impossible to reach them if have not been waiting for 30 min o"&amp;"n the phone.
To avoid. Customer service is not there.")</f>
        <v>Hello,
I share my opinion, assured for 2 months dear the olive tree, customer service is unaffordable. 30min to try to speak to a person ... it's incredible!
I paid my 722 "cache" insurance to have a more attractive price! And in the end, for a disaster which has been not declared, and not responsible, I am asked to settle the additional sum of 174 EUR! I find his sad of the relative of this insurance! I tried to review it is downwards but impossible to reach them if have not been waiting for 30 min on the phone.
To avoid. Customer service is not there.</v>
      </c>
    </row>
    <row r="838" ht="15.75" customHeight="1">
      <c r="A838" s="2">
        <v>5.0</v>
      </c>
      <c r="B838" s="2" t="s">
        <v>2300</v>
      </c>
      <c r="C838" s="2" t="s">
        <v>2301</v>
      </c>
      <c r="D838" s="2" t="s">
        <v>259</v>
      </c>
      <c r="E838" s="2" t="s">
        <v>14</v>
      </c>
      <c r="F838" s="2" t="s">
        <v>15</v>
      </c>
      <c r="G838" s="2" t="s">
        <v>202</v>
      </c>
      <c r="H838" s="2" t="s">
        <v>202</v>
      </c>
      <c r="I838" s="2" t="str">
        <f>IFERROR(__xludf.DUMMYFUNCTION("GOOGLETRANSLATE(C838,""fr"",""en"")"),"Forty years older Macif ever of a responsible accident")</f>
        <v>Forty years older Macif ever of a responsible accident</v>
      </c>
    </row>
    <row r="839" ht="15.75" customHeight="1">
      <c r="A839" s="2">
        <v>1.0</v>
      </c>
      <c r="B839" s="2" t="s">
        <v>2302</v>
      </c>
      <c r="C839" s="2" t="s">
        <v>2303</v>
      </c>
      <c r="D839" s="2" t="s">
        <v>176</v>
      </c>
      <c r="E839" s="2" t="s">
        <v>96</v>
      </c>
      <c r="F839" s="2" t="s">
        <v>15</v>
      </c>
      <c r="G839" s="2" t="s">
        <v>72</v>
      </c>
      <c r="H839" s="2" t="s">
        <v>73</v>
      </c>
      <c r="I839" s="2" t="str">
        <f>IFERROR(__xludf.DUMMYFUNCTION("GOOGLETRANSLATE(C839,""fr"",""en"")"),"Following the death of my aunt in mid-April 2020, I sent all the necessary parts at the end of April by email, then not having news by registered letter. Since then, I have been trying to contact AFER several times a week. The only email I received was to"&amp;" tell me that AFER had, supposedly because of the covid, until August 22 to consider the request for settlement of the succession, this in violation of the article L. 132-23-1 of the insurance code !!!
The other two insurance companies where my aunt also"&amp;" had life insurance, MMA and Suravenir made the regulations in mid-June!
In addition, the rate of return of their bottom in the euro is in significant decrease and their units of account are not at all efficient. Look at competitors: there are a lot of c"&amp;"ontracts without much more efficient entry fees.")</f>
        <v>Following the death of my aunt in mid-April 2020, I sent all the necessary parts at the end of April by email, then not having news by registered letter. Since then, I have been trying to contact AFER several times a week. The only email I received was to tell me that AFER had, supposedly because of the covid, until August 22 to consider the request for settlement of the succession, this in violation of the article L. 132-23-1 of the insurance code !!!
The other two insurance companies where my aunt also had life insurance, MMA and Suravenir made the regulations in mid-June!
In addition, the rate of return of their bottom in the euro is in significant decrease and their units of account are not at all efficient. Look at competitors: there are a lot of contracts without much more efficient entry fees.</v>
      </c>
    </row>
    <row r="840" ht="15.75" customHeight="1">
      <c r="A840" s="2">
        <v>5.0</v>
      </c>
      <c r="B840" s="2" t="s">
        <v>2304</v>
      </c>
      <c r="C840" s="2" t="s">
        <v>2305</v>
      </c>
      <c r="D840" s="2" t="s">
        <v>25</v>
      </c>
      <c r="E840" s="2" t="s">
        <v>14</v>
      </c>
      <c r="F840" s="2" t="s">
        <v>15</v>
      </c>
      <c r="G840" s="2" t="s">
        <v>992</v>
      </c>
      <c r="H840" s="2" t="s">
        <v>113</v>
      </c>
      <c r="I840" s="2" t="str">
        <f>IFERROR(__xludf.DUMMYFUNCTION("GOOGLETRANSLATE(C840,""fr"",""en"")"),"I am happy to be a customer at home. Cordially
Next contract will be taking auto insurance for my daughter Imane Amiri dated Saturday July 2 for a DS3.Thank you.")</f>
        <v>I am happy to be a customer at home. Cordially
Next contract will be taking auto insurance for my daughter Imane Amiri dated Saturday July 2 for a DS3.Thank you.</v>
      </c>
    </row>
    <row r="841" ht="15.75" customHeight="1">
      <c r="A841" s="2">
        <v>3.0</v>
      </c>
      <c r="B841" s="2" t="s">
        <v>2306</v>
      </c>
      <c r="C841" s="2" t="s">
        <v>2307</v>
      </c>
      <c r="D841" s="2" t="s">
        <v>323</v>
      </c>
      <c r="E841" s="2" t="s">
        <v>45</v>
      </c>
      <c r="F841" s="2" t="s">
        <v>15</v>
      </c>
      <c r="G841" s="2" t="s">
        <v>2308</v>
      </c>
      <c r="H841" s="2" t="s">
        <v>330</v>
      </c>
      <c r="I841" s="2" t="str">
        <f>IFERROR(__xludf.DUMMYFUNCTION("GOOGLETRANSLATE(C841,""fr"",""en"")"),"Following numerous complaints from employees, our employer terminated the collective contract respecting the notice. The MGEN staff found a way to open a new contract for employees without their authorization with schedule. This new letter was received on"&amp;" December 31, 2019 with levy on the 10th of the following month. Impossible to reach them. MGEN staff do not answer the phone, to your mail, and blocked the reimbursements of services for the new mutual with the CPAM. After opposing the levy dated January"&amp;" 10, 2019, the latter threatens you to recover the rejected sum.
To be proscribed as a mutual!")</f>
        <v>Following numerous complaints from employees, our employer terminated the collective contract respecting the notice. The MGEN staff found a way to open a new contract for employees without their authorization with schedule. This new letter was received on December 31, 2019 with levy on the 10th of the following month. Impossible to reach them. MGEN staff do not answer the phone, to your mail, and blocked the reimbursements of services for the new mutual with the CPAM. After opposing the levy dated January 10, 2019, the latter threatens you to recover the rejected sum.
To be proscribed as a mutual!</v>
      </c>
    </row>
    <row r="842" ht="15.75" customHeight="1">
      <c r="A842" s="2">
        <v>1.0</v>
      </c>
      <c r="B842" s="2" t="s">
        <v>2309</v>
      </c>
      <c r="C842" s="2" t="s">
        <v>2310</v>
      </c>
      <c r="D842" s="2" t="s">
        <v>259</v>
      </c>
      <c r="E842" s="2" t="s">
        <v>14</v>
      </c>
      <c r="F842" s="2" t="s">
        <v>15</v>
      </c>
      <c r="G842" s="2" t="s">
        <v>958</v>
      </c>
      <c r="H842" s="2" t="s">
        <v>109</v>
      </c>
      <c r="I842" s="2" t="str">
        <f>IFERROR(__xludf.DUMMYFUNCTION("GOOGLETRANSLATE(C842,""fr"",""en"")"),"Decu de la Macif over 20 years with them, no submitted despite 8 contracts with a bonus at 50 percent for many years. Tired of making contracts behind the backs of people guaranteed accident essential 3 advises it on the phone increased it to 6 without my"&amp;" agreement it is the third time that it happens to me. .Difficious to have the precise date to terminate you ""30 days advised paper maturity you can terminate yourself and 20 days after"" I have just received my letter. It makes me pay the full year of t"&amp;"he accident guarantee, however I have resilled on the dates that advises it said.??????????")</f>
        <v>Decu de la Macif over 20 years with them, no submitted despite 8 contracts with a bonus at 50 percent for many years. Tired of making contracts behind the backs of people guaranteed accident essential 3 advises it on the phone increased it to 6 without my agreement it is the third time that it happens to me. .Difficious to have the precise date to terminate you "30 days advised paper maturity you can terminate yourself and 20 days after" I have just received my letter. It makes me pay the full year of the accident guarantee, however I have resilled on the dates that advises it said.??????????</v>
      </c>
    </row>
    <row r="843" ht="15.75" customHeight="1">
      <c r="A843" s="2">
        <v>4.0</v>
      </c>
      <c r="B843" s="2" t="s">
        <v>2311</v>
      </c>
      <c r="C843" s="2" t="s">
        <v>2312</v>
      </c>
      <c r="D843" s="2" t="s">
        <v>13</v>
      </c>
      <c r="E843" s="2" t="s">
        <v>50</v>
      </c>
      <c r="F843" s="2" t="s">
        <v>15</v>
      </c>
      <c r="G843" s="2" t="s">
        <v>1675</v>
      </c>
      <c r="H843" s="2" t="s">
        <v>202</v>
      </c>
      <c r="I843" s="2" t="str">
        <f>IFERROR(__xludf.DUMMYFUNCTION("GOOGLETRANSLATE(C843,""fr"",""en"")"),"Pacifica manages the claim files very quickly. All the parts are made by email and the transfer is very very fast. Thank you and well done")</f>
        <v>Pacifica manages the claim files very quickly. All the parts are made by email and the transfer is very very fast. Thank you and well done</v>
      </c>
    </row>
    <row r="844" ht="15.75" customHeight="1">
      <c r="A844" s="2">
        <v>1.0</v>
      </c>
      <c r="B844" s="2" t="s">
        <v>2313</v>
      </c>
      <c r="C844" s="2" t="s">
        <v>2314</v>
      </c>
      <c r="D844" s="2" t="s">
        <v>137</v>
      </c>
      <c r="E844" s="2" t="s">
        <v>2315</v>
      </c>
      <c r="F844" s="2" t="s">
        <v>15</v>
      </c>
      <c r="G844" s="2" t="s">
        <v>312</v>
      </c>
      <c r="H844" s="2" t="s">
        <v>27</v>
      </c>
      <c r="I844" s="2" t="str">
        <f>IFERROR(__xludf.DUMMYFUNCTION("GOOGLETRANSLATE(C844,""fr"",""en"")"),"I contacted my April insurance which ensures my company to share a claim on a site (water degat). I was very badly welcomed on the phone. The interlocutor has made no effort to understand the circumstances of the occurrence of the claim. And brutally shor"&amp;"ted the discussion telling me to recall his colleague who follows the file and hanging up on the nose. I find this attitude deplorable. It was my first disaster report. And I plan to change insurer ...")</f>
        <v>I contacted my April insurance which ensures my company to share a claim on a site (water degat). I was very badly welcomed on the phone. The interlocutor has made no effort to understand the circumstances of the occurrence of the claim. And brutally shorted the discussion telling me to recall his colleague who follows the file and hanging up on the nose. I find this attitude deplorable. It was my first disaster report. And I plan to change insurer ...</v>
      </c>
    </row>
    <row r="845" ht="15.75" customHeight="1">
      <c r="A845" s="2">
        <v>2.0</v>
      </c>
      <c r="B845" s="2" t="s">
        <v>2316</v>
      </c>
      <c r="C845" s="2" t="s">
        <v>2317</v>
      </c>
      <c r="D845" s="2" t="s">
        <v>39</v>
      </c>
      <c r="E845" s="2" t="s">
        <v>14</v>
      </c>
      <c r="F845" s="2" t="s">
        <v>15</v>
      </c>
      <c r="G845" s="2" t="s">
        <v>2318</v>
      </c>
      <c r="H845" s="2" t="s">
        <v>216</v>
      </c>
      <c r="I845" s="2" t="str">
        <f>IFERROR(__xludf.DUMMYFUNCTION("GOOGLETRANSLATE(C845,""fr"",""en"")"),"Declaration of disaster and economically irreparable car")</f>
        <v>Declaration of disaster and economically irreparable car</v>
      </c>
    </row>
    <row r="846" ht="15.75" customHeight="1">
      <c r="A846" s="2">
        <v>3.0</v>
      </c>
      <c r="B846" s="2" t="s">
        <v>2319</v>
      </c>
      <c r="C846" s="2" t="s">
        <v>2320</v>
      </c>
      <c r="D846" s="2" t="s">
        <v>39</v>
      </c>
      <c r="E846" s="2" t="s">
        <v>14</v>
      </c>
      <c r="F846" s="2" t="s">
        <v>15</v>
      </c>
      <c r="G846" s="2" t="s">
        <v>1947</v>
      </c>
      <c r="H846" s="2" t="s">
        <v>84</v>
      </c>
      <c r="I846" s="2" t="str">
        <f>IFERROR(__xludf.DUMMYFUNCTION("GOOGLETRANSLATE(C846,""fr"",""en"")"),"I am satisfied with the prices, the service is perfect welcome. Advise very attentive and who advises well. It remains to be seen if the promises will be held.")</f>
        <v>I am satisfied with the prices, the service is perfect welcome. Advise very attentive and who advises well. It remains to be seen if the promises will be held.</v>
      </c>
    </row>
    <row r="847" ht="15.75" customHeight="1">
      <c r="A847" s="2">
        <v>4.0</v>
      </c>
      <c r="B847" s="2" t="s">
        <v>2321</v>
      </c>
      <c r="C847" s="2" t="s">
        <v>2322</v>
      </c>
      <c r="D847" s="2" t="s">
        <v>25</v>
      </c>
      <c r="E847" s="2" t="s">
        <v>14</v>
      </c>
      <c r="F847" s="2" t="s">
        <v>15</v>
      </c>
      <c r="G847" s="2" t="s">
        <v>532</v>
      </c>
      <c r="H847" s="2" t="s">
        <v>120</v>
      </c>
      <c r="I847" s="2" t="str">
        <f>IFERROR(__xludf.DUMMYFUNCTION("GOOGLETRANSLATE(C847,""fr"",""en"")"),"I am satisfied with the service. The prices are affordable for young people and people who have just had their first car.
Fast and effective.")</f>
        <v>I am satisfied with the service. The prices are affordable for young people and people who have just had their first car.
Fast and effective.</v>
      </c>
    </row>
    <row r="848" ht="15.75" customHeight="1">
      <c r="A848" s="2">
        <v>3.0</v>
      </c>
      <c r="B848" s="2" t="s">
        <v>2323</v>
      </c>
      <c r="C848" s="2" t="s">
        <v>2324</v>
      </c>
      <c r="D848" s="2" t="s">
        <v>13</v>
      </c>
      <c r="E848" s="2" t="s">
        <v>14</v>
      </c>
      <c r="F848" s="2" t="s">
        <v>15</v>
      </c>
      <c r="G848" s="2" t="s">
        <v>2325</v>
      </c>
      <c r="H848" s="2" t="s">
        <v>330</v>
      </c>
      <c r="I848" s="2" t="str">
        <f>IFERROR(__xludf.DUMMYFUNCTION("GOOGLETRANSLATE(C848,""fr"",""en"")"),"Satisfied with the regulation of non -responsible disaster on agricultural tractor tire")</f>
        <v>Satisfied with the regulation of non -responsible disaster on agricultural tractor tire</v>
      </c>
    </row>
    <row r="849" ht="15.75" customHeight="1">
      <c r="A849" s="2">
        <v>5.0</v>
      </c>
      <c r="B849" s="2" t="s">
        <v>2326</v>
      </c>
      <c r="C849" s="2" t="s">
        <v>2327</v>
      </c>
      <c r="D849" s="2" t="s">
        <v>39</v>
      </c>
      <c r="E849" s="2" t="s">
        <v>14</v>
      </c>
      <c r="F849" s="2" t="s">
        <v>15</v>
      </c>
      <c r="G849" s="2" t="s">
        <v>120</v>
      </c>
      <c r="H849" s="2" t="s">
        <v>120</v>
      </c>
      <c r="I849" s="2" t="str">
        <f>IFERROR(__xludf.DUMMYFUNCTION("GOOGLETRANSLATE(C849,""fr"",""en"")"),"Satisfied with the rate compared to the average of other insurers.
Good responsiveness, the site is intuitive and easy to understand, everything is well explained ....")</f>
        <v>Satisfied with the rate compared to the average of other insurers.
Good responsiveness, the site is intuitive and easy to understand, everything is well explained ....</v>
      </c>
    </row>
    <row r="850" ht="15.75" customHeight="1">
      <c r="A850" s="2">
        <v>2.0</v>
      </c>
      <c r="B850" s="2" t="s">
        <v>2328</v>
      </c>
      <c r="C850" s="2" t="s">
        <v>2329</v>
      </c>
      <c r="D850" s="2" t="s">
        <v>39</v>
      </c>
      <c r="E850" s="2" t="s">
        <v>14</v>
      </c>
      <c r="F850" s="2" t="s">
        <v>15</v>
      </c>
      <c r="G850" s="2" t="s">
        <v>678</v>
      </c>
      <c r="H850" s="2" t="s">
        <v>476</v>
      </c>
      <c r="I850" s="2" t="str">
        <f>IFERROR(__xludf.DUMMYFUNCTION("GOOGLETRANSLATE(C850,""fr"",""en"")"),"Frankly, this is a shame this subsidiary insurance of AXA. The agents are stopped like mules. I do not recommend. I am assured at home and refuse to make sure my new car from a Mercedes dealership in Germany. I will put a complaint for refusal to ensure f"&amp;"or no valid reason. Point.")</f>
        <v>Frankly, this is a shame this subsidiary insurance of AXA. The agents are stopped like mules. I do not recommend. I am assured at home and refuse to make sure my new car from a Mercedes dealership in Germany. I will put a complaint for refusal to ensure for no valid reason. Point.</v>
      </c>
    </row>
    <row r="851" ht="15.75" customHeight="1">
      <c r="A851" s="2">
        <v>4.0</v>
      </c>
      <c r="B851" s="2" t="s">
        <v>2330</v>
      </c>
      <c r="C851" s="2" t="s">
        <v>2331</v>
      </c>
      <c r="D851" s="2" t="s">
        <v>39</v>
      </c>
      <c r="E851" s="2" t="s">
        <v>14</v>
      </c>
      <c r="F851" s="2" t="s">
        <v>15</v>
      </c>
      <c r="G851" s="2" t="s">
        <v>2332</v>
      </c>
      <c r="H851" s="2" t="s">
        <v>202</v>
      </c>
      <c r="I851" s="2" t="str">
        <f>IFERROR(__xludf.DUMMYFUNCTION("GOOGLETRANSLATE(C851,""fr"",""en"")"),"I am satisfied with the fast and quality service offered, a multiple choice quote as well as clear optional guarantee, distance insurance but at the nearby Foix")</f>
        <v>I am satisfied with the fast and quality service offered, a multiple choice quote as well as clear optional guarantee, distance insurance but at the nearby Foix</v>
      </c>
    </row>
    <row r="852" ht="15.75" customHeight="1">
      <c r="A852" s="2">
        <v>4.0</v>
      </c>
      <c r="B852" s="2" t="s">
        <v>2333</v>
      </c>
      <c r="C852" s="2" t="s">
        <v>2334</v>
      </c>
      <c r="D852" s="2" t="s">
        <v>25</v>
      </c>
      <c r="E852" s="2" t="s">
        <v>14</v>
      </c>
      <c r="F852" s="2" t="s">
        <v>15</v>
      </c>
      <c r="G852" s="2" t="s">
        <v>627</v>
      </c>
      <c r="H852" s="2" t="s">
        <v>101</v>
      </c>
      <c r="I852" s="2" t="str">
        <f>IFERROR(__xludf.DUMMYFUNCTION("GOOGLETRANSLATE(C852,""fr"",""en"")"),"I am satisfied with the Servie offered by the Olivier Assurance. The prices are very affordable. Being a young driver, the insurance olive tree is perfect automotive insurance for me.")</f>
        <v>I am satisfied with the Servie offered by the Olivier Assurance. The prices are very affordable. Being a young driver, the insurance olive tree is perfect automotive insurance for me.</v>
      </c>
    </row>
    <row r="853" ht="15.75" customHeight="1">
      <c r="A853" s="2">
        <v>1.0</v>
      </c>
      <c r="B853" s="2" t="s">
        <v>2335</v>
      </c>
      <c r="C853" s="2" t="s">
        <v>2336</v>
      </c>
      <c r="D853" s="2" t="s">
        <v>339</v>
      </c>
      <c r="E853" s="2" t="s">
        <v>45</v>
      </c>
      <c r="F853" s="2" t="s">
        <v>15</v>
      </c>
      <c r="G853" s="2" t="s">
        <v>2337</v>
      </c>
      <c r="H853" s="2" t="s">
        <v>1036</v>
      </c>
      <c r="I853" s="2" t="str">
        <f>IFERROR(__xludf.DUMMYFUNCTION("GOOGLETRANSLATE(C853,""fr"",""en"")"),"Value for money to review")</f>
        <v>Value for money to review</v>
      </c>
    </row>
    <row r="854" ht="15.75" customHeight="1">
      <c r="A854" s="2">
        <v>1.0</v>
      </c>
      <c r="B854" s="2" t="s">
        <v>2338</v>
      </c>
      <c r="C854" s="2" t="s">
        <v>2339</v>
      </c>
      <c r="D854" s="2" t="s">
        <v>39</v>
      </c>
      <c r="E854" s="2" t="s">
        <v>14</v>
      </c>
      <c r="F854" s="2" t="s">
        <v>15</v>
      </c>
      <c r="G854" s="2" t="s">
        <v>2340</v>
      </c>
      <c r="H854" s="2" t="s">
        <v>847</v>
      </c>
      <c r="I854" s="2" t="str">
        <f>IFERROR(__xludf.DUMMYFUNCTION("GOOGLETRANSLATE(C854,""fr"",""en"")"),"Very bad assurance that throws you for buying a car outside of France on and well in Europe, no. They make false parts and an aggressiveness not acceptable to you to see.")</f>
        <v>Very bad assurance that throws you for buying a car outside of France on and well in Europe, no. They make false parts and an aggressiveness not acceptable to you to see.</v>
      </c>
    </row>
    <row r="855" ht="15.75" customHeight="1">
      <c r="A855" s="2">
        <v>2.0</v>
      </c>
      <c r="B855" s="2" t="s">
        <v>2341</v>
      </c>
      <c r="C855" s="2" t="s">
        <v>2342</v>
      </c>
      <c r="D855" s="2" t="s">
        <v>39</v>
      </c>
      <c r="E855" s="2" t="s">
        <v>14</v>
      </c>
      <c r="F855" s="2" t="s">
        <v>15</v>
      </c>
      <c r="G855" s="2" t="s">
        <v>2343</v>
      </c>
      <c r="H855" s="2" t="s">
        <v>476</v>
      </c>
      <c r="I855" s="2" t="str">
        <f>IFERROR(__xludf.DUMMYFUNCTION("GOOGLETRANSLATE(C855,""fr"",""en"")"),"Attractive price for new customers. I have been at DA for several years, my subscription has increased every year ...
When I make a simulation on their site I am told a lower contribution of more than 200 € ... I contacted customer service, but no respon"&amp;"se from them, strangely ....
On the sinister side, only one in more than 4 years, someone returned to my car is fled. So I declared an unidentified third -party disaster and therefore frankness ...
Attention side followed do not count on them ... My"&amp;" car remained blocked at the convenience store for several days, because the claim service forgot to indicate where to deposit the car for repairs ...
Fortunately I intervened (garage/convenience store) otherwise she would have stayed there. Subsequently"&amp;" I managed everything with the garage, after 3 weeks of delay I have a service call following satisfaction note = 1, the person in charge of my file does not even know that my car was repaired and delivered In a few days ... it's scary anyway!
I have s"&amp;"ubscribed to the serenity pack that you are sold very well, by indicating that you have the right to a loan vehicle in the event of a claim and everything and everything. Please note that the vehicle is loaned by the approved garage and if they have a veh"&amp;"icle available and only once the repairs have started. This pack is worth nothing ...
Very disappointed with the sinister monitoring, it may be that I, but I expected more information from them: cost of repairs, deadlines, forcing to have a loan vehicl"&amp;"e etc ... basically pay your subscription , your franchises and get out of it!")</f>
        <v>Attractive price for new customers. I have been at DA for several years, my subscription has increased every year ...
When I make a simulation on their site I am told a lower contribution of more than 200 € ... I contacted customer service, but no response from them, strangely ....
On the sinister side, only one in more than 4 years, someone returned to my car is fled. So I declared an unidentified third -party disaster and therefore frankness ...
Attention side followed do not count on them ... My car remained blocked at the convenience store for several days, because the claim service forgot to indicate where to deposit the car for repairs ...
Fortunately I intervened (garage/convenience store) otherwise she would have stayed there. Subsequently I managed everything with the garage, after 3 weeks of delay I have a service call following satisfaction note = 1, the person in charge of my file does not even know that my car was repaired and delivered In a few days ... it's scary anyway!
I have subscribed to the serenity pack that you are sold very well, by indicating that you have the right to a loan vehicle in the event of a claim and everything and everything. Please note that the vehicle is loaned by the approved garage and if they have a vehicle available and only once the repairs have started. This pack is worth nothing ...
Very disappointed with the sinister monitoring, it may be that I, but I expected more information from them: cost of repairs, deadlines, forcing to have a loan vehicle etc ... basically pay your subscription , your franchises and get out of it!</v>
      </c>
    </row>
    <row r="856" ht="15.75" customHeight="1">
      <c r="A856" s="2">
        <v>2.0</v>
      </c>
      <c r="B856" s="2" t="s">
        <v>2344</v>
      </c>
      <c r="C856" s="2" t="s">
        <v>2345</v>
      </c>
      <c r="D856" s="2" t="s">
        <v>20</v>
      </c>
      <c r="E856" s="2" t="s">
        <v>50</v>
      </c>
      <c r="F856" s="2" t="s">
        <v>15</v>
      </c>
      <c r="G856" s="2" t="s">
        <v>1837</v>
      </c>
      <c r="H856" s="2" t="s">
        <v>120</v>
      </c>
      <c r="I856" s="2" t="str">
        <f>IFERROR(__xludf.DUMMYFUNCTION("GOOGLETRANSLATE(C856,""fr"",""en"")"),"Maaf insurance is 70 years old and supports companies new slogan 2021 disappointing, having a ten -year guarantee which is nonexistent on a product carried out by a company provided at home and not assuming anything. More than 25 years that I am customer "&amp;"too, I am waiting for The Maaaf house insurance expert, it really makes you want to stay.")</f>
        <v>Maaf insurance is 70 years old and supports companies new slogan 2021 disappointing, having a ten -year guarantee which is nonexistent on a product carried out by a company provided at home and not assuming anything. More than 25 years that I am customer too, I am waiting for The Maaaf house insurance expert, it really makes you want to stay.</v>
      </c>
    </row>
    <row r="857" ht="15.75" customHeight="1">
      <c r="A857" s="2">
        <v>1.0</v>
      </c>
      <c r="B857" s="2" t="s">
        <v>2346</v>
      </c>
      <c r="C857" s="2" t="s">
        <v>2347</v>
      </c>
      <c r="D857" s="2" t="s">
        <v>914</v>
      </c>
      <c r="E857" s="2" t="s">
        <v>50</v>
      </c>
      <c r="F857" s="2" t="s">
        <v>15</v>
      </c>
      <c r="G857" s="2" t="s">
        <v>2348</v>
      </c>
      <c r="H857" s="2" t="s">
        <v>1459</v>
      </c>
      <c r="I857" s="2" t="str">
        <f>IFERROR(__xludf.DUMMYFUNCTION("GOOGLETRANSLATE(C857,""fr"",""en"")"),"Groupama makes a quote, we accept the contract at a defined annual price. When paying, op the price of the contract increases ... and it is normal that: gifts of January 1.")</f>
        <v>Groupama makes a quote, we accept the contract at a defined annual price. When paying, op the price of the contract increases ... and it is normal that: gifts of January 1.</v>
      </c>
    </row>
    <row r="858" ht="15.75" customHeight="1">
      <c r="A858" s="2">
        <v>5.0</v>
      </c>
      <c r="B858" s="2" t="s">
        <v>2349</v>
      </c>
      <c r="C858" s="2" t="s">
        <v>2350</v>
      </c>
      <c r="D858" s="2" t="s">
        <v>30</v>
      </c>
      <c r="E858" s="2" t="s">
        <v>31</v>
      </c>
      <c r="F858" s="2" t="s">
        <v>15</v>
      </c>
      <c r="G858" s="2" t="s">
        <v>2132</v>
      </c>
      <c r="H858" s="2" t="s">
        <v>120</v>
      </c>
      <c r="I858" s="2" t="str">
        <f>IFERROR(__xludf.DUMMYFUNCTION("GOOGLETRANSLATE(C858,""fr"",""en"")"),"The prices are very competitive and a quick service. Much cheaper than all the insurance of large groups and with just as many insurance options.")</f>
        <v>The prices are very competitive and a quick service. Much cheaper than all the insurance of large groups and with just as many insurance options.</v>
      </c>
    </row>
    <row r="859" ht="15.75" customHeight="1">
      <c r="A859" s="2">
        <v>2.0</v>
      </c>
      <c r="B859" s="2" t="s">
        <v>2351</v>
      </c>
      <c r="C859" s="2" t="s">
        <v>2352</v>
      </c>
      <c r="D859" s="2" t="s">
        <v>107</v>
      </c>
      <c r="E859" s="2" t="s">
        <v>45</v>
      </c>
      <c r="F859" s="2" t="s">
        <v>15</v>
      </c>
      <c r="G859" s="2" t="s">
        <v>1136</v>
      </c>
      <c r="H859" s="2" t="s">
        <v>109</v>
      </c>
      <c r="I859" s="2" t="str">
        <f>IFERROR(__xludf.DUMMYFUNCTION("GOOGLETRANSLATE(C859,""fr"",""en"")"),"Hello reimbursements are slowly a month of time in general as soon as we receive on the Social Security site 70 % reimbursed the 30 % of Neoliane Health Tarden, this sometimes takes a month before receiving the sum on the account This is not normal and wh"&amp;"en you point them out by sending them by email all the supporting documents for bank card plus the statement of social security plus the receipt set to the examination, they say that it is missing a document is Really make fun of the world !!! From the en"&amp;"d of September they will receive my registered letter from termination there should not be exaggerated! Mutual to flee because you will be annoyed all year ..... and so on")</f>
        <v>Hello reimbursements are slowly a month of time in general as soon as we receive on the Social Security site 70 % reimbursed the 30 % of Neoliane Health Tarden, this sometimes takes a month before receiving the sum on the account This is not normal and when you point them out by sending them by email all the supporting documents for bank card plus the statement of social security plus the receipt set to the examination, they say that it is missing a document is Really make fun of the world !!! From the end of September they will receive my registered letter from termination there should not be exaggerated! Mutual to flee because you will be annoyed all year ..... and so on</v>
      </c>
    </row>
    <row r="860" ht="15.75" customHeight="1">
      <c r="A860" s="2">
        <v>3.0</v>
      </c>
      <c r="B860" s="2" t="s">
        <v>2353</v>
      </c>
      <c r="C860" s="2" t="s">
        <v>2354</v>
      </c>
      <c r="D860" s="2" t="s">
        <v>39</v>
      </c>
      <c r="E860" s="2" t="s">
        <v>14</v>
      </c>
      <c r="F860" s="2" t="s">
        <v>15</v>
      </c>
      <c r="G860" s="2" t="s">
        <v>2355</v>
      </c>
      <c r="H860" s="2" t="s">
        <v>543</v>
      </c>
      <c r="I860" s="2" t="str">
        <f>IFERROR(__xludf.DUMMYFUNCTION("GOOGLETRANSLATE(C860,""fr"",""en"")"),"The price increases a lot each year. We cannot change the dates of monthly samples.")</f>
        <v>The price increases a lot each year. We cannot change the dates of monthly samples.</v>
      </c>
    </row>
    <row r="861" ht="15.75" customHeight="1">
      <c r="A861" s="2">
        <v>3.0</v>
      </c>
      <c r="B861" s="2" t="s">
        <v>2356</v>
      </c>
      <c r="C861" s="2" t="s">
        <v>2357</v>
      </c>
      <c r="D861" s="2" t="s">
        <v>39</v>
      </c>
      <c r="E861" s="2" t="s">
        <v>14</v>
      </c>
      <c r="F861" s="2" t="s">
        <v>15</v>
      </c>
      <c r="G861" s="2" t="s">
        <v>908</v>
      </c>
      <c r="H861" s="2" t="s">
        <v>84</v>
      </c>
      <c r="I861" s="2" t="str">
        <f>IFERROR(__xludf.DUMMYFUNCTION("GOOGLETRANSLATE(C861,""fr"",""en"")"),"Lack of precision on date coordination with my old AXA contract to terminate by you. I am provided until 12/31/2021 and does not want my guarantees overlapping.")</f>
        <v>Lack of precision on date coordination with my old AXA contract to terminate by you. I am provided until 12/31/2021 and does not want my guarantees overlapping.</v>
      </c>
    </row>
    <row r="862" ht="15.75" customHeight="1">
      <c r="A862" s="2">
        <v>3.0</v>
      </c>
      <c r="B862" s="2" t="s">
        <v>2358</v>
      </c>
      <c r="C862" s="2" t="s">
        <v>2359</v>
      </c>
      <c r="D862" s="2" t="s">
        <v>25</v>
      </c>
      <c r="E862" s="2" t="s">
        <v>14</v>
      </c>
      <c r="F862" s="2" t="s">
        <v>15</v>
      </c>
      <c r="G862" s="2" t="s">
        <v>1245</v>
      </c>
      <c r="H862" s="2" t="s">
        <v>101</v>
      </c>
      <c r="I862" s="2" t="str">
        <f>IFERROR(__xludf.DUMMYFUNCTION("GOOGLETRANSLATE(C862,""fr"",""en"")"),"I am satisfied with the service
The price suits me perfectly and it's practical and simple. I can recommend other people I know.")</f>
        <v>I am satisfied with the service
The price suits me perfectly and it's practical and simple. I can recommend other people I know.</v>
      </c>
    </row>
    <row r="863" ht="15.75" customHeight="1">
      <c r="A863" s="2">
        <v>1.0</v>
      </c>
      <c r="B863" s="2" t="s">
        <v>2360</v>
      </c>
      <c r="C863" s="2" t="s">
        <v>2361</v>
      </c>
      <c r="D863" s="2" t="s">
        <v>39</v>
      </c>
      <c r="E863" s="2" t="s">
        <v>14</v>
      </c>
      <c r="F863" s="2" t="s">
        <v>15</v>
      </c>
      <c r="G863" s="2" t="s">
        <v>2362</v>
      </c>
      <c r="H863" s="2" t="s">
        <v>424</v>
      </c>
      <c r="I863" s="2" t="str">
        <f>IFERROR(__xludf.DUMMYFUNCTION("GOOGLETRANSLATE(C863,""fr"",""en"")"),"I am disappointed, normally I benefited from a check for € 20 sponsorship, for 2 months I received nothing I contacted the insurance they asked me to send a letter per position (I have nothing received for the moment) basically to benefit from 20 euros yo"&amp;"u must send a letter to 5 euros")</f>
        <v>I am disappointed, normally I benefited from a check for € 20 sponsorship, for 2 months I received nothing I contacted the insurance they asked me to send a letter per position (I have nothing received for the moment) basically to benefit from 20 euros you must send a letter to 5 euros</v>
      </c>
    </row>
    <row r="864" ht="15.75" customHeight="1">
      <c r="A864" s="2">
        <v>1.0</v>
      </c>
      <c r="B864" s="2" t="s">
        <v>2363</v>
      </c>
      <c r="C864" s="2" t="s">
        <v>2364</v>
      </c>
      <c r="D864" s="2" t="s">
        <v>1905</v>
      </c>
      <c r="E864" s="2" t="s">
        <v>429</v>
      </c>
      <c r="F864" s="2" t="s">
        <v>15</v>
      </c>
      <c r="G864" s="2" t="s">
        <v>507</v>
      </c>
      <c r="H864" s="2" t="s">
        <v>77</v>
      </c>
      <c r="I864" s="2" t="str">
        <f>IFERROR(__xludf.DUMMYFUNCTION("GOOGLETRANSLATE(C864,""fr"",""en"")"),"I unfortunately cannot judge this insurance on the prices, since it exercises by default discrimination against people with disabilities without explanation.
They asked me for documents concerning my handicap, and ruled by a firm and final ""no"" before "&amp;"even receiving the documents and therefore being able to judge my real state of health!
As soon as you check a ""health problems"" box, they refuse you without explanation
Discriminatory, unworthy procedure!")</f>
        <v>I unfortunately cannot judge this insurance on the prices, since it exercises by default discrimination against people with disabilities without explanation.
They asked me for documents concerning my handicap, and ruled by a firm and final "no" before even receiving the documents and therefore being able to judge my real state of health!
As soon as you check a "health problems" box, they refuse you without explanation
Discriminatory, unworthy procedure!</v>
      </c>
    </row>
    <row r="865" ht="15.75" customHeight="1">
      <c r="A865" s="2">
        <v>1.0</v>
      </c>
      <c r="B865" s="2" t="s">
        <v>2365</v>
      </c>
      <c r="C865" s="2" t="s">
        <v>2366</v>
      </c>
      <c r="D865" s="2" t="s">
        <v>208</v>
      </c>
      <c r="E865" s="2" t="s">
        <v>14</v>
      </c>
      <c r="F865" s="2" t="s">
        <v>15</v>
      </c>
      <c r="G865" s="2" t="s">
        <v>2367</v>
      </c>
      <c r="H865" s="2" t="s">
        <v>987</v>
      </c>
      <c r="I865" s="2" t="str">
        <f>IFERROR(__xludf.DUMMYFUNCTION("GOOGLETRANSLATE(C865,""fr"",""en"")"),"To you who read this comment, if I have one advice to give you it is not to register for their products because the day you have a problem, you will be alone without assistance without anything at all and they will do of their best to complicate your life"&amp;" and not indemnify you")</f>
        <v>To you who read this comment, if I have one advice to give you it is not to register for their products because the day you have a problem, you will be alone without assistance without anything at all and they will do of their best to complicate your life and not indemnify you</v>
      </c>
    </row>
    <row r="866" ht="15.75" customHeight="1">
      <c r="A866" s="2">
        <v>5.0</v>
      </c>
      <c r="B866" s="2" t="s">
        <v>2368</v>
      </c>
      <c r="C866" s="2" t="s">
        <v>2369</v>
      </c>
      <c r="D866" s="2" t="s">
        <v>107</v>
      </c>
      <c r="E866" s="2" t="s">
        <v>45</v>
      </c>
      <c r="F866" s="2" t="s">
        <v>15</v>
      </c>
      <c r="G866" s="2" t="s">
        <v>463</v>
      </c>
      <c r="H866" s="2" t="s">
        <v>212</v>
      </c>
      <c r="I866" s="2" t="str">
        <f>IFERROR(__xludf.DUMMYFUNCTION("GOOGLETRANSLATE(C866,""fr"",""en"")"),"I wanted to thank Ms. Sara M for her kindness and her professionalism she was listening to and see you soon a solution
Thanks again")</f>
        <v>I wanted to thank Ms. Sara M for her kindness and her professionalism she was listening to and see you soon a solution
Thanks again</v>
      </c>
    </row>
    <row r="867" ht="15.75" customHeight="1">
      <c r="A867" s="2">
        <v>4.0</v>
      </c>
      <c r="B867" s="2" t="s">
        <v>2370</v>
      </c>
      <c r="C867" s="2" t="s">
        <v>2371</v>
      </c>
      <c r="D867" s="2" t="s">
        <v>44</v>
      </c>
      <c r="E867" s="2" t="s">
        <v>45</v>
      </c>
      <c r="F867" s="2" t="s">
        <v>15</v>
      </c>
      <c r="G867" s="2" t="s">
        <v>2372</v>
      </c>
      <c r="H867" s="2" t="s">
        <v>594</v>
      </c>
      <c r="I867" s="2" t="str">
        <f>IFERROR(__xludf.DUMMYFUNCTION("GOOGLETRANSLATE(C867,""fr"",""en"")"),"I am very satisfied with the Cegema service, I recommend it")</f>
        <v>I am very satisfied with the Cegema service, I recommend it</v>
      </c>
    </row>
    <row r="868" ht="15.75" customHeight="1">
      <c r="A868" s="2">
        <v>1.0</v>
      </c>
      <c r="B868" s="2" t="s">
        <v>2373</v>
      </c>
      <c r="C868" s="2" t="s">
        <v>2374</v>
      </c>
      <c r="D868" s="2" t="s">
        <v>2375</v>
      </c>
      <c r="E868" s="2" t="s">
        <v>233</v>
      </c>
      <c r="F868" s="2" t="s">
        <v>15</v>
      </c>
      <c r="G868" s="2" t="s">
        <v>2376</v>
      </c>
      <c r="H868" s="2" t="s">
        <v>624</v>
      </c>
      <c r="I868" s="2" t="str">
        <f>IFERROR(__xludf.DUMMYFUNCTION("GOOGLETRANSLATE(C868,""fr"",""en"")"),"My 25 -year contract comes to an end, I was asking for my transfer advisor all the sums, the dossier dragged, reminders without success! 2 months after still pending !!!")</f>
        <v>My 25 -year contract comes to an end, I was asking for my transfer advisor all the sums, the dossier dragged, reminders without success! 2 months after still pending !!!</v>
      </c>
    </row>
    <row r="869" ht="15.75" customHeight="1">
      <c r="A869" s="2">
        <v>2.0</v>
      </c>
      <c r="B869" s="2" t="s">
        <v>2377</v>
      </c>
      <c r="C869" s="2" t="s">
        <v>2378</v>
      </c>
      <c r="D869" s="2" t="s">
        <v>39</v>
      </c>
      <c r="E869" s="2" t="s">
        <v>14</v>
      </c>
      <c r="F869" s="2" t="s">
        <v>15</v>
      </c>
      <c r="G869" s="2" t="s">
        <v>2379</v>
      </c>
      <c r="H869" s="2" t="s">
        <v>178</v>
      </c>
      <c r="I869" s="2" t="str">
        <f>IFERROR(__xludf.DUMMYFUNCTION("GOOGLETRANSLATE(C869,""fr"",""en"")"),"In fact, it is a very bad insurer, if you can call it an insurer, rather a hoster.
You make an online quote, you call them, and already it is no longer the same price, you already have for about fifty euros of options that you did not ask but we tell you"&amp;" that you have Check out unfortunately, you are right for me for a fool! And as soon as you ask them a question that comes out of their programmed frame of prepared answers, there is no one left, when you are not cut the line. They are really lamentable, "&amp;"they are liars! To avoid.")</f>
        <v>In fact, it is a very bad insurer, if you can call it an insurer, rather a hoster.
You make an online quote, you call them, and already it is no longer the same price, you already have for about fifty euros of options that you did not ask but we tell you that you have Check out unfortunately, you are right for me for a fool! And as soon as you ask them a question that comes out of their programmed frame of prepared answers, there is no one left, when you are not cut the line. They are really lamentable, they are liars! To avoid.</v>
      </c>
    </row>
    <row r="870" ht="15.75" customHeight="1">
      <c r="A870" s="2">
        <v>1.0</v>
      </c>
      <c r="B870" s="2" t="s">
        <v>2380</v>
      </c>
      <c r="C870" s="2" t="s">
        <v>2381</v>
      </c>
      <c r="D870" s="2" t="s">
        <v>25</v>
      </c>
      <c r="E870" s="2" t="s">
        <v>14</v>
      </c>
      <c r="F870" s="2" t="s">
        <v>15</v>
      </c>
      <c r="G870" s="2" t="s">
        <v>2382</v>
      </c>
      <c r="H870" s="2" t="s">
        <v>178</v>
      </c>
      <c r="I870" s="2" t="str">
        <f>IFERROR(__xludf.DUMMYFUNCTION("GOOGLETRANSLATE(C870,""fr"",""en"")"),"A real shame at all levels, after non -responsible disaster I always await after 2 months the reimbursement of the gray card as the law of the civil code provides for all non -responsible victims, the repayment also of the insurance pro rata and the renta"&amp;"l 10 days of a vehicle for deprivation of enjoyment.
No answers to my emails from the disaster, a completely ghostly customer service, employees on the arrogant line which gives you the impression of being against you when you are not responsible.
I put"&amp;" them in formal notice and Monday assignment in court with ename and interest.
Do not hesitate to file a complaint, you have websites for that that will do it for you less than 100 ers with avocado.
I am with 2 fingers to go and pull their ears at their"&amp;" Lilles desk.
Flee this insurance, here we are in France not in England.")</f>
        <v>A real shame at all levels, after non -responsible disaster I always await after 2 months the reimbursement of the gray card as the law of the civil code provides for all non -responsible victims, the repayment also of the insurance pro rata and the rental 10 days of a vehicle for deprivation of enjoyment.
No answers to my emails from the disaster, a completely ghostly customer service, employees on the arrogant line which gives you the impression of being against you when you are not responsible.
I put them in formal notice and Monday assignment in court with ename and interest.
Do not hesitate to file a complaint, you have websites for that that will do it for you less than 100 ers with avocado.
I am with 2 fingers to go and pull their ears at their Lilles desk.
Flee this insurance, here we are in France not in England.</v>
      </c>
    </row>
    <row r="871" ht="15.75" customHeight="1">
      <c r="A871" s="2">
        <v>1.0</v>
      </c>
      <c r="B871" s="2" t="s">
        <v>2383</v>
      </c>
      <c r="C871" s="2" t="s">
        <v>2384</v>
      </c>
      <c r="D871" s="2" t="s">
        <v>39</v>
      </c>
      <c r="E871" s="2" t="s">
        <v>14</v>
      </c>
      <c r="F871" s="2" t="s">
        <v>15</v>
      </c>
      <c r="G871" s="2" t="s">
        <v>101</v>
      </c>
      <c r="H871" s="2" t="s">
        <v>101</v>
      </c>
      <c r="I871" s="2" t="str">
        <f>IFERROR(__xludf.DUMMYFUNCTION("GOOGLETRANSLATE(C871,""fr"",""en"")"),"This is my intention to cancel the contract. It is around € 159 too expensive. I got prices from another insurance service € 204.23. If you cannot reduce the price .......")</f>
        <v>This is my intention to cancel the contract. It is around € 159 too expensive. I got prices from another insurance service € 204.23. If you cannot reduce the price .......</v>
      </c>
    </row>
    <row r="872" ht="15.75" customHeight="1">
      <c r="A872" s="2">
        <v>1.0</v>
      </c>
      <c r="B872" s="2" t="s">
        <v>2385</v>
      </c>
      <c r="C872" s="2" t="s">
        <v>2386</v>
      </c>
      <c r="D872" s="2" t="s">
        <v>259</v>
      </c>
      <c r="E872" s="2" t="s">
        <v>96</v>
      </c>
      <c r="F872" s="2" t="s">
        <v>15</v>
      </c>
      <c r="G872" s="2" t="s">
        <v>2387</v>
      </c>
      <c r="H872" s="2" t="s">
        <v>594</v>
      </c>
      <c r="I872" s="2" t="str">
        <f>IFERROR(__xludf.DUMMYFUNCTION("GOOGLETRANSLATE(C872,""fr"",""en"")"),"The ACTIPLUS contract which is no longer marketed announces a minimum interest rate guaranteed for 2020 of 0.00% if if the regulations say which? No clarification on the other hand in the event of payment, 3% are levied and in the event of withdrawal with"&amp;" the legal costs we also lose. A request in advance at the rate of 2.3%... Nice gain for Macif even if I consider that it is normal that there is remuneration, it would still not be necessary to exaggerate. I have just experienced it, argument of the Maci"&amp;"f with the yield The rate is less, except that they have forgotten to say that the guaranteed yield would be precisely 0.00%. Today we lose money. The first subscribers of which I am a part are the turkeys of the farce. Our funds are ""captured"" because "&amp;"closing this insurance amounts to losing tax advantages after 8 years. Insured for 27 years I consider this as a hold up. Macif has our funds, make them work but no longer pay us. Opt for an option with UCs divided into 80/20 very ricked given the yields,"&amp;" I tried it is zero. To flee. Do not entrust our money to anyone. That the Macif continues to sell auto insurance, house, but not life insurance.")</f>
        <v>The ACTIPLUS contract which is no longer marketed announces a minimum interest rate guaranteed for 2020 of 0.00% if if the regulations say which? No clarification on the other hand in the event of payment, 3% are levied and in the event of withdrawal with the legal costs we also lose. A request in advance at the rate of 2.3%... Nice gain for Macif even if I consider that it is normal that there is remuneration, it would still not be necessary to exaggerate. I have just experienced it, argument of the Macif with the yield The rate is less, except that they have forgotten to say that the guaranteed yield would be precisely 0.00%. Today we lose money. The first subscribers of which I am a part are the turkeys of the farce. Our funds are "captured" because closing this insurance amounts to losing tax advantages after 8 years. Insured for 27 years I consider this as a hold up. Macif has our funds, make them work but no longer pay us. Opt for an option with UCs divided into 80/20 very ricked given the yields, I tried it is zero. To flee. Do not entrust our money to anyone. That the Macif continues to sell auto insurance, house, but not life insurance.</v>
      </c>
    </row>
    <row r="873" ht="15.75" customHeight="1">
      <c r="A873" s="2">
        <v>5.0</v>
      </c>
      <c r="B873" s="2" t="s">
        <v>2388</v>
      </c>
      <c r="C873" s="2" t="s">
        <v>2389</v>
      </c>
      <c r="D873" s="2" t="s">
        <v>25</v>
      </c>
      <c r="E873" s="2" t="s">
        <v>14</v>
      </c>
      <c r="F873" s="2" t="s">
        <v>15</v>
      </c>
      <c r="G873" s="2" t="s">
        <v>664</v>
      </c>
      <c r="H873" s="2" t="s">
        <v>77</v>
      </c>
      <c r="I873" s="2" t="str">
        <f>IFERROR(__xludf.DUMMYFUNCTION("GOOGLETRANSLATE(C873,""fr"",""en"")"),"I am very satisfied with the reception as well as the prices. An advisor to the top of clear information. I am also satisfied with the ease of electronic signature as well as the speed to do all the steps.")</f>
        <v>I am very satisfied with the reception as well as the prices. An advisor to the top of clear information. I am also satisfied with the ease of electronic signature as well as the speed to do all the steps.</v>
      </c>
    </row>
    <row r="874" ht="15.75" customHeight="1">
      <c r="A874" s="2">
        <v>5.0</v>
      </c>
      <c r="B874" s="2" t="s">
        <v>2390</v>
      </c>
      <c r="C874" s="2" t="s">
        <v>2391</v>
      </c>
      <c r="D874" s="2" t="s">
        <v>39</v>
      </c>
      <c r="E874" s="2" t="s">
        <v>14</v>
      </c>
      <c r="F874" s="2" t="s">
        <v>15</v>
      </c>
      <c r="G874" s="2" t="s">
        <v>1248</v>
      </c>
      <c r="H874" s="2" t="s">
        <v>202</v>
      </c>
      <c r="I874" s="2" t="str">
        <f>IFERROR(__xludf.DUMMYFUNCTION("GOOGLETRANSLATE(C874,""fr"",""en"")"),"Satisfied with the service.
Satisfied with the price.
Friendly website.
Wait for the details of the contract with values ​​of taking into account and amounts of. deductible")</f>
        <v>Satisfied with the service.
Satisfied with the price.
Friendly website.
Wait for the details of the contract with values ​​of taking into account and amounts of. deductible</v>
      </c>
    </row>
    <row r="875" ht="15.75" customHeight="1">
      <c r="A875" s="2">
        <v>4.0</v>
      </c>
      <c r="B875" s="2" t="s">
        <v>2392</v>
      </c>
      <c r="C875" s="2" t="s">
        <v>2393</v>
      </c>
      <c r="D875" s="2" t="s">
        <v>39</v>
      </c>
      <c r="E875" s="2" t="s">
        <v>14</v>
      </c>
      <c r="F875" s="2" t="s">
        <v>15</v>
      </c>
      <c r="G875" s="2" t="s">
        <v>2394</v>
      </c>
      <c r="H875" s="2" t="s">
        <v>84</v>
      </c>
      <c r="I875" s="2" t="str">
        <f>IFERROR(__xludf.DUMMYFUNCTION("GOOGLETRANSLATE(C875,""fr"",""en"")"),"Ras I am satisfied with this very well placed price level insurance I have not yet dealt with other services. I highly recommend this insurance")</f>
        <v>Ras I am satisfied with this very well placed price level insurance I have not yet dealt with other services. I highly recommend this insurance</v>
      </c>
    </row>
    <row r="876" ht="15.75" customHeight="1">
      <c r="A876" s="2">
        <v>2.0</v>
      </c>
      <c r="B876" s="2" t="s">
        <v>2395</v>
      </c>
      <c r="C876" s="2" t="s">
        <v>2396</v>
      </c>
      <c r="D876" s="2" t="s">
        <v>30</v>
      </c>
      <c r="E876" s="2" t="s">
        <v>31</v>
      </c>
      <c r="F876" s="2" t="s">
        <v>15</v>
      </c>
      <c r="G876" s="2" t="s">
        <v>2397</v>
      </c>
      <c r="H876" s="2" t="s">
        <v>131</v>
      </c>
      <c r="I876" s="2" t="str">
        <f>IFERROR(__xludf.DUMMYFUNCTION("GOOGLETRANSLATE(C876,""fr"",""en"")"),"I just had on the phone an advisor who wishes me a good day with the Maaf and who clings me practically with the right nose by what I asked her for information on an April quote and as I told him that the Maaf They were more ""generous in terms of compens"&amp;"ation""
Curious as a way of doing
April to avoid absolutely ==&gt; Too bad")</f>
        <v>I just had on the phone an advisor who wishes me a good day with the Maaf and who clings me practically with the right nose by what I asked her for information on an April quote and as I told him that the Maaf They were more "generous in terms of compensation"
Curious as a way of doing
April to avoid absolutely ==&gt; Too bad</v>
      </c>
    </row>
    <row r="877" ht="15.75" customHeight="1">
      <c r="A877" s="2">
        <v>4.0</v>
      </c>
      <c r="B877" s="2" t="s">
        <v>2398</v>
      </c>
      <c r="C877" s="2" t="s">
        <v>2399</v>
      </c>
      <c r="D877" s="2" t="s">
        <v>35</v>
      </c>
      <c r="E877" s="2" t="s">
        <v>31</v>
      </c>
      <c r="F877" s="2" t="s">
        <v>15</v>
      </c>
      <c r="G877" s="2" t="s">
        <v>1877</v>
      </c>
      <c r="H877" s="2" t="s">
        <v>17</v>
      </c>
      <c r="I877" s="2" t="str">
        <f>IFERROR(__xludf.DUMMYFUNCTION("GOOGLETRANSLATE(C877,""fr"",""en"")"),"The service is very simple to understand the prices are correct that taking me 5 min maximum to have good online insurance that supports me
Thank you AMV")</f>
        <v>The service is very simple to understand the prices are correct that taking me 5 min maximum to have good online insurance that supports me
Thank you AMV</v>
      </c>
    </row>
    <row r="878" ht="15.75" customHeight="1">
      <c r="A878" s="2">
        <v>1.0</v>
      </c>
      <c r="B878" s="2" t="s">
        <v>2400</v>
      </c>
      <c r="C878" s="2" t="s">
        <v>2401</v>
      </c>
      <c r="D878" s="2" t="s">
        <v>293</v>
      </c>
      <c r="E878" s="2" t="s">
        <v>45</v>
      </c>
      <c r="F878" s="2" t="s">
        <v>15</v>
      </c>
      <c r="G878" s="2" t="s">
        <v>443</v>
      </c>
      <c r="H878" s="2" t="s">
        <v>27</v>
      </c>
      <c r="I878" s="2" t="str">
        <f>IFERROR(__xludf.DUMMYFUNCTION("GOOGLETRANSLATE(C878,""fr"",""en"")"),"These are people who have no ethics with regard to practices towards their members
They have just applied to me a 14%increase, refusing to give me the reasons and by answering me that they alone are master of fixing the prices while for my side nothing h"&amp;"as changed in my situation of retiree
I discovered this increase by an email which was addressed to me on 04/11/21 The schedule being dated 30/03/21 and for an immediate application since I was debited today 13/04/21
It is therefore with thug practices "&amp;"that these people act
I highly recommend to avoid this mutual insurance company, moreover they are probably not governed by the mutualist code but by the code of insurers ....
")</f>
        <v>These are people who have no ethics with regard to practices towards their members
They have just applied to me a 14%increase, refusing to give me the reasons and by answering me that they alone are master of fixing the prices while for my side nothing has changed in my situation of retiree
I discovered this increase by an email which was addressed to me on 04/11/21 The schedule being dated 30/03/21 and for an immediate application since I was debited today 13/04/21
It is therefore with thug practices that these people act
I highly recommend to avoid this mutual insurance company, moreover they are probably not governed by the mutualist code but by the code of insurers ....
</v>
      </c>
    </row>
    <row r="879" ht="15.75" customHeight="1">
      <c r="A879" s="2">
        <v>5.0</v>
      </c>
      <c r="B879" s="2" t="s">
        <v>2402</v>
      </c>
      <c r="C879" s="2" t="s">
        <v>2403</v>
      </c>
      <c r="D879" s="2" t="s">
        <v>87</v>
      </c>
      <c r="E879" s="2" t="s">
        <v>14</v>
      </c>
      <c r="F879" s="2" t="s">
        <v>15</v>
      </c>
      <c r="G879" s="2" t="s">
        <v>2278</v>
      </c>
      <c r="H879" s="2" t="s">
        <v>1036</v>
      </c>
      <c r="I879" s="2" t="str">
        <f>IFERROR(__xludf.DUMMYFUNCTION("GOOGLETRANSLATE(C879,""fr"",""en"")"),"Very satisfied with your services. I had a non -responsible disaster and I was quickly reimbursed")</f>
        <v>Very satisfied with your services. I had a non -responsible disaster and I was quickly reimbursed</v>
      </c>
    </row>
    <row r="880" ht="15.75" customHeight="1">
      <c r="A880" s="2">
        <v>1.0</v>
      </c>
      <c r="B880" s="2" t="s">
        <v>2404</v>
      </c>
      <c r="C880" s="2" t="s">
        <v>2405</v>
      </c>
      <c r="D880" s="2" t="s">
        <v>1813</v>
      </c>
      <c r="E880" s="2" t="s">
        <v>429</v>
      </c>
      <c r="F880" s="2" t="s">
        <v>15</v>
      </c>
      <c r="G880" s="2" t="s">
        <v>2406</v>
      </c>
      <c r="H880" s="2" t="s">
        <v>159</v>
      </c>
      <c r="I880" s="2" t="str">
        <f>IFERROR(__xludf.DUMMYFUNCTION("GOOGLETRANSLATE(C880,""fr"",""en"")"),"Bank to avoid
Does not respect the right to change borrower insurance, invokes administrative and non -legal points which block operations. Establishment which does not respect its own commitments.
I asked for a postponement recently they sent me a file"&amp;" to return to them signed 10 days after its reception. The file was returned by express after the 10 days of beating, they replied that my shipment had been too late. This establishment is not serious. For 4 months I responded to all their conditions with"&amp;"out any results with ultimately a bank that ends up changing your mind suddenly. TO FLEE
")</f>
        <v>Bank to avoid
Does not respect the right to change borrower insurance, invokes administrative and non -legal points which block operations. Establishment which does not respect its own commitments.
I asked for a postponement recently they sent me a file to return to them signed 10 days after its reception. The file was returned by express after the 10 days of beating, they replied that my shipment had been too late. This establishment is not serious. For 4 months I responded to all their conditions without any results with ultimately a bank that ends up changing your mind suddenly. TO FLEE
</v>
      </c>
    </row>
    <row r="881" ht="15.75" customHeight="1">
      <c r="A881" s="2">
        <v>4.0</v>
      </c>
      <c r="B881" s="2" t="s">
        <v>2407</v>
      </c>
      <c r="C881" s="2" t="s">
        <v>2408</v>
      </c>
      <c r="D881" s="2" t="s">
        <v>25</v>
      </c>
      <c r="E881" s="2" t="s">
        <v>14</v>
      </c>
      <c r="F881" s="2" t="s">
        <v>15</v>
      </c>
      <c r="G881" s="2" t="s">
        <v>266</v>
      </c>
      <c r="H881" s="2" t="s">
        <v>27</v>
      </c>
      <c r="I881" s="2" t="str">
        <f>IFERROR(__xludf.DUMMYFUNCTION("GOOGLETRANSLATE(C881,""fr"",""en"")"),"For the moment has the subscription, that's good. I would give more my opinion to use when I need my insurance and not just when I sign and I pay.")</f>
        <v>For the moment has the subscription, that's good. I would give more my opinion to use when I need my insurance and not just when I sign and I pay.</v>
      </c>
    </row>
    <row r="882" ht="15.75" customHeight="1">
      <c r="A882" s="2">
        <v>1.0</v>
      </c>
      <c r="B882" s="2" t="s">
        <v>2409</v>
      </c>
      <c r="C882" s="2" t="s">
        <v>2410</v>
      </c>
      <c r="D882" s="2" t="s">
        <v>259</v>
      </c>
      <c r="E882" s="2" t="s">
        <v>50</v>
      </c>
      <c r="F882" s="2" t="s">
        <v>15</v>
      </c>
      <c r="G882" s="2" t="s">
        <v>2411</v>
      </c>
      <c r="H882" s="2" t="s">
        <v>124</v>
      </c>
      <c r="I882" s="2" t="str">
        <f>IFERROR(__xludf.DUMMYFUNCTION("GOOGLETRANSLATE(C882,""fr"",""en"")"),"Sinister 191342294 - Flight in our cellar.
A person has infiltrated our cellar by break -in 2 months ago. A mountain bike and mountain bike equipment has been stolen, value of new equipment, more than 2000 euros. The Macif refused to take care of the the"&amp;"ft of the equipment. I then wrote a complaint letter. New letter of refusal sent by the Macif. Reason for refusal ""A padlock cannot be considered a lock"".
I invite you to research the synonyms of the word ""padlock"", you will see that in many dictiona"&amp;"ries of synonyms, the word ""lock"" is one of the synonyms of the word ""padlock"".
I've been a Macif member for 15 years. I asked for several meetings in agency to discuss the subject, by phone, by email, unanswered. I tried to go to an agency, everyone"&amp;" refers the ball, ""it's the expert"", ""it's the complaint service"", etc., etc.
I still have the possibility of calling on a mediator (average time 3 months).
I let you get an idea, but for my part I will leave the Macif after 2 months of battle, such"&amp;" customer service should not be tolerated.")</f>
        <v>Sinister 191342294 - Flight in our cellar.
A person has infiltrated our cellar by break -in 2 months ago. A mountain bike and mountain bike equipment has been stolen, value of new equipment, more than 2000 euros. The Macif refused to take care of the theft of the equipment. I then wrote a complaint letter. New letter of refusal sent by the Macif. Reason for refusal "A padlock cannot be considered a lock".
I invite you to research the synonyms of the word "padlock", you will see that in many dictionaries of synonyms, the word "lock" is one of the synonyms of the word "padlock".
I've been a Macif member for 15 years. I asked for several meetings in agency to discuss the subject, by phone, by email, unanswered. I tried to go to an agency, everyone refers the ball, "it's the expert", "it's the complaint service", etc., etc.
I still have the possibility of calling on a mediator (average time 3 months).
I let you get an idea, but for my part I will leave the Macif after 2 months of battle, such customer service should not be tolerated.</v>
      </c>
    </row>
    <row r="883" ht="15.75" customHeight="1">
      <c r="A883" s="2">
        <v>5.0</v>
      </c>
      <c r="B883" s="2" t="s">
        <v>2412</v>
      </c>
      <c r="C883" s="2" t="s">
        <v>2413</v>
      </c>
      <c r="D883" s="2" t="s">
        <v>25</v>
      </c>
      <c r="E883" s="2" t="s">
        <v>14</v>
      </c>
      <c r="F883" s="2" t="s">
        <v>15</v>
      </c>
      <c r="G883" s="2" t="s">
        <v>1877</v>
      </c>
      <c r="H883" s="2" t="s">
        <v>17</v>
      </c>
      <c r="I883" s="2" t="str">
        <f>IFERROR(__xludf.DUMMYFUNCTION("GOOGLETRANSLATE(C883,""fr"",""en"")"),"I am satisfied with the service and the price is reasonable I will recommend this insurance to anyone both the young drivers and the enclosures")</f>
        <v>I am satisfied with the service and the price is reasonable I will recommend this insurance to anyone both the young drivers and the enclosures</v>
      </c>
    </row>
    <row r="884" ht="15.75" customHeight="1">
      <c r="A884" s="2">
        <v>2.0</v>
      </c>
      <c r="B884" s="2" t="s">
        <v>2414</v>
      </c>
      <c r="C884" s="2" t="s">
        <v>2415</v>
      </c>
      <c r="D884" s="2" t="s">
        <v>67</v>
      </c>
      <c r="E884" s="2" t="s">
        <v>14</v>
      </c>
      <c r="F884" s="2" t="s">
        <v>15</v>
      </c>
      <c r="G884" s="2" t="s">
        <v>130</v>
      </c>
      <c r="H884" s="2" t="s">
        <v>131</v>
      </c>
      <c r="I884" s="2" t="str">
        <f>IFERROR(__xludf.DUMMYFUNCTION("GOOGLETRANSLATE(C884,""fr"",""en"")"),"Following a hanging in a parking lot where the author was identified by two witnesses. The latter recognized the facts. After passing the expert three months later, appointed by insurance, no repair was taken into account.
I am assured of all risks.
 Th"&amp;"ank you insurance.
On the other hand to sponsor sporting events, they are present .....")</f>
        <v>Following a hanging in a parking lot where the author was identified by two witnesses. The latter recognized the facts. After passing the expert three months later, appointed by insurance, no repair was taken into account.
I am assured of all risks.
 Thank you insurance.
On the other hand to sponsor sporting events, they are present .....</v>
      </c>
    </row>
    <row r="885" ht="15.75" customHeight="1">
      <c r="A885" s="2">
        <v>5.0</v>
      </c>
      <c r="B885" s="2" t="s">
        <v>2416</v>
      </c>
      <c r="C885" s="2" t="s">
        <v>2417</v>
      </c>
      <c r="D885" s="2" t="s">
        <v>162</v>
      </c>
      <c r="E885" s="2" t="s">
        <v>45</v>
      </c>
      <c r="F885" s="2" t="s">
        <v>15</v>
      </c>
      <c r="G885" s="2" t="s">
        <v>687</v>
      </c>
      <c r="H885" s="2" t="s">
        <v>688</v>
      </c>
      <c r="I885" s="2" t="str">
        <f>IFERROR(__xludf.DUMMYFUNCTION("GOOGLETRANSLATE(C885,""fr"",""en"")"),"I had as contact on the phone Erika ""which perfectly met all my expectations and which provided me with great kindness the precicions that I expected. Member of the Mgen for many years (40) I admit that This mutelle poses some problems for me to terminat"&amp;"e the contract that binds me to them. It is not very ""regular ... !!!")</f>
        <v>I had as contact on the phone Erika "which perfectly met all my expectations and which provided me with great kindness the precicions that I expected. Member of the Mgen for many years (40) I admit that This mutelle poses some problems for me to terminate the contract that binds me to them. It is not very "regular ... !!!</v>
      </c>
    </row>
    <row r="886" ht="15.75" customHeight="1">
      <c r="A886" s="2">
        <v>2.0</v>
      </c>
      <c r="B886" s="2" t="s">
        <v>2418</v>
      </c>
      <c r="C886" s="2" t="s">
        <v>2419</v>
      </c>
      <c r="D886" s="2" t="s">
        <v>241</v>
      </c>
      <c r="E886" s="2" t="s">
        <v>45</v>
      </c>
      <c r="F886" s="2" t="s">
        <v>15</v>
      </c>
      <c r="G886" s="2" t="s">
        <v>672</v>
      </c>
      <c r="H886" s="2" t="s">
        <v>238</v>
      </c>
      <c r="I886" s="2" t="str">
        <f>IFERROR(__xludf.DUMMYFUNCTION("GOOGLETRANSLATE(C886,""fr"",""en"")"),"I have been a member of the MGP for many years. I consider that the amount of the monthly subscription is excessive, each month I pay 127.08 euros. Again it increased by 8.42 euros, as a percentage is an increase of more than 7 %, knowing that inflation i"&amp;"n France is around 1 %. Each year the subscription increases.
From memory the MGP has three levels of protection, currently I have the most important level named traditional. A few years ago, I inquired to pay less, so having less protection, I learned t"&amp;"hat in view of my age, I could not go back to the traditional level. It is binding. The MGP cannot consider that each member opts for greater protection in such a field, dentition, ---. After hospitalization, Social Security, should send the amount of cos"&amp;"ts to the insured, to inform both of the cost of health, of our health. I forgot to specify, I pay 127.08 euros every month, knowing that I am the only member of the MGP for my home.
          I allow myself to wish you a happy new year and your team.")</f>
        <v>I have been a member of the MGP for many years. I consider that the amount of the monthly subscription is excessive, each month I pay 127.08 euros. Again it increased by 8.42 euros, as a percentage is an increase of more than 7 %, knowing that inflation in France is around 1 %. Each year the subscription increases.
From memory the MGP has three levels of protection, currently I have the most important level named traditional. A few years ago, I inquired to pay less, so having less protection, I learned that in view of my age, I could not go back to the traditional level. It is binding. The MGP cannot consider that each member opts for greater protection in such a field, dentition, ---. After hospitalization, Social Security, should send the amount of costs to the insured, to inform both of the cost of health, of our health. I forgot to specify, I pay 127.08 euros every month, knowing that I am the only member of the MGP for my home.
          I allow myself to wish you a happy new year and your team.</v>
      </c>
    </row>
    <row r="887" ht="15.75" customHeight="1">
      <c r="A887" s="2">
        <v>3.0</v>
      </c>
      <c r="B887" s="2" t="s">
        <v>2420</v>
      </c>
      <c r="C887" s="2" t="s">
        <v>2421</v>
      </c>
      <c r="D887" s="2" t="s">
        <v>39</v>
      </c>
      <c r="E887" s="2" t="s">
        <v>14</v>
      </c>
      <c r="F887" s="2" t="s">
        <v>15</v>
      </c>
      <c r="G887" s="2" t="s">
        <v>340</v>
      </c>
      <c r="H887" s="2" t="s">
        <v>27</v>
      </c>
      <c r="I887" s="2" t="str">
        <f>IFERROR(__xludf.DUMMYFUNCTION("GOOGLETRANSLATE(C887,""fr"",""en"")"),"The evolution of the contract seems to me not correspond to the situation! There is too big gap between the quote and the final bill. Please correspond to your prices with the quotes")</f>
        <v>The evolution of the contract seems to me not correspond to the situation! There is too big gap between the quote and the final bill. Please correspond to your prices with the quotes</v>
      </c>
    </row>
    <row r="888" ht="15.75" customHeight="1">
      <c r="A888" s="2">
        <v>2.0</v>
      </c>
      <c r="B888" s="2" t="s">
        <v>2422</v>
      </c>
      <c r="C888" s="2" t="s">
        <v>2423</v>
      </c>
      <c r="D888" s="2" t="s">
        <v>39</v>
      </c>
      <c r="E888" s="2" t="s">
        <v>14</v>
      </c>
      <c r="F888" s="2" t="s">
        <v>15</v>
      </c>
      <c r="G888" s="2" t="s">
        <v>2424</v>
      </c>
      <c r="H888" s="2" t="s">
        <v>857</v>
      </c>
      <c r="I888" s="2" t="str">
        <f>IFERROR(__xludf.DUMMYFUNCTION("GOOGLETRANSLATE(C888,""fr"",""en"")"),"From the big one, as a result of a claim I am asked to advance the deductible of more than € 300 and that I will be reimbursed after the garage will send the invoice to them. Once paid I am told that I will not be reimbursed. In addition to that the garag"&amp;"e makes me the car dirty with ends of papers hanging out and other and when I get my vehicle back I realize that my cruise control no longer works. I turn around barely 5 minutes after I made my car and the height. Insurance The garage and the expert resp"&amp;"ond to me that the regulator's repair is at my expense. I intend to attack them in court.")</f>
        <v>From the big one, as a result of a claim I am asked to advance the deductible of more than € 300 and that I will be reimbursed after the garage will send the invoice to them. Once paid I am told that I will not be reimbursed. In addition to that the garage makes me the car dirty with ends of papers hanging out and other and when I get my vehicle back I realize that my cruise control no longer works. I turn around barely 5 minutes after I made my car and the height. Insurance The garage and the expert respond to me that the regulator's repair is at my expense. I intend to attack them in court.</v>
      </c>
    </row>
    <row r="889" ht="15.75" customHeight="1">
      <c r="A889" s="2">
        <v>1.0</v>
      </c>
      <c r="B889" s="2" t="s">
        <v>2425</v>
      </c>
      <c r="C889" s="2" t="s">
        <v>2426</v>
      </c>
      <c r="D889" s="2" t="s">
        <v>39</v>
      </c>
      <c r="E889" s="2" t="s">
        <v>14</v>
      </c>
      <c r="F889" s="2" t="s">
        <v>15</v>
      </c>
      <c r="G889" s="2" t="s">
        <v>1162</v>
      </c>
      <c r="H889" s="2" t="s">
        <v>109</v>
      </c>
      <c r="I889" s="2" t="str">
        <f>IFERROR(__xludf.DUMMYFUNCTION("GOOGLETRANSLATE(C889,""fr"",""en"")"),"I have been a customer at Direct Insurance since 2017, when I change the vehicle I subscribe to a new contract by calling with a advisor, he has all vehicle information before him, I signed a new contract and I received The provisional insurance certifica"&amp;"te. 1 month later an advisor contacted me to tell me that there is an increase on the prices provided for in the contract because the advisor made an error on the 20% bonus instead of 15% While he had the report of information before his eyes and I confir"&amp;"med to him that I am 15%, despite my numerous calls I have no return and they confirmed that I would be recalled within a deadline From 48 hours, I am more than a month old and no call, thank you very much indirect insurance")</f>
        <v>I have been a customer at Direct Insurance since 2017, when I change the vehicle I subscribe to a new contract by calling with a advisor, he has all vehicle information before him, I signed a new contract and I received The provisional insurance certificate. 1 month later an advisor contacted me to tell me that there is an increase on the prices provided for in the contract because the advisor made an error on the 20% bonus instead of 15% While he had the report of information before his eyes and I confirmed to him that I am 15%, despite my numerous calls I have no return and they confirmed that I would be recalled within a deadline From 48 hours, I am more than a month old and no call, thank you very much indirect insurance</v>
      </c>
    </row>
    <row r="890" ht="15.75" customHeight="1">
      <c r="A890" s="2">
        <v>1.0</v>
      </c>
      <c r="B890" s="2" t="s">
        <v>2427</v>
      </c>
      <c r="C890" s="2" t="s">
        <v>2428</v>
      </c>
      <c r="D890" s="2" t="s">
        <v>49</v>
      </c>
      <c r="E890" s="2" t="s">
        <v>14</v>
      </c>
      <c r="F890" s="2" t="s">
        <v>15</v>
      </c>
      <c r="G890" s="2" t="s">
        <v>567</v>
      </c>
      <c r="H890" s="2" t="s">
        <v>109</v>
      </c>
      <c r="I890" s="2" t="str">
        <f>IFERROR(__xludf.DUMMYFUNCTION("GOOGLETRANSLATE(C890,""fr"",""en"")"),"Not there if necessary! No mail or letter with AR to warn if there is a problem! No way to arrange!
Resilled the insurance contract without being informed of an unpaid! Do not want to know or hear any explanation!
")</f>
        <v>Not there if necessary! No mail or letter with AR to warn if there is a problem! No way to arrange!
Resilled the insurance contract without being informed of an unpaid! Do not want to know or hear any explanation!
</v>
      </c>
    </row>
    <row r="891" ht="15.75" customHeight="1">
      <c r="A891" s="2">
        <v>1.0</v>
      </c>
      <c r="B891" s="2" t="s">
        <v>2429</v>
      </c>
      <c r="C891" s="2" t="s">
        <v>2430</v>
      </c>
      <c r="D891" s="2" t="s">
        <v>20</v>
      </c>
      <c r="E891" s="2" t="s">
        <v>14</v>
      </c>
      <c r="F891" s="2" t="s">
        <v>15</v>
      </c>
      <c r="G891" s="2" t="s">
        <v>2431</v>
      </c>
      <c r="H891" s="2" t="s">
        <v>476</v>
      </c>
      <c r="I891" s="2" t="str">
        <f>IFERROR(__xludf.DUMMYFUNCTION("GOOGLETRANSLATE(C891,""fr"",""en"")"),"I am outraged by the service offered by this brand, a client for 3 years we decided to leave our insurer MMA to ensure our new vehicle in Maaf that it error.
The advisor was not transparent and thought only of his winning bread making my mother lose a ye"&amp;"ar of bonus. The complaint service assured me that the agency director would modify the bonus exceptionally and I learn today that he will do nothing. In addition during an appointment I explicitly asked the same advisor to add to me as a secondary driver"&amp;" on one of our vehicles since the second would be sold and thus prevent me from being insured on any vehicle . The latter assured me that I have done the necessary and today I learn that it is not done and that I find myself on any car insurance contract."&amp;"
After a call to have explanations the agency director as well as the advisor told me in a way that I could not describe, in a very haughty way with the threat ""it is my word against your"" I am outraged And shocked by this behavior which is absolutely "&amp;"not professional.
I work in a bank I understand that there are bad days or customers can be unpleasant but at no time did I employ bad words and I believe that in this kind of job it is unacceptable to treat a customer of the type.")</f>
        <v>I am outraged by the service offered by this brand, a client for 3 years we decided to leave our insurer MMA to ensure our new vehicle in Maaf that it error.
The advisor was not transparent and thought only of his winning bread making my mother lose a year of bonus. The complaint service assured me that the agency director would modify the bonus exceptionally and I learn today that he will do nothing. In addition during an appointment I explicitly asked the same advisor to add to me as a secondary driver on one of our vehicles since the second would be sold and thus prevent me from being insured on any vehicle . The latter assured me that I have done the necessary and today I learn that it is not done and that I find myself on any car insurance contract.
After a call to have explanations the agency director as well as the advisor told me in a way that I could not describe, in a very haughty way with the threat "it is my word against your" I am outraged And shocked by this behavior which is absolutely not professional.
I work in a bank I understand that there are bad days or customers can be unpleasant but at no time did I employ bad words and I believe that in this kind of job it is unacceptable to treat a customer of the type.</v>
      </c>
    </row>
    <row r="892" ht="15.75" customHeight="1">
      <c r="A892" s="2">
        <v>4.0</v>
      </c>
      <c r="B892" s="2" t="s">
        <v>2432</v>
      </c>
      <c r="C892" s="2" t="s">
        <v>2433</v>
      </c>
      <c r="D892" s="2" t="s">
        <v>39</v>
      </c>
      <c r="E892" s="2" t="s">
        <v>14</v>
      </c>
      <c r="F892" s="2" t="s">
        <v>15</v>
      </c>
      <c r="G892" s="2" t="s">
        <v>718</v>
      </c>
      <c r="H892" s="2" t="s">
        <v>17</v>
      </c>
      <c r="I892" s="2" t="str">
        <f>IFERROR(__xludf.DUMMYFUNCTION("GOOGLETRANSLATE(C892,""fr"",""en"")"),"I am satisfied with Direct Insurance, I already have my home insurance I never had a problem, prices are reasonable for car credit.")</f>
        <v>I am satisfied with Direct Insurance, I already have my home insurance I never had a problem, prices are reasonable for car credit.</v>
      </c>
    </row>
    <row r="893" ht="15.75" customHeight="1">
      <c r="A893" s="2">
        <v>5.0</v>
      </c>
      <c r="B893" s="2" t="s">
        <v>2434</v>
      </c>
      <c r="C893" s="2" t="s">
        <v>2435</v>
      </c>
      <c r="D893" s="2" t="s">
        <v>25</v>
      </c>
      <c r="E893" s="2" t="s">
        <v>14</v>
      </c>
      <c r="F893" s="2" t="s">
        <v>15</v>
      </c>
      <c r="G893" s="2" t="s">
        <v>2436</v>
      </c>
      <c r="H893" s="2" t="s">
        <v>120</v>
      </c>
      <c r="I893" s="2" t="str">
        <f>IFERROR(__xludf.DUMMYFUNCTION("GOOGLETRANSLATE(C893,""fr"",""en"")"),"The prices of the various insurance policies are very competitive.
Online subscription is simple and comfortable.
With a pleasant interface.")</f>
        <v>The prices of the various insurance policies are very competitive.
Online subscription is simple and comfortable.
With a pleasant interface.</v>
      </c>
    </row>
    <row r="894" ht="15.75" customHeight="1">
      <c r="A894" s="2">
        <v>1.0</v>
      </c>
      <c r="B894" s="2" t="s">
        <v>2437</v>
      </c>
      <c r="C894" s="2" t="s">
        <v>2438</v>
      </c>
      <c r="D894" s="2" t="s">
        <v>39</v>
      </c>
      <c r="E894" s="2" t="s">
        <v>14</v>
      </c>
      <c r="F894" s="2" t="s">
        <v>15</v>
      </c>
      <c r="G894" s="2" t="s">
        <v>443</v>
      </c>
      <c r="H894" s="2" t="s">
        <v>27</v>
      </c>
      <c r="I894" s="2" t="str">
        <f>IFERROR(__xludf.DUMMYFUNCTION("GOOGLETRANSLATE(C894,""fr"",""en"")"),"I am not satisfied with the service because given the price I pay. I have opened a claim for 4 days and I was not contacted by Direct Insurance !!!")</f>
        <v>I am not satisfied with the service because given the price I pay. I have opened a claim for 4 days and I was not contacted by Direct Insurance !!!</v>
      </c>
    </row>
    <row r="895" ht="15.75" customHeight="1">
      <c r="A895" s="2">
        <v>1.0</v>
      </c>
      <c r="B895" s="2" t="s">
        <v>2439</v>
      </c>
      <c r="C895" s="2" t="s">
        <v>2440</v>
      </c>
      <c r="D895" s="2" t="s">
        <v>293</v>
      </c>
      <c r="E895" s="2" t="s">
        <v>45</v>
      </c>
      <c r="F895" s="2" t="s">
        <v>15</v>
      </c>
      <c r="G895" s="2" t="s">
        <v>2441</v>
      </c>
      <c r="H895" s="2" t="s">
        <v>504</v>
      </c>
      <c r="I895" s="2" t="str">
        <f>IFERROR(__xludf.DUMMYFUNCTION("GOOGLETRANSLATE(C895,""fr"",""en"")"),"No responsiveness from them.
What is the point of having a mutual that makes no refund?
I do not recommend it strongly.")</f>
        <v>No responsiveness from them.
What is the point of having a mutual that makes no refund?
I do not recommend it strongly.</v>
      </c>
    </row>
    <row r="896" ht="15.75" customHeight="1">
      <c r="A896" s="2">
        <v>5.0</v>
      </c>
      <c r="B896" s="2" t="s">
        <v>2442</v>
      </c>
      <c r="C896" s="2" t="s">
        <v>2443</v>
      </c>
      <c r="D896" s="2" t="s">
        <v>25</v>
      </c>
      <c r="E896" s="2" t="s">
        <v>14</v>
      </c>
      <c r="F896" s="2" t="s">
        <v>15</v>
      </c>
      <c r="G896" s="2" t="s">
        <v>2444</v>
      </c>
      <c r="H896" s="2" t="s">
        <v>64</v>
      </c>
      <c r="I896" s="2" t="str">
        <f>IFERROR(__xludf.DUMMYFUNCTION("GOOGLETRANSLATE(C896,""fr"",""en"")"),"I am satisfied with any answer with all the Lolivier insurance team thank you very much I have to sign the 2 contracts that you have seen me")</f>
        <v>I am satisfied with any answer with all the Lolivier insurance team thank you very much I have to sign the 2 contracts that you have seen me</v>
      </c>
    </row>
    <row r="897" ht="15.75" customHeight="1">
      <c r="A897" s="2">
        <v>3.0</v>
      </c>
      <c r="B897" s="2" t="s">
        <v>2445</v>
      </c>
      <c r="C897" s="2" t="s">
        <v>2446</v>
      </c>
      <c r="D897" s="2" t="s">
        <v>25</v>
      </c>
      <c r="E897" s="2" t="s">
        <v>14</v>
      </c>
      <c r="F897" s="2" t="s">
        <v>15</v>
      </c>
      <c r="G897" s="2" t="s">
        <v>191</v>
      </c>
      <c r="H897" s="2" t="s">
        <v>101</v>
      </c>
      <c r="I897" s="2" t="str">
        <f>IFERROR(__xludf.DUMMYFUNCTION("GOOGLETRANSLATE(C897,""fr"",""en"")"),"Responsible insurance I am very satisfied with their services and receptions, so communication on the site L’Olivier Thank you and good continuation to be the best")</f>
        <v>Responsible insurance I am very satisfied with their services and receptions, so communication on the site L’Olivier Thank you and good continuation to be the best</v>
      </c>
    </row>
    <row r="898" ht="15.75" customHeight="1">
      <c r="A898" s="2">
        <v>5.0</v>
      </c>
      <c r="B898" s="2" t="s">
        <v>2447</v>
      </c>
      <c r="C898" s="2" t="s">
        <v>2448</v>
      </c>
      <c r="D898" s="2" t="s">
        <v>25</v>
      </c>
      <c r="E898" s="2" t="s">
        <v>14</v>
      </c>
      <c r="F898" s="2" t="s">
        <v>15</v>
      </c>
      <c r="G898" s="2" t="s">
        <v>1947</v>
      </c>
      <c r="H898" s="2" t="s">
        <v>84</v>
      </c>
      <c r="I898" s="2" t="str">
        <f>IFERROR(__xludf.DUMMYFUNCTION("GOOGLETRANSLATE(C898,""fr"",""en"")"),"Perfect I recommend
Well -placed price level
Excellent telephone service
Responds quickly
Full insurance
Very nice home
Quick quote.")</f>
        <v>Perfect I recommend
Well -placed price level
Excellent telephone service
Responds quickly
Full insurance
Very nice home
Quick quote.</v>
      </c>
    </row>
    <row r="899" ht="15.75" customHeight="1">
      <c r="A899" s="2">
        <v>2.0</v>
      </c>
      <c r="B899" s="2" t="s">
        <v>2449</v>
      </c>
      <c r="C899" s="2" t="s">
        <v>2450</v>
      </c>
      <c r="D899" s="2" t="s">
        <v>67</v>
      </c>
      <c r="E899" s="2" t="s">
        <v>14</v>
      </c>
      <c r="F899" s="2" t="s">
        <v>15</v>
      </c>
      <c r="G899" s="2" t="s">
        <v>2451</v>
      </c>
      <c r="H899" s="2" t="s">
        <v>113</v>
      </c>
      <c r="I899" s="2" t="str">
        <f>IFERROR(__xludf.DUMMYFUNCTION("GOOGLETRANSLATE(C899,""fr"",""en"")"),"Disappointed this insurance after more than 30 years of family subscription to various contracts. A bodily accident where responsibility has not yet been established and you are invited to terminate before it does it.
The price of contracts is not giving"&amp;", so we expect more consideration when we really have a problem. Because that's when you need insurance. It is not for pleasure that we pay astronomical sums each year. And when you have an accident, you are already bad enough.
Too bad, they lose all f"&amp;"amily contracts out of 3 generations (5 home insurance, 5 auto insurance, 2 legal protections, 2 life accidents, 1 funeral warranty, 1 loss of salary) all maximum guarantee (all Confort risks), and all of which have not served (no claim, no approach) for "&amp;"8 years (last implementation: funeral warranty and life accident).
In addition, I find that agencies should be + at the heart of the process, and not only contract salespeople. Because it is complicated to have clear and reliable information with the h"&amp;"otline which returns responsibility to the agency, which itself refers to the hotline. Insurance is not just to pay their contributions every year, it is also human.
In summary, I think that, like all insurances, they are reliable as long as you have n"&amp;"o problem. Beware of you if you have one.")</f>
        <v>Disappointed this insurance after more than 30 years of family subscription to various contracts. A bodily accident where responsibility has not yet been established and you are invited to terminate before it does it.
The price of contracts is not giving, so we expect more consideration when we really have a problem. Because that's when you need insurance. It is not for pleasure that we pay astronomical sums each year. And when you have an accident, you are already bad enough.
Too bad, they lose all family contracts out of 3 generations (5 home insurance, 5 auto insurance, 2 legal protections, 2 life accidents, 1 funeral warranty, 1 loss of salary) all maximum guarantee (all Confort risks), and all of which have not served (no claim, no approach) for 8 years (last implementation: funeral warranty and life accident).
In addition, I find that agencies should be + at the heart of the process, and not only contract salespeople. Because it is complicated to have clear and reliable information with the hotline which returns responsibility to the agency, which itself refers to the hotline. Insurance is not just to pay their contributions every year, it is also human.
In summary, I think that, like all insurances, they are reliable as long as you have no problem. Beware of you if you have one.</v>
      </c>
    </row>
    <row r="900" ht="15.75" customHeight="1">
      <c r="A900" s="2">
        <v>2.0</v>
      </c>
      <c r="B900" s="2" t="s">
        <v>2452</v>
      </c>
      <c r="C900" s="2" t="s">
        <v>2453</v>
      </c>
      <c r="D900" s="2" t="s">
        <v>39</v>
      </c>
      <c r="E900" s="2" t="s">
        <v>14</v>
      </c>
      <c r="F900" s="2" t="s">
        <v>15</v>
      </c>
      <c r="G900" s="2" t="s">
        <v>2454</v>
      </c>
      <c r="H900" s="2" t="s">
        <v>539</v>
      </c>
      <c r="I900" s="2" t="str">
        <f>IFERROR(__xludf.DUMMYFUNCTION("GOOGLETRANSLATE(C900,""fr"",""en"")"),"Hello I am not satisfied with the treatment of my disaster that I had with my car not being responsible for I will hope for repairs quickly to date no news its inadmissible because my contributions are paying")</f>
        <v>Hello I am not satisfied with the treatment of my disaster that I had with my car not being responsible for I will hope for repairs quickly to date no news its inadmissible because my contributions are paying</v>
      </c>
    </row>
    <row r="901" ht="15.75" customHeight="1">
      <c r="A901" s="2">
        <v>3.0</v>
      </c>
      <c r="B901" s="2" t="s">
        <v>2455</v>
      </c>
      <c r="C901" s="2" t="s">
        <v>2456</v>
      </c>
      <c r="D901" s="2" t="s">
        <v>977</v>
      </c>
      <c r="E901" s="2" t="s">
        <v>233</v>
      </c>
      <c r="F901" s="2" t="s">
        <v>15</v>
      </c>
      <c r="G901" s="2" t="s">
        <v>2457</v>
      </c>
      <c r="H901" s="2" t="s">
        <v>414</v>
      </c>
      <c r="I901" s="2" t="str">
        <f>IFERROR(__xludf.DUMMYFUNCTION("GOOGLETRANSLATE(C901,""fr"",""en"")"),"In disability for a year, the payment period of my catastrophic supplement for two months.
Debt problems in perspective to have cash to compensate. I am very angry. Response by email from the mutual insurance company today but unintelligible.")</f>
        <v>In disability for a year, the payment period of my catastrophic supplement for two months.
Debt problems in perspective to have cash to compensate. I am very angry. Response by email from the mutual insurance company today but unintelligible.</v>
      </c>
    </row>
    <row r="902" ht="15.75" customHeight="1">
      <c r="A902" s="2">
        <v>5.0</v>
      </c>
      <c r="B902" s="2" t="s">
        <v>2458</v>
      </c>
      <c r="C902" s="2" t="s">
        <v>2459</v>
      </c>
      <c r="D902" s="2" t="s">
        <v>39</v>
      </c>
      <c r="E902" s="2" t="s">
        <v>14</v>
      </c>
      <c r="F902" s="2" t="s">
        <v>15</v>
      </c>
      <c r="G902" s="2" t="s">
        <v>1692</v>
      </c>
      <c r="H902" s="2" t="s">
        <v>77</v>
      </c>
      <c r="I902" s="2" t="str">
        <f>IFERROR(__xludf.DUMMYFUNCTION("GOOGLETRANSLATE(C902,""fr"",""en"")"),"Very satisfied with the simplicity of subscription to the home contract. Easy to attach documents such as identity document and electronic signature is really a plus.")</f>
        <v>Very satisfied with the simplicity of subscription to the home contract. Easy to attach documents such as identity document and electronic signature is really a plus.</v>
      </c>
    </row>
    <row r="903" ht="15.75" customHeight="1">
      <c r="A903" s="2">
        <v>5.0</v>
      </c>
      <c r="B903" s="2" t="s">
        <v>2460</v>
      </c>
      <c r="C903" s="2" t="s">
        <v>2461</v>
      </c>
      <c r="D903" s="2" t="s">
        <v>25</v>
      </c>
      <c r="E903" s="2" t="s">
        <v>14</v>
      </c>
      <c r="F903" s="2" t="s">
        <v>15</v>
      </c>
      <c r="G903" s="2" t="s">
        <v>119</v>
      </c>
      <c r="H903" s="2" t="s">
        <v>120</v>
      </c>
      <c r="I903" s="2" t="str">
        <f>IFERROR(__xludf.DUMMYFUNCTION("GOOGLETRANSLATE(C903,""fr"",""en"")"),"Very satisfied with very good reception customer service and very professional staff in addition I am satisfied with the amounts of contributions and the multiauto delivery")</f>
        <v>Very satisfied with very good reception customer service and very professional staff in addition I am satisfied with the amounts of contributions and the multiauto delivery</v>
      </c>
    </row>
    <row r="904" ht="15.75" customHeight="1">
      <c r="A904" s="2">
        <v>1.0</v>
      </c>
      <c r="B904" s="2" t="s">
        <v>2462</v>
      </c>
      <c r="C904" s="2" t="s">
        <v>2463</v>
      </c>
      <c r="D904" s="2" t="s">
        <v>1058</v>
      </c>
      <c r="E904" s="2" t="s">
        <v>347</v>
      </c>
      <c r="F904" s="2" t="s">
        <v>15</v>
      </c>
      <c r="G904" s="2" t="s">
        <v>2464</v>
      </c>
      <c r="H904" s="2" t="s">
        <v>249</v>
      </c>
      <c r="I904" s="2" t="str">
        <f>IFERROR(__xludf.DUMMYFUNCTION("GOOGLETRANSLATE(C904,""fr"",""en"")"),"increase in prices in 12 years of 250. The price going from 22 EUR to 77 EUR. As a reminder, inflation increased over the period by 15 %.
Non -existent customer service. A commitment to contact you within 72 hours never held and almost impossible to reac"&amp;"h them on the phone
Very low reimbursements barely more than a third of the veterinarian's invoice even though I subscribed the complete formula")</f>
        <v>increase in prices in 12 years of 250. The price going from 22 EUR to 77 EUR. As a reminder, inflation increased over the period by 15 %.
Non -existent customer service. A commitment to contact you within 72 hours never held and almost impossible to reach them on the phone
Very low reimbursements barely more than a third of the veterinarian's invoice even though I subscribed the complete formula</v>
      </c>
    </row>
    <row r="905" ht="15.75" customHeight="1">
      <c r="A905" s="2">
        <v>4.0</v>
      </c>
      <c r="B905" s="2" t="s">
        <v>2465</v>
      </c>
      <c r="C905" s="2" t="s">
        <v>2466</v>
      </c>
      <c r="D905" s="2" t="s">
        <v>39</v>
      </c>
      <c r="E905" s="2" t="s">
        <v>14</v>
      </c>
      <c r="F905" s="2" t="s">
        <v>15</v>
      </c>
      <c r="G905" s="2" t="s">
        <v>800</v>
      </c>
      <c r="H905" s="2" t="s">
        <v>27</v>
      </c>
      <c r="I905" s="2" t="str">
        <f>IFERROR(__xludf.DUMMYFUNCTION("GOOGLETRANSLATE(C905,""fr"",""en"")"),"I am satisfied with the quality/price ratio: the coverage is satisfactory and the price is not excessive. I have nothing to report negative. continue like that.")</f>
        <v>I am satisfied with the quality/price ratio: the coverage is satisfactory and the price is not excessive. I have nothing to report negative. continue like that.</v>
      </c>
    </row>
    <row r="906" ht="15.75" customHeight="1">
      <c r="A906" s="2">
        <v>1.0</v>
      </c>
      <c r="B906" s="2" t="s">
        <v>2467</v>
      </c>
      <c r="C906" s="2" t="s">
        <v>2468</v>
      </c>
      <c r="D906" s="2" t="s">
        <v>39</v>
      </c>
      <c r="E906" s="2" t="s">
        <v>14</v>
      </c>
      <c r="F906" s="2" t="s">
        <v>15</v>
      </c>
      <c r="G906" s="2" t="s">
        <v>2469</v>
      </c>
      <c r="H906" s="2" t="s">
        <v>295</v>
      </c>
      <c r="I906" s="2" t="str">
        <f>IFERROR(__xludf.DUMMYFUNCTION("GOOGLETRANSLATE(C906,""fr"",""en"")"),"Deplorable Customer Service once we have settled anyone left on the day of a disaster I can no longer reach them since my disaster of 21/11/2018 it is almost 6 months that I can't have to have nobody they recovered my key the gray card and I always waitin"&amp;"g then when I want to call them my number and directly direct on a messaging to flee especially since I am always insured with them having paid for the year !!!! !!")</f>
        <v>Deplorable Customer Service once we have settled anyone left on the day of a disaster I can no longer reach them since my disaster of 21/11/2018 it is almost 6 months that I can't have to have nobody they recovered my key the gray card and I always waiting then when I want to call them my number and directly direct on a messaging to flee especially since I am always insured with them having paid for the year !!!! !!</v>
      </c>
    </row>
    <row r="907" ht="15.75" customHeight="1">
      <c r="A907" s="2">
        <v>3.0</v>
      </c>
      <c r="B907" s="2" t="s">
        <v>2470</v>
      </c>
      <c r="C907" s="2" t="s">
        <v>2471</v>
      </c>
      <c r="D907" s="2" t="s">
        <v>162</v>
      </c>
      <c r="E907" s="2" t="s">
        <v>45</v>
      </c>
      <c r="F907" s="2" t="s">
        <v>15</v>
      </c>
      <c r="G907" s="2" t="s">
        <v>2472</v>
      </c>
      <c r="H907" s="2" t="s">
        <v>688</v>
      </c>
      <c r="I907" s="2" t="str">
        <f>IFERROR(__xludf.DUMMYFUNCTION("GOOGLETRANSLATE(C907,""fr"",""en"")"),"I am satisfied with the interlocutor I had. Very good explanation. .................................................. .................................................. .................................................. .................")</f>
        <v>I am satisfied with the interlocutor I had. Very good explanation. .................................................. .................................................. .................................................. .................</v>
      </c>
    </row>
    <row r="908" ht="15.75" customHeight="1">
      <c r="A908" s="2">
        <v>5.0</v>
      </c>
      <c r="B908" s="2" t="s">
        <v>2473</v>
      </c>
      <c r="C908" s="2" t="s">
        <v>2474</v>
      </c>
      <c r="D908" s="2" t="s">
        <v>39</v>
      </c>
      <c r="E908" s="2" t="s">
        <v>14</v>
      </c>
      <c r="F908" s="2" t="s">
        <v>15</v>
      </c>
      <c r="G908" s="2" t="s">
        <v>567</v>
      </c>
      <c r="H908" s="2" t="s">
        <v>109</v>
      </c>
      <c r="I908" s="2" t="str">
        <f>IFERROR(__xludf.DUMMYFUNCTION("GOOGLETRANSLATE(C908,""fr"",""en"")"),"Simple, fast, efficient
reasonable price.
I am satisfied with the services and the clarete of the site and the ease of subscription
I recommend direct insurance")</f>
        <v>Simple, fast, efficient
reasonable price.
I am satisfied with the services and the clarete of the site and the ease of subscription
I recommend direct insurance</v>
      </c>
    </row>
    <row r="909" ht="15.75" customHeight="1">
      <c r="A909" s="2">
        <v>4.0</v>
      </c>
      <c r="B909" s="2" t="s">
        <v>2475</v>
      </c>
      <c r="C909" s="2" t="s">
        <v>2476</v>
      </c>
      <c r="D909" s="2" t="s">
        <v>293</v>
      </c>
      <c r="E909" s="2" t="s">
        <v>45</v>
      </c>
      <c r="F909" s="2" t="s">
        <v>15</v>
      </c>
      <c r="G909" s="2" t="s">
        <v>317</v>
      </c>
      <c r="H909" s="2" t="s">
        <v>317</v>
      </c>
      <c r="I909" s="2" t="str">
        <f>IFERROR(__xludf.DUMMYFUNCTION("GOOGLETRANSLATE(C909,""fr"",""en"")"),"Good mutual insurance damage that she does not take the dates of fee. Well nothing to say the reimbursements are fast and the services are good")</f>
        <v>Good mutual insurance damage that she does not take the dates of fee. Well nothing to say the reimbursements are fast and the services are good</v>
      </c>
    </row>
    <row r="910" ht="15.75" customHeight="1">
      <c r="A910" s="2">
        <v>3.0</v>
      </c>
      <c r="B910" s="2" t="s">
        <v>2477</v>
      </c>
      <c r="C910" s="2" t="s">
        <v>2478</v>
      </c>
      <c r="D910" s="2" t="s">
        <v>39</v>
      </c>
      <c r="E910" s="2" t="s">
        <v>14</v>
      </c>
      <c r="F910" s="2" t="s">
        <v>15</v>
      </c>
      <c r="G910" s="2" t="s">
        <v>1251</v>
      </c>
      <c r="H910" s="2" t="s">
        <v>109</v>
      </c>
      <c r="I910" s="2" t="str">
        <f>IFERROR(__xludf.DUMMYFUNCTION("GOOGLETRANSLATE(C910,""fr"",""en"")"),"For the time being I did not ask anything, so to see, on the other hand not happy with the increase in prices because the insurance is more expensive despite the increase in the bonus, I was to attach two other vehicles but we will see later
")</f>
        <v>For the time being I did not ask anything, so to see, on the other hand not happy with the increase in prices because the insurance is more expensive despite the increase in the bonus, I was to attach two other vehicles but we will see later
</v>
      </c>
    </row>
    <row r="911" ht="15.75" customHeight="1">
      <c r="A911" s="2">
        <v>3.0</v>
      </c>
      <c r="B911" s="2" t="s">
        <v>2479</v>
      </c>
      <c r="C911" s="2" t="s">
        <v>2480</v>
      </c>
      <c r="D911" s="2" t="s">
        <v>35</v>
      </c>
      <c r="E911" s="2" t="s">
        <v>31</v>
      </c>
      <c r="F911" s="2" t="s">
        <v>15</v>
      </c>
      <c r="G911" s="2" t="s">
        <v>2481</v>
      </c>
      <c r="H911" s="2" t="s">
        <v>249</v>
      </c>
      <c r="I911" s="2" t="str">
        <f>IFERROR(__xludf.DUMMYFUNCTION("GOOGLETRANSLATE(C911,""fr"",""en"")"),"Despite several years of a sinister contract, the price remained identical. When I changed motorcycles the AMV proposal that has remained in the highest rates. Shame")</f>
        <v>Despite several years of a sinister contract, the price remained identical. When I changed motorcycles the AMV proposal that has remained in the highest rates. Shame</v>
      </c>
    </row>
    <row r="912" ht="15.75" customHeight="1">
      <c r="A912" s="2">
        <v>2.0</v>
      </c>
      <c r="B912" s="2" t="s">
        <v>2482</v>
      </c>
      <c r="C912" s="2" t="s">
        <v>2483</v>
      </c>
      <c r="D912" s="2" t="s">
        <v>123</v>
      </c>
      <c r="E912" s="2" t="s">
        <v>233</v>
      </c>
      <c r="F912" s="2" t="s">
        <v>15</v>
      </c>
      <c r="G912" s="2" t="s">
        <v>2281</v>
      </c>
      <c r="H912" s="2" t="s">
        <v>198</v>
      </c>
      <c r="I912" s="2" t="str">
        <f>IFERROR(__xludf.DUMMYFUNCTION("GOOGLETRANSLATE(C912,""fr"",""en"")"),"Hello
I filed via my internet space my request for additional maternity compensation on 09/21. I call I am told that the processing time is 2 months. I remind you of the deadline I am told that the treatment is underway and to wait 10 days for payment. A"&amp;"fter the 10 days I recall and there surprise ""we forgot to process my file"" The advisor makes a complaint. I recall the following week so this 14/12 here is what I am told ""there is a waiting period of 3 months to process the complaint"" !!!!! In view "&amp;"of the opinions of other people in my case I have the unpleasant impression that this insurance is in bad faith not to pay the compensation due within a reasonable time. The covid is not an acceptable excuse for 2 months of waiting It is already long so 5"&amp;" months !!! It is incomprehensible knowing that ""forgetting treatment"" is due to an error on your part I do not have to pay the price my file should be processed in priority. Times are hard for everyone. I strongly advise against this insurance to anyon"&amp;"e they take my contributions well in time but to compensate the members they are not correct.")</f>
        <v>Hello
I filed via my internet space my request for additional maternity compensation on 09/21. I call I am told that the processing time is 2 months. I remind you of the deadline I am told that the treatment is underway and to wait 10 days for payment. After the 10 days I recall and there surprise "we forgot to process my file" The advisor makes a complaint. I recall the following week so this 14/12 here is what I am told "there is a waiting period of 3 months to process the complaint" !!!!! In view of the opinions of other people in my case I have the unpleasant impression that this insurance is in bad faith not to pay the compensation due within a reasonable time. The covid is not an acceptable excuse for 2 months of waiting It is already long so 5 months !!! It is incomprehensible knowing that "forgetting treatment" is due to an error on your part I do not have to pay the price my file should be processed in priority. Times are hard for everyone. I strongly advise against this insurance to anyone they take my contributions well in time but to compensate the members they are not correct.</v>
      </c>
    </row>
    <row r="913" ht="15.75" customHeight="1">
      <c r="A913" s="2">
        <v>4.0</v>
      </c>
      <c r="B913" s="2" t="s">
        <v>2484</v>
      </c>
      <c r="C913" s="2" t="s">
        <v>2485</v>
      </c>
      <c r="D913" s="2" t="s">
        <v>39</v>
      </c>
      <c r="E913" s="2" t="s">
        <v>14</v>
      </c>
      <c r="F913" s="2" t="s">
        <v>15</v>
      </c>
      <c r="G913" s="2" t="s">
        <v>750</v>
      </c>
      <c r="H913" s="2" t="s">
        <v>84</v>
      </c>
      <c r="I913" s="2" t="str">
        <f>IFERROR(__xludf.DUMMYFUNCTION("GOOGLETRANSLATE(C913,""fr"",""en"")"),"Hello
Very good reactive service I would tell my friends about it to keep me informed of the termination with the Macif please
I wish you a good day")</f>
        <v>Hello
Very good reactive service I would tell my friends about it to keep me informed of the termination with the Macif please
I wish you a good day</v>
      </c>
    </row>
    <row r="914" ht="15.75" customHeight="1">
      <c r="A914" s="2">
        <v>4.0</v>
      </c>
      <c r="B914" s="2" t="s">
        <v>2486</v>
      </c>
      <c r="C914" s="2" t="s">
        <v>2487</v>
      </c>
      <c r="D914" s="2" t="s">
        <v>39</v>
      </c>
      <c r="E914" s="2" t="s">
        <v>14</v>
      </c>
      <c r="F914" s="2" t="s">
        <v>15</v>
      </c>
      <c r="G914" s="2" t="s">
        <v>1722</v>
      </c>
      <c r="H914" s="2" t="s">
        <v>84</v>
      </c>
      <c r="I914" s="2" t="str">
        <f>IFERROR(__xludf.DUMMYFUNCTION("GOOGLETRANSLATE(C914,""fr"",""en"")"),"I am delighted with this service thank you very much.
The service is practical and understandable.
I attend to be in your team all year round.
The price is unbeatable in other insurance.
")</f>
        <v>I am delighted with this service thank you very much.
The service is practical and understandable.
I attend to be in your team all year round.
The price is unbeatable in other insurance.
</v>
      </c>
    </row>
    <row r="915" ht="15.75" customHeight="1">
      <c r="A915" s="2">
        <v>3.0</v>
      </c>
      <c r="B915" s="2" t="s">
        <v>2488</v>
      </c>
      <c r="C915" s="2" t="s">
        <v>2489</v>
      </c>
      <c r="D915" s="2" t="s">
        <v>25</v>
      </c>
      <c r="E915" s="2" t="s">
        <v>14</v>
      </c>
      <c r="F915" s="2" t="s">
        <v>15</v>
      </c>
      <c r="G915" s="2" t="s">
        <v>1520</v>
      </c>
      <c r="H915" s="2" t="s">
        <v>84</v>
      </c>
      <c r="I915" s="2" t="str">
        <f>IFERROR(__xludf.DUMMYFUNCTION("GOOGLETRANSLATE(C915,""fr"",""en"")"),"Simple and practical prices suit me I find that the service is satisfactory in the measurement where I could create a space so quickly to be able to follow the activities concerning my insurance")</f>
        <v>Simple and practical prices suit me I find that the service is satisfactory in the measurement where I could create a space so quickly to be able to follow the activities concerning my insurance</v>
      </c>
    </row>
    <row r="916" ht="15.75" customHeight="1">
      <c r="A916" s="2">
        <v>3.0</v>
      </c>
      <c r="B916" s="2" t="s">
        <v>2490</v>
      </c>
      <c r="C916" s="2" t="s">
        <v>2491</v>
      </c>
      <c r="D916" s="2" t="s">
        <v>107</v>
      </c>
      <c r="E916" s="2" t="s">
        <v>45</v>
      </c>
      <c r="F916" s="2" t="s">
        <v>15</v>
      </c>
      <c r="G916" s="2" t="s">
        <v>1136</v>
      </c>
      <c r="H916" s="2" t="s">
        <v>109</v>
      </c>
      <c r="I916" s="2" t="str">
        <f>IFERROR(__xludf.DUMMYFUNCTION("GOOGLETRANSLATE(C916,""fr"",""en"")"),"hello I just called for a refund concern and I had a very pleasant young woman ""Emeline"" who gave me the discount information
Because I admit that I was very angry after this mutual !!!!
thank you for her for listening to me and well informed
Good da"&amp;"y in Emeline
Mr Levasseur")</f>
        <v>hello I just called for a refund concern and I had a very pleasant young woman "Emeline" who gave me the discount information
Because I admit that I was very angry after this mutual !!!!
thank you for her for listening to me and well informed
Good day in Emeline
Mr Levasseur</v>
      </c>
    </row>
    <row r="917" ht="15.75" customHeight="1">
      <c r="A917" s="2">
        <v>3.0</v>
      </c>
      <c r="B917" s="2" t="s">
        <v>2492</v>
      </c>
      <c r="C917" s="2" t="s">
        <v>2493</v>
      </c>
      <c r="D917" s="2" t="s">
        <v>39</v>
      </c>
      <c r="E917" s="2" t="s">
        <v>14</v>
      </c>
      <c r="F917" s="2" t="s">
        <v>15</v>
      </c>
      <c r="G917" s="2" t="s">
        <v>36</v>
      </c>
      <c r="H917" s="2" t="s">
        <v>17</v>
      </c>
      <c r="I917" s="2" t="str">
        <f>IFERROR(__xludf.DUMMYFUNCTION("GOOGLETRANSLATE(C917,""fr"",""en"")"),"Hello,
Thank you I am generally satisfied with the service and the prices compared to other insurers.
Cordially.
Mohamed-Amine Bouhlel")</f>
        <v>Hello,
Thank you I am generally satisfied with the service and the prices compared to other insurers.
Cordially.
Mohamed-Amine Bouhlel</v>
      </c>
    </row>
    <row r="918" ht="15.75" customHeight="1">
      <c r="A918" s="2">
        <v>2.0</v>
      </c>
      <c r="B918" s="2" t="s">
        <v>2494</v>
      </c>
      <c r="C918" s="2" t="s">
        <v>2495</v>
      </c>
      <c r="D918" s="2" t="s">
        <v>55</v>
      </c>
      <c r="E918" s="2" t="s">
        <v>14</v>
      </c>
      <c r="F918" s="2" t="s">
        <v>15</v>
      </c>
      <c r="G918" s="2" t="s">
        <v>609</v>
      </c>
      <c r="H918" s="2" t="s">
        <v>73</v>
      </c>
      <c r="I918" s="2" t="str">
        <f>IFERROR(__xludf.DUMMYFUNCTION("GOOGLETRANSLATE(C918,""fr"",""en"")"),"Following a dispute, customer service literally yell at me on the phone, customer advisers should review the basic lessons on politeness and how to receive a customer because it is far from being acquired, because I follow Zen nature and anti stress I end"&amp;"ed up finding myself in a nerve ball on the phone when I just wanted information following a misunderstanding compared to my contract")</f>
        <v>Following a dispute, customer service literally yell at me on the phone, customer advisers should review the basic lessons on politeness and how to receive a customer because it is far from being acquired, because I follow Zen nature and anti stress I ended up finding myself in a nerve ball on the phone when I just wanted information following a misunderstanding compared to my contract</v>
      </c>
    </row>
    <row r="919" ht="15.75" customHeight="1">
      <c r="A919" s="2">
        <v>3.0</v>
      </c>
      <c r="B919" s="2" t="s">
        <v>2496</v>
      </c>
      <c r="C919" s="2" t="s">
        <v>2497</v>
      </c>
      <c r="D919" s="2" t="s">
        <v>25</v>
      </c>
      <c r="E919" s="2" t="s">
        <v>14</v>
      </c>
      <c r="F919" s="2" t="s">
        <v>15</v>
      </c>
      <c r="G919" s="2" t="s">
        <v>194</v>
      </c>
      <c r="H919" s="2" t="s">
        <v>77</v>
      </c>
      <c r="I919" s="2" t="str">
        <f>IFERROR(__xludf.DUMMYFUNCTION("GOOGLETRANSLATE(C919,""fr"",""en"")"),"I am satisfied to have been able to take out my contract in a few moments, without the need to move it.
Fast and effective.
Very satisfactory welcome.")</f>
        <v>I am satisfied to have been able to take out my contract in a few moments, without the need to move it.
Fast and effective.
Very satisfactory welcome.</v>
      </c>
    </row>
    <row r="920" ht="15.75" customHeight="1">
      <c r="A920" s="2">
        <v>5.0</v>
      </c>
      <c r="B920" s="2" t="s">
        <v>2498</v>
      </c>
      <c r="C920" s="2" t="s">
        <v>2499</v>
      </c>
      <c r="D920" s="2" t="s">
        <v>25</v>
      </c>
      <c r="E920" s="2" t="s">
        <v>14</v>
      </c>
      <c r="F920" s="2" t="s">
        <v>15</v>
      </c>
      <c r="G920" s="2" t="s">
        <v>2500</v>
      </c>
      <c r="H920" s="2" t="s">
        <v>101</v>
      </c>
      <c r="I920" s="2" t="str">
        <f>IFERROR(__xludf.DUMMYFUNCTION("GOOGLETRANSLATE(C920,""fr"",""en"")"),"I am satisfied with the services offered and the price for the insurance of my vehicle.
It is easy to use and quick to implement, I hope to be satisfied on the duration of the contract.")</f>
        <v>I am satisfied with the services offered and the price for the insurance of my vehicle.
It is easy to use and quick to implement, I hope to be satisfied on the duration of the contract.</v>
      </c>
    </row>
    <row r="921" ht="15.75" customHeight="1">
      <c r="A921" s="2">
        <v>1.0</v>
      </c>
      <c r="B921" s="2" t="s">
        <v>2501</v>
      </c>
      <c r="C921" s="2" t="s">
        <v>2502</v>
      </c>
      <c r="D921" s="2" t="s">
        <v>361</v>
      </c>
      <c r="E921" s="2" t="s">
        <v>50</v>
      </c>
      <c r="F921" s="2" t="s">
        <v>15</v>
      </c>
      <c r="G921" s="2" t="s">
        <v>2372</v>
      </c>
      <c r="H921" s="2" t="s">
        <v>594</v>
      </c>
      <c r="I921" s="2" t="str">
        <f>IFERROR(__xludf.DUMMYFUNCTION("GOOGLETRANSLATE(C921,""fr"",""en"")"),"The worst insurance that exists.
Following a water damage in the building they drop me for fear of having to advance costs.")</f>
        <v>The worst insurance that exists.
Following a water damage in the building they drop me for fear of having to advance costs.</v>
      </c>
    </row>
    <row r="922" ht="15.75" customHeight="1">
      <c r="A922" s="2">
        <v>1.0</v>
      </c>
      <c r="B922" s="2" t="s">
        <v>2503</v>
      </c>
      <c r="C922" s="2" t="s">
        <v>2504</v>
      </c>
      <c r="D922" s="2" t="s">
        <v>208</v>
      </c>
      <c r="E922" s="2" t="s">
        <v>14</v>
      </c>
      <c r="F922" s="2" t="s">
        <v>15</v>
      </c>
      <c r="G922" s="2" t="s">
        <v>2505</v>
      </c>
      <c r="H922" s="2" t="s">
        <v>309</v>
      </c>
      <c r="I922" s="2" t="str">
        <f>IFERROR(__xludf.DUMMYFUNCTION("GOOGLETRANSLATE(C922,""fr"",""en"")"),"More than 2 years at home, termination which goes very badly, he simply claims a whole semester of contribution for the current month")</f>
        <v>More than 2 years at home, termination which goes very badly, he simply claims a whole semester of contribution for the current month</v>
      </c>
    </row>
    <row r="923" ht="15.75" customHeight="1">
      <c r="A923" s="2">
        <v>5.0</v>
      </c>
      <c r="B923" s="2" t="s">
        <v>2506</v>
      </c>
      <c r="C923" s="2" t="s">
        <v>2507</v>
      </c>
      <c r="D923" s="2" t="s">
        <v>30</v>
      </c>
      <c r="E923" s="2" t="s">
        <v>31</v>
      </c>
      <c r="F923" s="2" t="s">
        <v>15</v>
      </c>
      <c r="G923" s="2" t="s">
        <v>1154</v>
      </c>
      <c r="H923" s="2" t="s">
        <v>17</v>
      </c>
      <c r="I923" s="2" t="str">
        <f>IFERROR(__xludf.DUMMYFUNCTION("GOOGLETRANSLATE(C923,""fr"",""en"")"),"Very pleasant for the subscription and very reasonable prices The descriptions are very well explained. I hope I would not be disappointed, cordially,
Lelievre Rudy")</f>
        <v>Very pleasant for the subscription and very reasonable prices The descriptions are very well explained. I hope I would not be disappointed, cordially,
Lelievre Rudy</v>
      </c>
    </row>
    <row r="924" ht="15.75" customHeight="1">
      <c r="A924" s="2">
        <v>4.0</v>
      </c>
      <c r="B924" s="2" t="s">
        <v>2508</v>
      </c>
      <c r="C924" s="2" t="s">
        <v>2509</v>
      </c>
      <c r="D924" s="2" t="s">
        <v>162</v>
      </c>
      <c r="E924" s="2" t="s">
        <v>45</v>
      </c>
      <c r="F924" s="2" t="s">
        <v>15</v>
      </c>
      <c r="G924" s="2" t="s">
        <v>2510</v>
      </c>
      <c r="H924" s="2" t="s">
        <v>124</v>
      </c>
      <c r="I924" s="2" t="str">
        <f>IFERROR(__xludf.DUMMYFUNCTION("GOOGLETRANSLATE(C924,""fr"",""en"")"),"Very well informed and accompanied by the advisor.
Advantageous rates, thank you.")</f>
        <v>Very well informed and accompanied by the advisor.
Advantageous rates, thank you.</v>
      </c>
    </row>
    <row r="925" ht="15.75" customHeight="1">
      <c r="A925" s="2">
        <v>1.0</v>
      </c>
      <c r="B925" s="2" t="s">
        <v>2511</v>
      </c>
      <c r="C925" s="2" t="s">
        <v>2512</v>
      </c>
      <c r="D925" s="2" t="s">
        <v>67</v>
      </c>
      <c r="E925" s="2" t="s">
        <v>14</v>
      </c>
      <c r="F925" s="2" t="s">
        <v>15</v>
      </c>
      <c r="G925" s="2" t="s">
        <v>928</v>
      </c>
      <c r="H925" s="2" t="s">
        <v>124</v>
      </c>
      <c r="I925" s="2" t="str">
        <f>IFERROR(__xludf.DUMMYFUNCTION("GOOGLETRANSLATE(C925,""fr"",""en"")"),"Dear insurance, ""civil servant"" customer service. No effort vis-à-vis the customer. I terminated the contract and I had an additional invoice because they cancel the given given in the event of termination during the year. (writes anywhere in the contra"&amp;"ct)")</f>
        <v>Dear insurance, "civil servant" customer service. No effort vis-à-vis the customer. I terminated the contract and I had an additional invoice because they cancel the given given in the event of termination during the year. (writes anywhere in the contract)</v>
      </c>
    </row>
    <row r="926" ht="15.75" customHeight="1">
      <c r="A926" s="2">
        <v>1.0</v>
      </c>
      <c r="B926" s="2" t="s">
        <v>2513</v>
      </c>
      <c r="C926" s="2" t="s">
        <v>2514</v>
      </c>
      <c r="D926" s="2" t="s">
        <v>731</v>
      </c>
      <c r="E926" s="2" t="s">
        <v>233</v>
      </c>
      <c r="F926" s="2" t="s">
        <v>15</v>
      </c>
      <c r="G926" s="2" t="s">
        <v>2515</v>
      </c>
      <c r="H926" s="2" t="s">
        <v>212</v>
      </c>
      <c r="I926" s="2" t="str">
        <f>IFERROR(__xludf.DUMMYFUNCTION("GOOGLETRANSLATE(C926,""fr"",""en"")"),"Flee the CNP !!!!
For my part I have borrower insurance at the CNP for a homemade loan,
At 52 years old I have been in 2nd category disability for 10 years, I lost my job following this problem, the CNP does not recognize my disability, I have no paymen"&amp;"t on their part and I am forced to pay my Credit with 580 euros in income/month of disability pension.
I struggle to feed myself and pay for my charges (electricity, water, insurance, and various costs).
The CNP does not move despite several compensatio"&amp;"n requests.
Here is France. CNP, National Provident Fund ... let me laugh (or cry).
Above all, avoid taking insurance or any type of contract with them !!!")</f>
        <v>Flee the CNP !!!!
For my part I have borrower insurance at the CNP for a homemade loan,
At 52 years old I have been in 2nd category disability for 10 years, I lost my job following this problem, the CNP does not recognize my disability, I have no payment on their part and I am forced to pay my Credit with 580 euros in income/month of disability pension.
I struggle to feed myself and pay for my charges (electricity, water, insurance, and various costs).
The CNP does not move despite several compensation requests.
Here is France. CNP, National Provident Fund ... let me laugh (or cry).
Above all, avoid taking insurance or any type of contract with them !!!</v>
      </c>
    </row>
    <row r="927" ht="15.75" customHeight="1">
      <c r="A927" s="2">
        <v>1.0</v>
      </c>
      <c r="B927" s="2" t="s">
        <v>2516</v>
      </c>
      <c r="C927" s="2" t="s">
        <v>2517</v>
      </c>
      <c r="D927" s="2" t="s">
        <v>323</v>
      </c>
      <c r="E927" s="2" t="s">
        <v>45</v>
      </c>
      <c r="F927" s="2" t="s">
        <v>15</v>
      </c>
      <c r="G927" s="2" t="s">
        <v>2518</v>
      </c>
      <c r="H927" s="2" t="s">
        <v>476</v>
      </c>
      <c r="I927" s="2" t="str">
        <f>IFERROR(__xludf.DUMMYFUNCTION("GOOGLETRANSLATE(C927,""fr"",""en"")"),"Hello,
So far, I hadn't had a problem with the MGEN. Having retired on September 1, 2016, I decided to resign from this mutual insurance for another cheaper and which is better suited to my health expenses, which I did at mid October for an effective 1 E"&amp;"R January 2017.
But to cancel the withholding after resignation, it's the cross and the banner! Contributions continue to be taken despite my complaints. In my case, the MGEN even transferred the withholding tax on my pension without my authorization (I "&amp;"had not returned the form since I had made the decision to terminate my contract). In addition, the pension management center does not even check whether the authorization has been given or not, which is a shame ... Currently, I am on the second level of "&amp;"the complaint. The MGEN's response time is set, by itself, at 12 calendar days. This deadline expires tomorrow ... The day after tomorrow, I will send another LRAR to the mediator. And if I do not have an answer in 12 days, my file (already ready) will go"&amp;" to the court with request for reimbursement under penalty of the sums unduly deducted, payment of moving interest at the legal rate, damages for the damage suffered and the Fees incurred, conviction to the whole costs (for having already made this type o"&amp;"f appeal, I know what to ask the judge, that is why I indicate here).
I engage all those who are in the same case to do the same (the procedure is simple, free and fast). We have the choice between the order to pay or the declaration to the court registr"&amp;"y on which we depend. For more info, cf. The ""Public Service"" site which indicates how to set up your file and the difference between the 2 procedures. You can request the help of a lawyer for the drafting of the CERFA form, whose fees will be reimburse"&amp;"d by asking the judge the application art. 700 (on fees invoice) in addition to what I have detailed above.
Furthermore, I intend to inform the Ministry of National Education of these shameful practices from the MGEN because by browsing the net on this s"&amp;"ubject, I realized that I was not there alone to be a victim.
")</f>
        <v>Hello,
So far, I hadn't had a problem with the MGEN. Having retired on September 1, 2016, I decided to resign from this mutual insurance for another cheaper and which is better suited to my health expenses, which I did at mid October for an effective 1 ER January 2017.
But to cancel the withholding after resignation, it's the cross and the banner! Contributions continue to be taken despite my complaints. In my case, the MGEN even transferred the withholding tax on my pension without my authorization (I had not returned the form since I had made the decision to terminate my contract). In addition, the pension management center does not even check whether the authorization has been given or not, which is a shame ... Currently, I am on the second level of the complaint. The MGEN's response time is set, by itself, at 12 calendar days. This deadline expires tomorrow ... The day after tomorrow, I will send another LRAR to the mediator. And if I do not have an answer in 12 days, my file (already ready) will go to the court with request for reimbursement under penalty of the sums unduly deducted, payment of moving interest at the legal rate, damages for the damage suffered and the Fees incurred, conviction to the whole costs (for having already made this type of appeal, I know what to ask the judge, that is why I indicate here).
I engage all those who are in the same case to do the same (the procedure is simple, free and fast). We have the choice between the order to pay or the declaration to the court registry on which we depend. For more info, cf. The "Public Service" site which indicates how to set up your file and the difference between the 2 procedures. You can request the help of a lawyer for the drafting of the CERFA form, whose fees will be reimbursed by asking the judge the application art. 700 (on fees invoice) in addition to what I have detailed above.
Furthermore, I intend to inform the Ministry of National Education of these shameful practices from the MGEN because by browsing the net on this subject, I realized that I was not there alone to be a victim.
</v>
      </c>
    </row>
    <row r="928" ht="15.75" customHeight="1">
      <c r="A928" s="2">
        <v>1.0</v>
      </c>
      <c r="B928" s="2" t="s">
        <v>2519</v>
      </c>
      <c r="C928" s="2" t="s">
        <v>2520</v>
      </c>
      <c r="D928" s="2" t="s">
        <v>39</v>
      </c>
      <c r="E928" s="2" t="s">
        <v>14</v>
      </c>
      <c r="F928" s="2" t="s">
        <v>15</v>
      </c>
      <c r="G928" s="2" t="s">
        <v>2073</v>
      </c>
      <c r="H928" s="2" t="s">
        <v>198</v>
      </c>
      <c r="I928" s="2" t="str">
        <f>IFERROR(__xludf.DUMMYFUNCTION("GOOGLETRANSLATE(C928,""fr"",""en"")"),"Subscription by email in 2 clicks.
Termination! More than 5 calls Interlocutors confuse Hamon law / Chatel law
 Refusal to accept termination by my new insurer
1 week with letter in a/r
I asked for the copy of telephone recordings and I always hav"&amp;"e after 15 days")</f>
        <v>Subscription by email in 2 clicks.
Termination! More than 5 calls Interlocutors confuse Hamon law / Chatel law
 Refusal to accept termination by my new insurer
1 week with letter in a/r
I asked for the copy of telephone recordings and I always have after 15 days</v>
      </c>
    </row>
    <row r="929" ht="15.75" customHeight="1">
      <c r="A929" s="2">
        <v>4.0</v>
      </c>
      <c r="B929" s="2" t="s">
        <v>2521</v>
      </c>
      <c r="C929" s="2" t="s">
        <v>2522</v>
      </c>
      <c r="D929" s="2" t="s">
        <v>25</v>
      </c>
      <c r="E929" s="2" t="s">
        <v>14</v>
      </c>
      <c r="F929" s="2" t="s">
        <v>15</v>
      </c>
      <c r="G929" s="2" t="s">
        <v>853</v>
      </c>
      <c r="H929" s="2" t="s">
        <v>77</v>
      </c>
      <c r="I929" s="2" t="str">
        <f>IFERROR(__xludf.DUMMYFUNCTION("GOOGLETRANSLATE(C929,""fr"",""en"")"),"I did not find better prices elsewhere for the options I need despite long searches. The site is well done, very intuitive, it allows you not to feel drowning under a ton of information.")</f>
        <v>I did not find better prices elsewhere for the options I need despite long searches. The site is well done, very intuitive, it allows you not to feel drowning under a ton of information.</v>
      </c>
    </row>
    <row r="930" ht="15.75" customHeight="1">
      <c r="A930" s="2">
        <v>4.0</v>
      </c>
      <c r="B930" s="2" t="s">
        <v>2523</v>
      </c>
      <c r="C930" s="2" t="s">
        <v>2524</v>
      </c>
      <c r="D930" s="2" t="s">
        <v>25</v>
      </c>
      <c r="E930" s="2" t="s">
        <v>14</v>
      </c>
      <c r="F930" s="2" t="s">
        <v>15</v>
      </c>
      <c r="G930" s="2" t="s">
        <v>2525</v>
      </c>
      <c r="H930" s="2" t="s">
        <v>120</v>
      </c>
      <c r="I930" s="2" t="str">
        <f>IFERROR(__xludf.DUMMYFUNCTION("GOOGLETRANSLATE(C930,""fr"",""en"")"),"I am satisfied with the service, it is very simple and fast. I am waiting to see what it will give over time, but until all it goes very well and without worries")</f>
        <v>I am satisfied with the service, it is very simple and fast. I am waiting to see what it will give over time, but until all it goes very well and without worries</v>
      </c>
    </row>
    <row r="931" ht="15.75" customHeight="1">
      <c r="A931" s="2">
        <v>2.0</v>
      </c>
      <c r="B931" s="2" t="s">
        <v>2526</v>
      </c>
      <c r="C931" s="2" t="s">
        <v>2527</v>
      </c>
      <c r="D931" s="2" t="s">
        <v>259</v>
      </c>
      <c r="E931" s="2" t="s">
        <v>14</v>
      </c>
      <c r="F931" s="2" t="s">
        <v>15</v>
      </c>
      <c r="G931" s="2" t="s">
        <v>2528</v>
      </c>
      <c r="H931" s="2" t="s">
        <v>41</v>
      </c>
      <c r="I931" s="2" t="str">
        <f>IFERROR(__xludf.DUMMYFUNCTION("GOOGLETRANSLATE(C931,""fr"",""en"")"),"Idgeriously degestive on a contract ID Macif, Personal guaranteed body and civilian non -subscribed, despite the termination for soon 1 years, with insurance to the third party of Macif ID taken up by the Macif I find myself with this undeveloped contract"&amp;" and always taken, Flee this Insurance of a real Filou, I assign them immediately and prevail the general inspection of insurance.")</f>
        <v>Idgeriously degestive on a contract ID Macif, Personal guaranteed body and civilian non -subscribed, despite the termination for soon 1 years, with insurance to the third party of Macif ID taken up by the Macif I find myself with this undeveloped contract and always taken, Flee this Insurance of a real Filou, I assign them immediately and prevail the general inspection of insurance.</v>
      </c>
    </row>
    <row r="932" ht="15.75" customHeight="1">
      <c r="A932" s="2">
        <v>1.0</v>
      </c>
      <c r="B932" s="2" t="s">
        <v>2529</v>
      </c>
      <c r="C932" s="2" t="s">
        <v>2530</v>
      </c>
      <c r="D932" s="2" t="s">
        <v>259</v>
      </c>
      <c r="E932" s="2" t="s">
        <v>50</v>
      </c>
      <c r="F932" s="2" t="s">
        <v>15</v>
      </c>
      <c r="G932" s="2" t="s">
        <v>2531</v>
      </c>
      <c r="H932" s="2" t="s">
        <v>785</v>
      </c>
      <c r="I932" s="2" t="str">
        <f>IFERROR(__xludf.DUMMYFUNCTION("GOOGLETRANSLATE(C932,""fr"",""en"")"),"Following my phone flight on 05/05/2020 I called the Macif to declare the claim. I said I didn't have a phone and that I had to join me only by email.
The expert had to join me by email we are 23 and still nothing.
Knowing that legally they have a 1 mon"&amp;"th deadline to resolve thefts. I tried last week and this week to join the expert and the Macif but 10-15 min of waiting to ultimately come across an ad saying to recall and when I call the Macif like no answer until 30 min!
Not having a phone to take th"&amp;"e phone's phone to call and not succeed in having someone is a shame! The Macif is insurance and when you need them there is no one! I'll complain ! I also went to the agency in Rueil advised him on the spot called a service (same 20 min waiting) which di"&amp;"d not respond and as it was 5.30 p.m. (due to the waiting time) the advised on Place told me that he was going to give me news by email the next day but the same return even on the part of the agency!
It is a shame disastrous service!")</f>
        <v>Following my phone flight on 05/05/2020 I called the Macif to declare the claim. I said I didn't have a phone and that I had to join me only by email.
The expert had to join me by email we are 23 and still nothing.
Knowing that legally they have a 1 month deadline to resolve thefts. I tried last week and this week to join the expert and the Macif but 10-15 min of waiting to ultimately come across an ad saying to recall and when I call the Macif like no answer until 30 min!
Not having a phone to take the phone's phone to call and not succeed in having someone is a shame! The Macif is insurance and when you need them there is no one! I'll complain ! I also went to the agency in Rueil advised him on the spot called a service (same 20 min waiting) which did not respond and as it was 5.30 p.m. (due to the waiting time) the advised on Place told me that he was going to give me news by email the next day but the same return even on the part of the agency!
It is a shame disastrous service!</v>
      </c>
    </row>
    <row r="933" ht="15.75" customHeight="1">
      <c r="A933" s="2">
        <v>1.0</v>
      </c>
      <c r="B933" s="2" t="s">
        <v>2532</v>
      </c>
      <c r="C933" s="2" t="s">
        <v>2533</v>
      </c>
      <c r="D933" s="2" t="s">
        <v>67</v>
      </c>
      <c r="E933" s="2" t="s">
        <v>50</v>
      </c>
      <c r="F933" s="2" t="s">
        <v>15</v>
      </c>
      <c r="G933" s="2" t="s">
        <v>2534</v>
      </c>
      <c r="H933" s="2" t="s">
        <v>317</v>
      </c>
      <c r="I933" s="2" t="str">
        <f>IFERROR(__xludf.DUMMYFUNCTION("GOOGLETRANSLATE(C933,""fr"",""en"")"),"I strongly advise against this insurer. I had a sinister month of January despite my phone calls and many emails that have remained unanswered I am still not completely reimbursed! Which does not tell you deductible for an important franchise so very badl"&amp;"y compensated")</f>
        <v>I strongly advise against this insurer. I had a sinister month of January despite my phone calls and many emails that have remained unanswered I am still not completely reimbursed! Which does not tell you deductible for an important franchise so very badly compensated</v>
      </c>
    </row>
    <row r="934" ht="15.75" customHeight="1">
      <c r="A934" s="2">
        <v>4.0</v>
      </c>
      <c r="B934" s="2" t="s">
        <v>2535</v>
      </c>
      <c r="C934" s="2" t="s">
        <v>2536</v>
      </c>
      <c r="D934" s="2" t="s">
        <v>25</v>
      </c>
      <c r="E934" s="2" t="s">
        <v>14</v>
      </c>
      <c r="F934" s="2" t="s">
        <v>15</v>
      </c>
      <c r="G934" s="2" t="s">
        <v>2537</v>
      </c>
      <c r="H934" s="2" t="s">
        <v>131</v>
      </c>
      <c r="I934" s="2" t="str">
        <f>IFERROR(__xludf.DUMMYFUNCTION("GOOGLETRANSLATE(C934,""fr"",""en"")"),"I am very satisfied to have their car insurance at the Olivier Insurance, the prices are very interesting and the after -sales service is very good, your advisers are listening to us, receive my distinguished greetings.")</f>
        <v>I am very satisfied to have their car insurance at the Olivier Insurance, the prices are very interesting and the after -sales service is very good, your advisers are listening to us, receive my distinguished greetings.</v>
      </c>
    </row>
    <row r="935" ht="15.75" customHeight="1">
      <c r="A935" s="2">
        <v>3.0</v>
      </c>
      <c r="B935" s="2" t="s">
        <v>2538</v>
      </c>
      <c r="C935" s="2" t="s">
        <v>2539</v>
      </c>
      <c r="D935" s="2" t="s">
        <v>49</v>
      </c>
      <c r="E935" s="2" t="s">
        <v>14</v>
      </c>
      <c r="F935" s="2" t="s">
        <v>15</v>
      </c>
      <c r="G935" s="2" t="s">
        <v>1675</v>
      </c>
      <c r="H935" s="2" t="s">
        <v>202</v>
      </c>
      <c r="I935" s="2" t="str">
        <f>IFERROR(__xludf.DUMMYFUNCTION("GOOGLETRANSLATE(C935,""fr"",""en"")"),"The subscription was easy with the help of a broker on behalf of Clikassu.fr then on the other hand insurance does not offer much advantage for former customers")</f>
        <v>The subscription was easy with the help of a broker on behalf of Clikassu.fr then on the other hand insurance does not offer much advantage for former customers</v>
      </c>
    </row>
    <row r="936" ht="15.75" customHeight="1">
      <c r="A936" s="2">
        <v>1.0</v>
      </c>
      <c r="B936" s="2" t="s">
        <v>2540</v>
      </c>
      <c r="C936" s="2" t="s">
        <v>2541</v>
      </c>
      <c r="D936" s="2" t="s">
        <v>219</v>
      </c>
      <c r="E936" s="2" t="s">
        <v>14</v>
      </c>
      <c r="F936" s="2" t="s">
        <v>15</v>
      </c>
      <c r="G936" s="2" t="s">
        <v>2542</v>
      </c>
      <c r="H936" s="2" t="s">
        <v>550</v>
      </c>
      <c r="I936" s="2" t="str">
        <f>IFERROR(__xludf.DUMMYFUNCTION("GOOGLETRANSLATE(C936,""fr"",""en"")"),"Insured for more than 2 years in Axa, it is far too expensive, being a cautious driver I tell myself that it is the game at the beginning, that the price will drop if I have no sinister, this is false the price does not Make q'uction, being a good driver "&amp;"is useless because we pay for bad! UNFAIR")</f>
        <v>Insured for more than 2 years in Axa, it is far too expensive, being a cautious driver I tell myself that it is the game at the beginning, that the price will drop if I have no sinister, this is false the price does not Make q'uction, being a good driver is useless because we pay for bad! UNFAIR</v>
      </c>
    </row>
    <row r="937" ht="15.75" customHeight="1">
      <c r="A937" s="2">
        <v>1.0</v>
      </c>
      <c r="B937" s="2" t="s">
        <v>2543</v>
      </c>
      <c r="C937" s="2" t="s">
        <v>2544</v>
      </c>
      <c r="D937" s="2" t="s">
        <v>39</v>
      </c>
      <c r="E937" s="2" t="s">
        <v>14</v>
      </c>
      <c r="F937" s="2" t="s">
        <v>15</v>
      </c>
      <c r="G937" s="2" t="s">
        <v>2545</v>
      </c>
      <c r="H937" s="2" t="s">
        <v>198</v>
      </c>
      <c r="I937" s="2" t="str">
        <f>IFERROR(__xludf.DUMMYFUNCTION("GOOGLETRANSLATE(C937,""fr"",""en"")"),"Insurance just good to collect your money.
I am assured of all risks for my car at Direct Insurance. 7 months ago I was struck by another vehicle that fled.
Fortunately my vehicle is equipped with cameras that filmed the scene. I am therefore able to pr"&amp;"ove my statements and the third party is clearly identified.
However, for 7 months, I still circulate in my rugged vehicle. This insurer tries to impose the payment of an imaginary franchise on me on the grounds that the third party would not be identi"&amp;"fied and that I have no witness.
A witness could tell anything. Now I am in possession of much more impactful evidence but I am categorically refused to take into account and we make my file drag to the maximum.
The only degree that has been underta"&amp;"ken by Direct Insurance is a so -called sending of mail of the Tier (mail for which I am refused to communicate to me proof of sending). Of course the tier did not follow up so direct assurance the file is closed and I should pay the franchise.
")</f>
        <v>Insurance just good to collect your money.
I am assured of all risks for my car at Direct Insurance. 7 months ago I was struck by another vehicle that fled.
Fortunately my vehicle is equipped with cameras that filmed the scene. I am therefore able to prove my statements and the third party is clearly identified.
However, for 7 months, I still circulate in my rugged vehicle. This insurer tries to impose the payment of an imaginary franchise on me on the grounds that the third party would not be identified and that I have no witness.
A witness could tell anything. Now I am in possession of much more impactful evidence but I am categorically refused to take into account and we make my file drag to the maximum.
The only degree that has been undertaken by Direct Insurance is a so -called sending of mail of the Tier (mail for which I am refused to communicate to me proof of sending). Of course the tier did not follow up so direct assurance the file is closed and I should pay the franchise.
</v>
      </c>
    </row>
    <row r="938" ht="15.75" customHeight="1">
      <c r="A938" s="2">
        <v>2.0</v>
      </c>
      <c r="B938" s="2" t="s">
        <v>2546</v>
      </c>
      <c r="C938" s="2" t="s">
        <v>2547</v>
      </c>
      <c r="D938" s="2" t="s">
        <v>39</v>
      </c>
      <c r="E938" s="2" t="s">
        <v>14</v>
      </c>
      <c r="F938" s="2" t="s">
        <v>15</v>
      </c>
      <c r="G938" s="2" t="s">
        <v>774</v>
      </c>
      <c r="H938" s="2" t="s">
        <v>113</v>
      </c>
      <c r="I938" s="2" t="str">
        <f>IFERROR(__xludf.DUMMYFUNCTION("GOOGLETRANSLATE(C938,""fr"",""en"")"),"I have three vehicles insured at home,
I think that the commercial gesture would have been good at least for the last vehicle, or zero km troubleshooting or the loan of a car in the event of a breakdown ...")</f>
        <v>I have three vehicles insured at home,
I think that the commercial gesture would have been good at least for the last vehicle, or zero km troubleshooting or the loan of a car in the event of a breakdown ...</v>
      </c>
    </row>
    <row r="939" ht="15.75" customHeight="1">
      <c r="A939" s="2">
        <v>4.0</v>
      </c>
      <c r="B939" s="2" t="s">
        <v>2548</v>
      </c>
      <c r="C939" s="2" t="s">
        <v>2549</v>
      </c>
      <c r="D939" s="2" t="s">
        <v>25</v>
      </c>
      <c r="E939" s="2" t="s">
        <v>14</v>
      </c>
      <c r="F939" s="2" t="s">
        <v>15</v>
      </c>
      <c r="G939" s="2" t="s">
        <v>138</v>
      </c>
      <c r="H939" s="2" t="s">
        <v>64</v>
      </c>
      <c r="I939" s="2" t="str">
        <f>IFERROR(__xludf.DUMMYFUNCTION("GOOGLETRANSLATE(C939,""fr"",""en"")"),"Cool very well gone fast and effective to see in time if everything goes the same and if in the event of a problem the responsiveness is there even for the moment very good")</f>
        <v>Cool very well gone fast and effective to see in time if everything goes the same and if in the event of a problem the responsiveness is there even for the moment very good</v>
      </c>
    </row>
    <row r="940" ht="15.75" customHeight="1">
      <c r="A940" s="2">
        <v>4.0</v>
      </c>
      <c r="B940" s="2" t="s">
        <v>2550</v>
      </c>
      <c r="C940" s="2" t="s">
        <v>2551</v>
      </c>
      <c r="D940" s="2" t="s">
        <v>25</v>
      </c>
      <c r="E940" s="2" t="s">
        <v>14</v>
      </c>
      <c r="F940" s="2" t="s">
        <v>15</v>
      </c>
      <c r="G940" s="2" t="s">
        <v>2552</v>
      </c>
      <c r="H940" s="2" t="s">
        <v>64</v>
      </c>
      <c r="I940" s="2" t="str">
        <f>IFERROR(__xludf.DUMMYFUNCTION("GOOGLETRANSLATE(C940,""fr"",""en"")"),"Fast, efficient, competitive prices, good subscription service, a little high franchises. It remains to be seen in use! Until then I recommend the olive tree.")</f>
        <v>Fast, efficient, competitive prices, good subscription service, a little high franchises. It remains to be seen in use! Until then I recommend the olive tree.</v>
      </c>
    </row>
    <row r="941" ht="15.75" customHeight="1">
      <c r="A941" s="2">
        <v>3.0</v>
      </c>
      <c r="B941" s="2" t="s">
        <v>2553</v>
      </c>
      <c r="C941" s="2" t="s">
        <v>2554</v>
      </c>
      <c r="D941" s="2" t="s">
        <v>39</v>
      </c>
      <c r="E941" s="2" t="s">
        <v>14</v>
      </c>
      <c r="F941" s="2" t="s">
        <v>15</v>
      </c>
      <c r="G941" s="2" t="s">
        <v>80</v>
      </c>
      <c r="H941" s="2" t="s">
        <v>17</v>
      </c>
      <c r="I941" s="2" t="str">
        <f>IFERROR(__xludf.DUMMYFUNCTION("GOOGLETRANSLATE(C941,""fr"",""en"")"),"Rapid registration and attractive price but I do not yet know what this insurance is worth in the event of a disaster, hoping not to realize it quickly")</f>
        <v>Rapid registration and attractive price but I do not yet know what this insurance is worth in the event of a disaster, hoping not to realize it quickly</v>
      </c>
    </row>
    <row r="942" ht="15.75" customHeight="1">
      <c r="A942" s="2">
        <v>5.0</v>
      </c>
      <c r="B942" s="2" t="s">
        <v>2555</v>
      </c>
      <c r="C942" s="2" t="s">
        <v>2556</v>
      </c>
      <c r="D942" s="2" t="s">
        <v>39</v>
      </c>
      <c r="E942" s="2" t="s">
        <v>14</v>
      </c>
      <c r="F942" s="2" t="s">
        <v>15</v>
      </c>
      <c r="G942" s="2" t="s">
        <v>2016</v>
      </c>
      <c r="H942" s="2" t="s">
        <v>109</v>
      </c>
      <c r="I942" s="2" t="str">
        <f>IFERROR(__xludf.DUMMYFUNCTION("GOOGLETRANSLATE(C942,""fr"",""en"")"),"It's cool. Really very cool, my new car is in good standing and I can get rid of the old without blinking, it will go through and my new insurance costs me even cheaper than the old!")</f>
        <v>It's cool. Really very cool, my new car is in good standing and I can get rid of the old without blinking, it will go through and my new insurance costs me even cheaper than the old!</v>
      </c>
    </row>
    <row r="943" ht="15.75" customHeight="1">
      <c r="A943" s="2">
        <v>3.0</v>
      </c>
      <c r="B943" s="2" t="s">
        <v>2557</v>
      </c>
      <c r="C943" s="2" t="s">
        <v>2558</v>
      </c>
      <c r="D943" s="2" t="s">
        <v>20</v>
      </c>
      <c r="E943" s="2" t="s">
        <v>14</v>
      </c>
      <c r="F943" s="2" t="s">
        <v>15</v>
      </c>
      <c r="G943" s="2" t="s">
        <v>2441</v>
      </c>
      <c r="H943" s="2" t="s">
        <v>504</v>
      </c>
      <c r="I943" s="2" t="str">
        <f>IFERROR(__xludf.DUMMYFUNCTION("GOOGLETRANSLATE(C943,""fr"",""en"")"),"I was strongly upset for the increase in my deductible from 100 to 400 euros following 2 accidents in 2 years including one not responsible")</f>
        <v>I was strongly upset for the increase in my deductible from 100 to 400 euros following 2 accidents in 2 years including one not responsible</v>
      </c>
    </row>
    <row r="944" ht="15.75" customHeight="1">
      <c r="A944" s="2">
        <v>5.0</v>
      </c>
      <c r="B944" s="2" t="s">
        <v>2559</v>
      </c>
      <c r="C944" s="2" t="s">
        <v>2560</v>
      </c>
      <c r="D944" s="2" t="s">
        <v>241</v>
      </c>
      <c r="E944" s="2" t="s">
        <v>45</v>
      </c>
      <c r="F944" s="2" t="s">
        <v>15</v>
      </c>
      <c r="G944" s="2" t="s">
        <v>627</v>
      </c>
      <c r="H944" s="2" t="s">
        <v>101</v>
      </c>
      <c r="I944" s="2" t="str">
        <f>IFERROR(__xludf.DUMMYFUNCTION("GOOGLETRANSLATE(C944,""fr"",""en"")"),"A listening mutual, a network of elected, identified and effective proximity delegates.
A value for money finely set up to various benefits and allowances paid to its protected persons")</f>
        <v>A listening mutual, a network of elected, identified and effective proximity delegates.
A value for money finely set up to various benefits and allowances paid to its protected persons</v>
      </c>
    </row>
    <row r="945" ht="15.75" customHeight="1">
      <c r="A945" s="2">
        <v>4.0</v>
      </c>
      <c r="B945" s="2" t="s">
        <v>2561</v>
      </c>
      <c r="C945" s="2" t="s">
        <v>2562</v>
      </c>
      <c r="D945" s="2" t="s">
        <v>25</v>
      </c>
      <c r="E945" s="2" t="s">
        <v>14</v>
      </c>
      <c r="F945" s="2" t="s">
        <v>15</v>
      </c>
      <c r="G945" s="2" t="s">
        <v>245</v>
      </c>
      <c r="H945" s="2" t="s">
        <v>113</v>
      </c>
      <c r="I945" s="2" t="str">
        <f>IFERROR(__xludf.DUMMYFUNCTION("GOOGLETRANSLATE(C945,""fr"",""en"")"),"For now, everything is okay !
The price is interesting and the contact is good.
Not necessarily easy to find your way there on the site for change of email address and bank account.")</f>
        <v>For now, everything is okay !
The price is interesting and the contact is good.
Not necessarily easy to find your way there on the site for change of email address and bank account.</v>
      </c>
    </row>
    <row r="946" ht="15.75" customHeight="1">
      <c r="A946" s="2">
        <v>2.0</v>
      </c>
      <c r="B946" s="2" t="s">
        <v>2563</v>
      </c>
      <c r="C946" s="2" t="s">
        <v>2564</v>
      </c>
      <c r="D946" s="2" t="s">
        <v>176</v>
      </c>
      <c r="E946" s="2" t="s">
        <v>96</v>
      </c>
      <c r="F946" s="2" t="s">
        <v>15</v>
      </c>
      <c r="G946" s="2" t="s">
        <v>2565</v>
      </c>
      <c r="H946" s="2" t="s">
        <v>974</v>
      </c>
      <c r="I946" s="2" t="str">
        <f>IFERROR(__xludf.DUMMYFUNCTION("GOOGLETRANSLATE(C946,""fr"",""en"")"),"A disaster ... to flee !! everything is beautiful in the announcements (including the photo of the president) but in reality it is to cry ... of rage! I'm looking to fill the 200 characters minimum")</f>
        <v>A disaster ... to flee !! everything is beautiful in the announcements (including the photo of the president) but in reality it is to cry ... of rage! I'm looking to fill the 200 characters minimum</v>
      </c>
    </row>
    <row r="947" ht="15.75" customHeight="1">
      <c r="A947" s="2">
        <v>3.0</v>
      </c>
      <c r="B947" s="2" t="s">
        <v>2566</v>
      </c>
      <c r="C947" s="2" t="s">
        <v>2567</v>
      </c>
      <c r="D947" s="2" t="s">
        <v>20</v>
      </c>
      <c r="E947" s="2" t="s">
        <v>14</v>
      </c>
      <c r="F947" s="2" t="s">
        <v>15</v>
      </c>
      <c r="G947" s="2" t="s">
        <v>2568</v>
      </c>
      <c r="H947" s="2" t="s">
        <v>1083</v>
      </c>
      <c r="I947" s="2" t="str">
        <f>IFERROR(__xludf.DUMMYFUNCTION("GOOGLETRANSLATE(C947,""fr"",""en"")"),"Very good insurance, too bad contracts are high even when you have several contracts housing, cars, motorcycles")</f>
        <v>Very good insurance, too bad contracts are high even when you have several contracts housing, cars, motorcycles</v>
      </c>
    </row>
    <row r="948" ht="15.75" customHeight="1">
      <c r="A948" s="2">
        <v>3.0</v>
      </c>
      <c r="B948" s="2" t="s">
        <v>2569</v>
      </c>
      <c r="C948" s="2" t="s">
        <v>2570</v>
      </c>
      <c r="D948" s="2" t="s">
        <v>39</v>
      </c>
      <c r="E948" s="2" t="s">
        <v>14</v>
      </c>
      <c r="F948" s="2" t="s">
        <v>15</v>
      </c>
      <c r="G948" s="2" t="s">
        <v>245</v>
      </c>
      <c r="H948" s="2" t="s">
        <v>113</v>
      </c>
      <c r="I948" s="2" t="str">
        <f>IFERROR(__xludf.DUMMYFUNCTION("GOOGLETRANSLATE(C948,""fr"",""en"")"),"Simple and practical, no particular difficulties, correct price, contact and availability.
 How to get my Crit'Air tank top 2. Thank you.")</f>
        <v>Simple and practical, no particular difficulties, correct price, contact and availability.
 How to get my Crit'Air tank top 2. Thank you.</v>
      </c>
    </row>
    <row r="949" ht="15.75" customHeight="1">
      <c r="A949" s="2">
        <v>1.0</v>
      </c>
      <c r="B949" s="2" t="s">
        <v>2571</v>
      </c>
      <c r="C949" s="2" t="s">
        <v>2572</v>
      </c>
      <c r="D949" s="2" t="s">
        <v>25</v>
      </c>
      <c r="E949" s="2" t="s">
        <v>14</v>
      </c>
      <c r="F949" s="2" t="s">
        <v>15</v>
      </c>
      <c r="G949" s="2" t="s">
        <v>2573</v>
      </c>
      <c r="H949" s="2" t="s">
        <v>375</v>
      </c>
      <c r="I949" s="2" t="str">
        <f>IFERROR(__xludf.DUMMYFUNCTION("GOOGLETRANSLATE(C949,""fr"",""en"")"),"Completely disappointed with my experience with the insurance olive tree ... Indeed at first glance the price is interesting because very affordable however when you have a glitch there you even regret having spent this ""affordable price"" !!!!
My vehic"&amp;"le was burnt down on 15/07, declaration made in the process the same day by indicating that the vehicle found itself in annoying parking that it should quickly bring in a trailer in order to make its removal. Since that date, I call every 2 days or even e"&amp;"very day so that my vehicle is finally appraised! Obviously and following their inaction, my vehicle was removed by the pound. So I take the steps to you with the police station in order to obtain the grip of the pound so that I go back to hand it in hand"&amp;"! In other words what I spent monthly for this insurance corresponds to the work I do in their place by moving myself to the various actors and by contacting them myself (pound, police station, expert and garage) . Today I am in the panade because I have "&amp;"to make a loan vehicle (loaned for 7 days only), I only say when you know that my disaster is still not solved after 1 month and 11 days and That beyond I must manage to move with my 2 children! Needless to say, I have always been taken since the date of "&amp;"my disaster. A registered letter was sent to the complaint service for which I still haven't had a return. In short if you subscribe to this insurance, it is at your own risk.
")</f>
        <v>Completely disappointed with my experience with the insurance olive tree ... Indeed at first glance the price is interesting because very affordable however when you have a glitch there you even regret having spent this "affordable price" !!!!
My vehicle was burnt down on 15/07, declaration made in the process the same day by indicating that the vehicle found itself in annoying parking that it should quickly bring in a trailer in order to make its removal. Since that date, I call every 2 days or even every day so that my vehicle is finally appraised! Obviously and following their inaction, my vehicle was removed by the pound. So I take the steps to you with the police station in order to obtain the grip of the pound so that I go back to hand it in hand! In other words what I spent monthly for this insurance corresponds to the work I do in their place by moving myself to the various actors and by contacting them myself (pound, police station, expert and garage) . Today I am in the panade because I have to make a loan vehicle (loaned for 7 days only), I only say when you know that my disaster is still not solved after 1 month and 11 days and That beyond I must manage to move with my 2 children! Needless to say, I have always been taken since the date of my disaster. A registered letter was sent to the complaint service for which I still haven't had a return. In short if you subscribe to this insurance, it is at your own risk.
</v>
      </c>
    </row>
    <row r="950" ht="15.75" customHeight="1">
      <c r="A950" s="2">
        <v>4.0</v>
      </c>
      <c r="B950" s="2" t="s">
        <v>2574</v>
      </c>
      <c r="C950" s="2" t="s">
        <v>2575</v>
      </c>
      <c r="D950" s="2" t="s">
        <v>39</v>
      </c>
      <c r="E950" s="2" t="s">
        <v>14</v>
      </c>
      <c r="F950" s="2" t="s">
        <v>15</v>
      </c>
      <c r="G950" s="2" t="s">
        <v>520</v>
      </c>
      <c r="H950" s="2" t="s">
        <v>113</v>
      </c>
      <c r="I950" s="2" t="str">
        <f>IFERROR(__xludf.DUMMYFUNCTION("GOOGLETRANSLATE(C950,""fr"",""en"")"),"* Speed
* Professionalism
* Cheaper than an agency, best prices and reception
* The best of digital with the quality of advice of a physical agency")</f>
        <v>* Speed
* Professionalism
* Cheaper than an agency, best prices and reception
* The best of digital with the quality of advice of a physical agency</v>
      </c>
    </row>
    <row r="951" ht="15.75" customHeight="1">
      <c r="A951" s="2">
        <v>1.0</v>
      </c>
      <c r="B951" s="2" t="s">
        <v>2576</v>
      </c>
      <c r="C951" s="2" t="s">
        <v>2577</v>
      </c>
      <c r="D951" s="2" t="s">
        <v>361</v>
      </c>
      <c r="E951" s="2" t="s">
        <v>14</v>
      </c>
      <c r="F951" s="2" t="s">
        <v>15</v>
      </c>
      <c r="G951" s="2" t="s">
        <v>2578</v>
      </c>
      <c r="H951" s="2" t="s">
        <v>785</v>
      </c>
      <c r="I951" s="2" t="str">
        <f>IFERROR(__xludf.DUMMYFUNCTION("GOOGLETRANSLATE(C951,""fr"",""en"")"),"Insurance very limiting, no professionalism to avoid the day when you will have a dispute you will regret it. And if you claim they put you in touch with their lawyers. The militant service is useless in any case the militant term I don't know why they us"&amp;"e it.")</f>
        <v>Insurance very limiting, no professionalism to avoid the day when you will have a dispute you will regret it. And if you claim they put you in touch with their lawyers. The militant service is useless in any case the militant term I don't know why they use it.</v>
      </c>
    </row>
    <row r="952" ht="15.75" customHeight="1">
      <c r="A952" s="2">
        <v>4.0</v>
      </c>
      <c r="B952" s="2" t="s">
        <v>2579</v>
      </c>
      <c r="C952" s="2" t="s">
        <v>2580</v>
      </c>
      <c r="D952" s="2" t="s">
        <v>39</v>
      </c>
      <c r="E952" s="2" t="s">
        <v>14</v>
      </c>
      <c r="F952" s="2" t="s">
        <v>15</v>
      </c>
      <c r="G952" s="2" t="s">
        <v>556</v>
      </c>
      <c r="H952" s="2" t="s">
        <v>109</v>
      </c>
      <c r="I952" s="2" t="str">
        <f>IFERROR(__xludf.DUMMYFUNCTION("GOOGLETRANSLATE(C952,""fr"",""en"")"),"Very satisfied, particularly contacts and charges during a disaster or all requests, very well welcome, clear and rapid responses to the problems raising")</f>
        <v>Very satisfied, particularly contacts and charges during a disaster or all requests, very well welcome, clear and rapid responses to the problems raising</v>
      </c>
    </row>
    <row r="953" ht="15.75" customHeight="1">
      <c r="A953" s="2">
        <v>2.0</v>
      </c>
      <c r="B953" s="2" t="s">
        <v>2581</v>
      </c>
      <c r="C953" s="2" t="s">
        <v>2582</v>
      </c>
      <c r="D953" s="2" t="s">
        <v>328</v>
      </c>
      <c r="E953" s="2" t="s">
        <v>96</v>
      </c>
      <c r="F953" s="2" t="s">
        <v>15</v>
      </c>
      <c r="G953" s="2" t="s">
        <v>515</v>
      </c>
      <c r="H953" s="2" t="s">
        <v>109</v>
      </c>
      <c r="I953" s="2" t="str">
        <f>IFERROR(__xludf.DUMMYFUNCTION("GOOGLETRANSLATE(C953,""fr"",""en"")"),"It is extremely complicated to access your accounts. In addition, the unlocking of secret codes is only done by mail! Where it takes 6 figures, I receive only 5!
1 month that I try to connect impossible. Too bad for such a large group.
")</f>
        <v>It is extremely complicated to access your accounts. In addition, the unlocking of secret codes is only done by mail! Where it takes 6 figures, I receive only 5!
1 month that I try to connect impossible. Too bad for such a large group.
</v>
      </c>
    </row>
    <row r="954" ht="15.75" customHeight="1">
      <c r="A954" s="2">
        <v>5.0</v>
      </c>
      <c r="B954" s="2" t="s">
        <v>2583</v>
      </c>
      <c r="C954" s="2" t="s">
        <v>2584</v>
      </c>
      <c r="D954" s="2" t="s">
        <v>39</v>
      </c>
      <c r="E954" s="2" t="s">
        <v>14</v>
      </c>
      <c r="F954" s="2" t="s">
        <v>15</v>
      </c>
      <c r="G954" s="2" t="s">
        <v>17</v>
      </c>
      <c r="H954" s="2" t="s">
        <v>17</v>
      </c>
      <c r="I954" s="2" t="str">
        <f>IFERROR(__xludf.DUMMYFUNCTION("GOOGLETRANSLATE(C954,""fr"",""en"")"),"I'm satisfied…. I am suitable for the price for the first time with them as I have never done at insurance for 5 years I suspected second driver with my ex -husband")</f>
        <v>I'm satisfied…. I am suitable for the price for the first time with them as I have never done at insurance for 5 years I suspected second driver with my ex -husband</v>
      </c>
    </row>
    <row r="955" ht="15.75" customHeight="1">
      <c r="A955" s="2">
        <v>3.0</v>
      </c>
      <c r="B955" s="2" t="s">
        <v>2585</v>
      </c>
      <c r="C955" s="2" t="s">
        <v>2586</v>
      </c>
      <c r="D955" s="2" t="s">
        <v>25</v>
      </c>
      <c r="E955" s="2" t="s">
        <v>14</v>
      </c>
      <c r="F955" s="2" t="s">
        <v>15</v>
      </c>
      <c r="G955" s="2" t="s">
        <v>2587</v>
      </c>
      <c r="H955" s="2" t="s">
        <v>120</v>
      </c>
      <c r="I955" s="2" t="str">
        <f>IFERROR(__xludf.DUMMYFUNCTION("GOOGLETRANSLATE(C955,""fr"",""en"")"),"Very satisfied, the price is a little expensive!
Please accept Madame Monsieur The expression of my distinguished greetings
MR:
Bourbia
Abdelhamid
")</f>
        <v>Very satisfied, the price is a little expensive!
Please accept Madame Monsieur The expression of my distinguished greetings
MR:
Bourbia
Abdelhamid
</v>
      </c>
    </row>
    <row r="956" ht="15.75" customHeight="1">
      <c r="A956" s="2">
        <v>1.0</v>
      </c>
      <c r="B956" s="2" t="s">
        <v>2588</v>
      </c>
      <c r="C956" s="2" t="s">
        <v>2589</v>
      </c>
      <c r="D956" s="2" t="s">
        <v>398</v>
      </c>
      <c r="E956" s="2" t="s">
        <v>45</v>
      </c>
      <c r="F956" s="2" t="s">
        <v>15</v>
      </c>
      <c r="G956" s="2" t="s">
        <v>2590</v>
      </c>
      <c r="H956" s="2" t="s">
        <v>1719</v>
      </c>
      <c r="I956" s="2" t="str">
        <f>IFERROR(__xludf.DUMMYFUNCTION("GOOGLETRANSLATE(C956,""fr"",""en"")"),"Mandatory corporate mutual. In 2 years, doubling of prices and decreases in services. What to say others?
A IS, a computer system and permanent waste, I know external externals more than € 500 per day to which we do not entrust any task for several weeks"&amp;" and there are many in this situation. A shame !")</f>
        <v>Mandatory corporate mutual. In 2 years, doubling of prices and decreases in services. What to say others?
A IS, a computer system and permanent waste, I know external externals more than € 500 per day to which we do not entrust any task for several weeks and there are many in this situation. A shame !</v>
      </c>
    </row>
    <row r="957" ht="15.75" customHeight="1">
      <c r="A957" s="2">
        <v>1.0</v>
      </c>
      <c r="B957" s="2" t="s">
        <v>2591</v>
      </c>
      <c r="C957" s="2" t="s">
        <v>2592</v>
      </c>
      <c r="D957" s="2" t="s">
        <v>25</v>
      </c>
      <c r="E957" s="2" t="s">
        <v>14</v>
      </c>
      <c r="F957" s="2" t="s">
        <v>15</v>
      </c>
      <c r="G957" s="2" t="s">
        <v>2593</v>
      </c>
      <c r="H957" s="2" t="s">
        <v>73</v>
      </c>
      <c r="I957" s="2" t="str">
        <f>IFERROR(__xludf.DUMMYFUNCTION("GOOGLETRANSLATE(C957,""fr"",""en"")"),"It's been 1 month and a half that I am led by boat just to have the manager of my sinister file !! He gives me telephonic appointments which have not been honored for 1 month and a half !! Today he called me I couldn't get off I am reminding them 1 min af"&amp;"ter they told me that it was not necessary to miss it and they gave me a telephonic meeting in 1 week ( So I have to wait 2 weeks to have a simple disaster manager). Since April 30, 2020 I have been without vehicle, and of course without response regardin"&amp;"g the advancement of my disaster. I only wish to have information concerning the advancement of my disaster and for this simple request they are incapable.
I have to advance the repair costs of my vehicle which amounts to more than 3000 euros but after h"&amp;"aving read the comments of the different insured I think that it is refunded in 2021.")</f>
        <v>It's been 1 month and a half that I am led by boat just to have the manager of my sinister file !! He gives me telephonic appointments which have not been honored for 1 month and a half !! Today he called me I couldn't get off I am reminding them 1 min after they told me that it was not necessary to miss it and they gave me a telephonic meeting in 1 week ( So I have to wait 2 weeks to have a simple disaster manager). Since April 30, 2020 I have been without vehicle, and of course without response regarding the advancement of my disaster. I only wish to have information concerning the advancement of my disaster and for this simple request they are incapable.
I have to advance the repair costs of my vehicle which amounts to more than 3000 euros but after having read the comments of the different insured I think that it is refunded in 2021.</v>
      </c>
    </row>
    <row r="958" ht="15.75" customHeight="1">
      <c r="A958" s="2">
        <v>1.0</v>
      </c>
      <c r="B958" s="2" t="s">
        <v>2594</v>
      </c>
      <c r="C958" s="2" t="s">
        <v>2595</v>
      </c>
      <c r="D958" s="2" t="s">
        <v>67</v>
      </c>
      <c r="E958" s="2" t="s">
        <v>50</v>
      </c>
      <c r="F958" s="2" t="s">
        <v>15</v>
      </c>
      <c r="G958" s="2" t="s">
        <v>2596</v>
      </c>
      <c r="H958" s="2" t="s">
        <v>1719</v>
      </c>
      <c r="I958" s="2" t="str">
        <f>IFERROR(__xludf.DUMMYFUNCTION("GOOGLETRANSLATE(C958,""fr"",""en"")"),"A year and a half after a disaster for which I am not responsible, I am still not reimbursed ..... a proposal for a ""commercial gesture with the mind of my loyalty"" suggests an alliance between insurance, because not being Not responsible, it is the ins"&amp;"urance of the company that has been lacking with me who owes me money .... how to make a commercial gesture when it is not my insurance that pays ????")</f>
        <v>A year and a half after a disaster for which I am not responsible, I am still not reimbursed ..... a proposal for a "commercial gesture with the mind of my loyalty" suggests an alliance between insurance, because not being Not responsible, it is the insurance of the company that has been lacking with me who owes me money .... how to make a commercial gesture when it is not my insurance that pays ????</v>
      </c>
    </row>
    <row r="959" ht="15.75" customHeight="1">
      <c r="A959" s="2">
        <v>1.0</v>
      </c>
      <c r="B959" s="2" t="s">
        <v>2597</v>
      </c>
      <c r="C959" s="2" t="s">
        <v>2598</v>
      </c>
      <c r="D959" s="2" t="s">
        <v>2599</v>
      </c>
      <c r="E959" s="2" t="s">
        <v>429</v>
      </c>
      <c r="F959" s="2" t="s">
        <v>15</v>
      </c>
      <c r="G959" s="2" t="s">
        <v>2600</v>
      </c>
      <c r="H959" s="2" t="s">
        <v>124</v>
      </c>
      <c r="I959" s="2" t="str">
        <f>IFERROR(__xludf.DUMMYFUNCTION("GOOGLETRANSLATE(C959,""fr"",""en"")"),"Vile insurance
After a 20 -month care, my doctor attending them a mail specifying a disability, AFI ESCA makes me assemble, to find out if my condition corresponds to their definition of work stoppage.
The mandated expert is an old acquaintance, he wa"&amp;"s once on my side by being my doctor of appeal for the same pathology !! Normally he should have been diverted from the file, but he carried out the expertise.
He barely looked at my exams, mentioned that I had important problems, and curiously concluded"&amp;" that I was suitable for full -time work.
The height is that he selected a date for the ability, on March 21, 2019, on Thursday, in the middle of a month. After verifying the elements of my file, I note that March 21 is the date of a CHU teacher saying"&amp;" that I must go into disability before a handicap and important pain.
Obviously AFI ESCA ended my care before inevitable disability is indicated to him.
Having read a lot of similar opinions I note that this insurer is despicable, closing the files "&amp;"to avoid repaying.
To flee.")</f>
        <v>Vile insurance
After a 20 -month care, my doctor attending them a mail specifying a disability, AFI ESCA makes me assemble, to find out if my condition corresponds to their definition of work stoppage.
The mandated expert is an old acquaintance, he was once on my side by being my doctor of appeal for the same pathology !! Normally he should have been diverted from the file, but he carried out the expertise.
He barely looked at my exams, mentioned that I had important problems, and curiously concluded that I was suitable for full -time work.
The height is that he selected a date for the ability, on March 21, 2019, on Thursday, in the middle of a month. After verifying the elements of my file, I note that March 21 is the date of a CHU teacher saying that I must go into disability before a handicap and important pain.
Obviously AFI ESCA ended my care before inevitable disability is indicated to him.
Having read a lot of similar opinions I note that this insurer is despicable, closing the files to avoid repaying.
To flee.</v>
      </c>
    </row>
    <row r="960" ht="15.75" customHeight="1">
      <c r="A960" s="2">
        <v>1.0</v>
      </c>
      <c r="B960" s="2" t="s">
        <v>2601</v>
      </c>
      <c r="C960" s="2" t="s">
        <v>2602</v>
      </c>
      <c r="D960" s="2" t="s">
        <v>39</v>
      </c>
      <c r="E960" s="2" t="s">
        <v>14</v>
      </c>
      <c r="F960" s="2" t="s">
        <v>15</v>
      </c>
      <c r="G960" s="2" t="s">
        <v>2603</v>
      </c>
      <c r="H960" s="2" t="s">
        <v>113</v>
      </c>
      <c r="I960" s="2" t="str">
        <f>IFERROR(__xludf.DUMMYFUNCTION("GOOGLETRANSLATE(C960,""fr"",""en"")"),"When subscribing to a contract, this insurer is very attentive. I have no opinion on his management of claims not having declared any. On the other hand, when I wanted to terminate in 2021, following a very high increase very prices (+10 % approximately, "&amp;"without any objective reason), I noticed an obvious poor will (difficulty in obtaining a situation statement, refusal To take into account the request made by my new insurer, refusal to take into account an online request on the reason -inexact- of the ab"&amp;"sence of a signed document ... and levy of the new premium almost a month before deadline...")</f>
        <v>When subscribing to a contract, this insurer is very attentive. I have no opinion on his management of claims not having declared any. On the other hand, when I wanted to terminate in 2021, following a very high increase very prices (+10 % approximately, without any objective reason), I noticed an obvious poor will (difficulty in obtaining a situation statement, refusal To take into account the request made by my new insurer, refusal to take into account an online request on the reason -inexact- of the absence of a signed document ... and levy of the new premium almost a month before deadline...</v>
      </c>
    </row>
    <row r="961" ht="15.75" customHeight="1">
      <c r="A961" s="2">
        <v>3.0</v>
      </c>
      <c r="B961" s="2" t="s">
        <v>2604</v>
      </c>
      <c r="C961" s="2" t="s">
        <v>2605</v>
      </c>
      <c r="D961" s="2" t="s">
        <v>39</v>
      </c>
      <c r="E961" s="2" t="s">
        <v>14</v>
      </c>
      <c r="F961" s="2" t="s">
        <v>15</v>
      </c>
      <c r="G961" s="2" t="s">
        <v>2606</v>
      </c>
      <c r="H961" s="2" t="s">
        <v>371</v>
      </c>
      <c r="I961" s="2" t="str">
        <f>IFERROR(__xludf.DUMMYFUNCTION("GOOGLETRANSLATE(C961,""fr"",""en"")"),"Following a collision in Belgium, I was parked and we hit my vehicle, wing and damaged door, I make an amicable observation, the opposing part recognizes that it is wrong. I send the observation, On the phone, the Direct Insurance Advisor tells me to depo"&amp;"sit the vehicle at the garage for expertise, 1100 € repair costs, so I have it repaired, 15 days later the garage phone, I can resume my vehicle the repair are made but Surprise When I arrive at the garage, Direct Insurance does not want to pay the invoic"&amp;"e ah good ???? I tel with insurance and I am told that he does not pay the invoice why ??????
However, they seem normal to me that Direct Insurance pays and turns to the opposing party to be reimbursed, otherwise tell me why we have to take a file number"&amp;" insurance is the 509258567.")</f>
        <v>Following a collision in Belgium, I was parked and we hit my vehicle, wing and damaged door, I make an amicable observation, the opposing part recognizes that it is wrong. I send the observation, On the phone, the Direct Insurance Advisor tells me to deposit the vehicle at the garage for expertise, 1100 € repair costs, so I have it repaired, 15 days later the garage phone, I can resume my vehicle the repair are made but Surprise When I arrive at the garage, Direct Insurance does not want to pay the invoice ah good ???? I tel with insurance and I am told that he does not pay the invoice why ??????
However, they seem normal to me that Direct Insurance pays and turns to the opposing party to be reimbursed, otherwise tell me why we have to take a file number insurance is the 509258567.</v>
      </c>
    </row>
    <row r="962" ht="15.75" customHeight="1">
      <c r="A962" s="2">
        <v>1.0</v>
      </c>
      <c r="B962" s="2" t="s">
        <v>2607</v>
      </c>
      <c r="C962" s="2" t="s">
        <v>2608</v>
      </c>
      <c r="D962" s="2" t="s">
        <v>107</v>
      </c>
      <c r="E962" s="2" t="s">
        <v>45</v>
      </c>
      <c r="F962" s="2" t="s">
        <v>15</v>
      </c>
      <c r="G962" s="2" t="s">
        <v>22</v>
      </c>
      <c r="H962" s="2" t="s">
        <v>22</v>
      </c>
      <c r="I962" s="2" t="str">
        <f>IFERROR(__xludf.DUMMYFUNCTION("GOOGLETRANSLATE(C962,""fr"",""en"")"),"I follow up on the comment left last night, after many exchanges not always fruitful, the Sercive complaint has just confirmed my request for termination. I remain just waiting for the radiation certificates that should follow. Finally a positive point in"&amp;" this experience")</f>
        <v>I follow up on the comment left last night, after many exchanges not always fruitful, the Sercive complaint has just confirmed my request for termination. I remain just waiting for the radiation certificates that should follow. Finally a positive point in this experience</v>
      </c>
    </row>
    <row r="963" ht="15.75" customHeight="1">
      <c r="A963" s="2">
        <v>3.0</v>
      </c>
      <c r="B963" s="2" t="s">
        <v>2609</v>
      </c>
      <c r="C963" s="2" t="s">
        <v>2610</v>
      </c>
      <c r="D963" s="2" t="s">
        <v>107</v>
      </c>
      <c r="E963" s="2" t="s">
        <v>45</v>
      </c>
      <c r="F963" s="2" t="s">
        <v>15</v>
      </c>
      <c r="G963" s="2" t="s">
        <v>850</v>
      </c>
      <c r="H963" s="2" t="s">
        <v>84</v>
      </c>
      <c r="I963" s="2" t="str">
        <f>IFERROR(__xludf.DUMMYFUNCTION("GOOGLETRANSLATE(C963,""fr"",""en"")"),"I would just like to thank Aminata ""an agent with whom I exchanged to help me validate my membership and ask for some other information.
It was fluid it was effective. Now I am still new in this mutual health at this level I could not say more.")</f>
        <v>I would just like to thank Aminata "an agent with whom I exchanged to help me validate my membership and ask for some other information.
It was fluid it was effective. Now I am still new in this mutual health at this level I could not say more.</v>
      </c>
    </row>
    <row r="964" ht="15.75" customHeight="1">
      <c r="A964" s="2">
        <v>4.0</v>
      </c>
      <c r="B964" s="2" t="s">
        <v>2611</v>
      </c>
      <c r="C964" s="2" t="s">
        <v>2612</v>
      </c>
      <c r="D964" s="2" t="s">
        <v>162</v>
      </c>
      <c r="E964" s="2" t="s">
        <v>45</v>
      </c>
      <c r="F964" s="2" t="s">
        <v>15</v>
      </c>
      <c r="G964" s="2" t="s">
        <v>2525</v>
      </c>
      <c r="H964" s="2" t="s">
        <v>120</v>
      </c>
      <c r="I964" s="2" t="str">
        <f>IFERROR(__xludf.DUMMYFUNCTION("GOOGLETRANSLATE(C964,""fr"",""en"")"),"Thank you Alassane for taking the time to send me the termination documents that I had trouble obtaining.
You were kind and patient
Cordially
")</f>
        <v>Thank you Alassane for taking the time to send me the termination documents that I had trouble obtaining.
You were kind and patient
Cordially
</v>
      </c>
    </row>
    <row r="965" ht="15.75" customHeight="1">
      <c r="A965" s="2">
        <v>2.0</v>
      </c>
      <c r="B965" s="2" t="s">
        <v>2613</v>
      </c>
      <c r="C965" s="2" t="s">
        <v>2614</v>
      </c>
      <c r="D965" s="2" t="s">
        <v>39</v>
      </c>
      <c r="E965" s="2" t="s">
        <v>14</v>
      </c>
      <c r="F965" s="2" t="s">
        <v>15</v>
      </c>
      <c r="G965" s="2" t="s">
        <v>553</v>
      </c>
      <c r="H965" s="2" t="s">
        <v>101</v>
      </c>
      <c r="I965" s="2" t="str">
        <f>IFERROR(__xludf.DUMMYFUNCTION("GOOGLETRANSLATE(C965,""fr"",""en"")"),"An increase in prices of 32 euros despite a bonus at 50 .... no claims during the year ... you do not know how to reward the right drivers")</f>
        <v>An increase in prices of 32 euros despite a bonus at 50 .... no claims during the year ... you do not know how to reward the right drivers</v>
      </c>
    </row>
    <row r="966" ht="15.75" customHeight="1">
      <c r="A966" s="2">
        <v>5.0</v>
      </c>
      <c r="B966" s="2" t="s">
        <v>2615</v>
      </c>
      <c r="C966" s="2" t="s">
        <v>2616</v>
      </c>
      <c r="D966" s="2" t="s">
        <v>39</v>
      </c>
      <c r="E966" s="2" t="s">
        <v>14</v>
      </c>
      <c r="F966" s="2" t="s">
        <v>15</v>
      </c>
      <c r="G966" s="2" t="s">
        <v>1548</v>
      </c>
      <c r="H966" s="2" t="s">
        <v>17</v>
      </c>
      <c r="I966" s="2" t="str">
        <f>IFERROR(__xludf.DUMMYFUNCTION("GOOGLETRANSLATE(C966,""fr"",""en"")"),"I am satisfied with the service.
Top team.
Fast service.
Very detailed quote.
Excellent insurance
Not the 1st contract with them and never disappointed.
A +++")</f>
        <v>I am satisfied with the service.
Top team.
Fast service.
Very detailed quote.
Excellent insurance
Not the 1st contract with them and never disappointed.
A +++</v>
      </c>
    </row>
    <row r="967" ht="15.75" customHeight="1">
      <c r="A967" s="2">
        <v>3.0</v>
      </c>
      <c r="B967" s="2" t="s">
        <v>2617</v>
      </c>
      <c r="C967" s="2" t="s">
        <v>2618</v>
      </c>
      <c r="D967" s="2" t="s">
        <v>361</v>
      </c>
      <c r="E967" s="2" t="s">
        <v>14</v>
      </c>
      <c r="F967" s="2" t="s">
        <v>15</v>
      </c>
      <c r="G967" s="2" t="s">
        <v>2051</v>
      </c>
      <c r="H967" s="2" t="s">
        <v>113</v>
      </c>
      <c r="I967" s="2" t="str">
        <f>IFERROR(__xludf.DUMMYFUNCTION("GOOGLETRANSLATE(C967,""fr"",""en"")"),"Do you know that Maif only offers you a replacement vehicle - in the event of a breakdown or accident - only if the disaster takes place in France (metropolitan +dom /tom)?
I took 50 years of insurance to convince me :-(
For more details, see contra"&amp;"ct-gap.")</f>
        <v>Do you know that Maif only offers you a replacement vehicle - in the event of a breakdown or accident - only if the disaster takes place in France (metropolitan +dom /tom)?
I took 50 years of insurance to convince me :-(
For more details, see contract-gap.</v>
      </c>
    </row>
    <row r="968" ht="15.75" customHeight="1">
      <c r="A968" s="2">
        <v>4.0</v>
      </c>
      <c r="B968" s="2" t="s">
        <v>2619</v>
      </c>
      <c r="C968" s="2" t="s">
        <v>2620</v>
      </c>
      <c r="D968" s="2" t="s">
        <v>25</v>
      </c>
      <c r="E968" s="2" t="s">
        <v>14</v>
      </c>
      <c r="F968" s="2" t="s">
        <v>15</v>
      </c>
      <c r="G968" s="2" t="s">
        <v>1089</v>
      </c>
      <c r="H968" s="2" t="s">
        <v>77</v>
      </c>
      <c r="I968" s="2" t="str">
        <f>IFERROR(__xludf.DUMMYFUNCTION("GOOGLETRANSLATE(C968,""fr"",""en"")"),"No problem. Quick and personalized response. Clear and complete explanations. Quick shipment and easy signature. We hope this continues well.")</f>
        <v>No problem. Quick and personalized response. Clear and complete explanations. Quick shipment and easy signature. We hope this continues well.</v>
      </c>
    </row>
    <row r="969" ht="15.75" customHeight="1">
      <c r="A969" s="2">
        <v>4.0</v>
      </c>
      <c r="B969" s="2" t="s">
        <v>2621</v>
      </c>
      <c r="C969" s="2" t="s">
        <v>2622</v>
      </c>
      <c r="D969" s="2" t="s">
        <v>35</v>
      </c>
      <c r="E969" s="2" t="s">
        <v>31</v>
      </c>
      <c r="F969" s="2" t="s">
        <v>15</v>
      </c>
      <c r="G969" s="2" t="s">
        <v>2623</v>
      </c>
      <c r="H969" s="2" t="s">
        <v>212</v>
      </c>
      <c r="I969" s="2" t="str">
        <f>IFERROR(__xludf.DUMMYFUNCTION("GOOGLETRANSLATE(C969,""fr"",""en"")"),"I think that as long as there is no disaster to manage, it is difficult to provide an objective opinion on the insurer.")</f>
        <v>I think that as long as there is no disaster to manage, it is difficult to provide an objective opinion on the insurer.</v>
      </c>
    </row>
    <row r="970" ht="15.75" customHeight="1">
      <c r="A970" s="2">
        <v>2.0</v>
      </c>
      <c r="B970" s="2" t="s">
        <v>2624</v>
      </c>
      <c r="C970" s="2" t="s">
        <v>2625</v>
      </c>
      <c r="D970" s="2" t="s">
        <v>398</v>
      </c>
      <c r="E970" s="2" t="s">
        <v>45</v>
      </c>
      <c r="F970" s="2" t="s">
        <v>15</v>
      </c>
      <c r="G970" s="2" t="s">
        <v>2626</v>
      </c>
      <c r="H970" s="2" t="s">
        <v>52</v>
      </c>
      <c r="I970" s="2" t="str">
        <f>IFERROR(__xludf.DUMMYFUNCTION("GOOGLETRANSLATE(C970,""fr"",""en"")"),"I had 2 comparative dental quotes at the end of July, not having a response I remind you 2 weeks later I am told that you have to wait a period of 20 days, good.
I remind you of August 17, while waiting for 10 minutes on the phone every time, I am told"&amp;" that it will be processed before the end of the week, I pass the details but I call them every week I am told that it will be treated , I receive a first quote on August 29/OK 1 in 2 it is a start but for a comparison it is not very useful, since I call "&amp;"2 times a week, in case where it does not forget me Not I am told every time it is under treatment.
6 weeks for a quote.")</f>
        <v>I had 2 comparative dental quotes at the end of July, not having a response I remind you 2 weeks later I am told that you have to wait a period of 20 days, good.
I remind you of August 17, while waiting for 10 minutes on the phone every time, I am told that it will be processed before the end of the week, I pass the details but I call them every week I am told that it will be treated , I receive a first quote on August 29/OK 1 in 2 it is a start but for a comparison it is not very useful, since I call 2 times a week, in case where it does not forget me Not I am told every time it is under treatment.
6 weeks for a quote.</v>
      </c>
    </row>
    <row r="971" ht="15.75" customHeight="1">
      <c r="A971" s="2">
        <v>2.0</v>
      </c>
      <c r="B971" s="2" t="s">
        <v>2627</v>
      </c>
      <c r="C971" s="2" t="s">
        <v>2628</v>
      </c>
      <c r="D971" s="2" t="s">
        <v>39</v>
      </c>
      <c r="E971" s="2" t="s">
        <v>14</v>
      </c>
      <c r="F971" s="2" t="s">
        <v>15</v>
      </c>
      <c r="G971" s="2" t="s">
        <v>32</v>
      </c>
      <c r="H971" s="2" t="s">
        <v>27</v>
      </c>
      <c r="I971" s="2" t="str">
        <f>IFERROR(__xludf.DUMMYFUNCTION("GOOGLETRANSLATE(C971,""fr"",""en"")"),"The prices and the system of good conduct are undeniable advantages.
In contrast, the management of claims and customer service are more than weaknesses (repulsions once we have been confronted with it)
Precisely after an extremely poorly managed claim "&amp;"by your services and the car professional, I leave you without possibilities to recommend you !!!")</f>
        <v>The prices and the system of good conduct are undeniable advantages.
In contrast, the management of claims and customer service are more than weaknesses (repulsions once we have been confronted with it)
Precisely after an extremely poorly managed claim by your services and the car professional, I leave you without possibilities to recommend you !!!</v>
      </c>
    </row>
    <row r="972" ht="15.75" customHeight="1">
      <c r="A972" s="2">
        <v>3.0</v>
      </c>
      <c r="B972" s="2" t="s">
        <v>2629</v>
      </c>
      <c r="C972" s="2" t="s">
        <v>2630</v>
      </c>
      <c r="D972" s="2" t="s">
        <v>67</v>
      </c>
      <c r="E972" s="2" t="s">
        <v>14</v>
      </c>
      <c r="F972" s="2" t="s">
        <v>15</v>
      </c>
      <c r="G972" s="2" t="s">
        <v>2085</v>
      </c>
      <c r="H972" s="2" t="s">
        <v>17</v>
      </c>
      <c r="I972" s="2" t="str">
        <f>IFERROR(__xludf.DUMMYFUNCTION("GOOGLETRANSLATE(C972,""fr"",""en"")"),"satisfaction of the service but the too high prices and the many deadlines are a bit difficult to follow
overall satisfied with services and the site")</f>
        <v>satisfaction of the service but the too high prices and the many deadlines are a bit difficult to follow
overall satisfied with services and the site</v>
      </c>
    </row>
    <row r="973" ht="15.75" customHeight="1">
      <c r="A973" s="2">
        <v>1.0</v>
      </c>
      <c r="B973" s="2" t="s">
        <v>2631</v>
      </c>
      <c r="C973" s="2" t="s">
        <v>2632</v>
      </c>
      <c r="D973" s="2" t="s">
        <v>361</v>
      </c>
      <c r="E973" s="2" t="s">
        <v>50</v>
      </c>
      <c r="F973" s="2" t="s">
        <v>15</v>
      </c>
      <c r="G973" s="2" t="s">
        <v>173</v>
      </c>
      <c r="H973" s="2" t="s">
        <v>120</v>
      </c>
      <c r="I973" s="2" t="str">
        <f>IFERROR(__xludf.DUMMYFUNCTION("GOOGLETRANSLATE(C973,""fr"",""en"")"),"The MAIF has joined the cohort of insurers who are enjoined to make figures or in any case to spend as little as possible for its members.
We suffered damage on the wall of our property on July 25 most certainly linked to a waterproofing lack of a lean-t"&amp;"o built by our neighbor against it. This lack of sealing probably prevented the rainwater from our wall and was able to cause its landslide in particular on the grip in particular of this lean -to, which did not take place elsewhere.
 It turns out that m"&amp;"y husband has by his profession as a building engineer and works director a certain expertise precisely in this area of ​​water flows.
Also capable of giving their opinion, the three entrepreneurs who came to establish a quote issued the same hypothesis."&amp;" (quote € 8,900 we understand of course that the MAIF commits an expert)
We waited almost a month and a half that an expert spends with us (September 17) then a month and a half again after 5 recovery emails and numerous calls to the MAIF so that it send"&amp;"s us the report (October 29) ...
A charge report after a masquerade of expertise: less than 10 minutes at a charge An ""expert"" concludes before us that our hypotheses (companies and my husband) are unwelcome and that the collapse is only ""the fruit of"&amp;" the chance "". His conclusions were ready before he passed the door and I pass in the tone and attitude of this gentleman. I immediately share with the Maif who says ""understand"" ...
The worst part is that in the report are certainly technical element"&amp;"s of judgment, but also completely subjective and shocking opinions, namely that the landslide is not only the ""fruit of chance"" as declared orally but is also due - I Cites the report - to obsolescence and a manifest lack of maintenance! We never know "&amp;"in case we have another disaster ... As he has a different opinion from ours, we are bad members who badly maintain their heritage.
In the event of disagreement, the Maif therefore offers us to receive this gentleman a second time with another expert who"&amp;"m we would name (€ 2200 at our charge), and if this counter-expertise does not go in the direction of Maif, a third Expertise shared this time between her and us. Or at least more than € 3000. They know how to discourage us.
It is the second time that th"&amp;"e maif has diligent an expertise that suits it. In 2013 I was the victim of an accident, recognized by the Maif totally not responsible, a car having struck, from the back, my vehicle. With confidence, I had given it to an approved brand where a Maif expe"&amp;"rt had decided with the garage boss that repairs would exceed almost double, the value of my vehicle. Amazing on my part, while my car was still listed € 5,200, to read that its ""expert"" value was € 2,500 and the encrypted repairs € 4,222. Economically "&amp;"non -repairable but technically repairable. I told Maif that I wanted to seize the mediator and that I had set up a file by looking for newspapers and reference sites for sales advertisements from my cars same options same even mileage. Indeed, it was ver"&amp;"y difficult for me to understand why a technically repairable vehicle cannot be precisely because MAIF has economically decided so. For them it is very simple: it is enough that an expert commissioned and paid by them leads to a significant underestimatio"&amp;"n of the real value of replacement of a vehicle.
 The expert reminded me and offered me € 2823 on the condition that I agree to abandon my vehicle for the benefit of Maif.
 I had the immense chance of having a pupil's father at that time who enlightened"&amp;" me on this kind of practice. This pupil's father, a merchant of motor vehicles, told me about this parallel car scholarship, well known to people like him, since it was his business, on which we find little accident cars like mine at The era but overchar"&amp;"ged by the expert and the mechanic in order to be recovered, repaired and put back on the market at a lower cost.
 A bodybuilding employee of this great garage had slipped me as an aside ""Your car madam she is completely repairable, is that bodywork you"&amp;" are right to recover it and not let yourself go, but situations like It is often that we see it passing… good luck to you ”. So I did not sign, I sold my vehicle to my student father € 500, he rehabilitated it with his bodybuilder who repaired the sheets"&amp;" (and not replaced these systematically) and practiced a normal hourly rate. For 2000 €, my car was repaired, appraised and sold for € 5,200. I was assured of all risks, bonus of 50%, I lost my car and received only € 2823 from the MAIF plus € 500 for the"&amp;" sale of it to my student father. I had to add 2000 € to buy a little Aygo. I only had the satisfaction of not participating in this circus and allowing my student to work honestly.
 The other tips he has provided to me are the following: do not leave hi"&amp;"s car in a large garage where experts have their ""habits"", know the bosses well and where they do not hesitate to swell the cost Repairs, discourage you from keeping and having your vehicle repaired by announcing exorbitant repairs but putting your vehi"&amp;"cle back to the small garage of your choice, the one where you have your habits and above all be present on the day of the expertise at the time of Cost parts and the final note and possibly be accompanied by someone in the profession to avoid any drift o"&amp;"r abuse. I wanted to leave them at the time but I read that this operating mode was widespread whatever insurance and that if such a problem was represented, I would seize an expert with the SEI (Syndicate of independent experts not linked to an insurer)."&amp;"
Here are, almost 40 years at La Maif and two ""important"" claims, unaccompanied correctly. One might think that a mutual that does not transfer its profits to shareholders has a completely different operation than private insurance. It is not the case "&amp;"and I noticed it more and more around me in the profession. I have always paid more than elsewhere that they were ethically ""above"" of the others and perhaps on my part a touch of misplaced corporatism. This was probably the case when I was a child and "&amp;"my family (teacher parents) was already in Maif. That's no longer news. To conclude the maif is good, they are nice on the phone, customer advisers have always been very available, nothing to say, but ultimately you should not cost them dearly and not to "&amp;"deal with their experts.
With a lot of bitterness and a huge disappointment, I will therefore terminate all my contracts.
")</f>
        <v>The MAIF has joined the cohort of insurers who are enjoined to make figures or in any case to spend as little as possible for its members.
We suffered damage on the wall of our property on July 25 most certainly linked to a waterproofing lack of a lean-to built by our neighbor against it. This lack of sealing probably prevented the rainwater from our wall and was able to cause its landslide in particular on the grip in particular of this lean -to, which did not take place elsewhere.
 It turns out that my husband has by his profession as a building engineer and works director a certain expertise precisely in this area of ​​water flows.
Also capable of giving their opinion, the three entrepreneurs who came to establish a quote issued the same hypothesis. (quote € 8,900 we understand of course that the MAIF commits an expert)
We waited almost a month and a half that an expert spends with us (September 17) then a month and a half again after 5 recovery emails and numerous calls to the MAIF so that it sends us the report (October 29) ...
A charge report after a masquerade of expertise: less than 10 minutes at a charge An "expert" concludes before us that our hypotheses (companies and my husband) are unwelcome and that the collapse is only "the fruit of the chance ". His conclusions were ready before he passed the door and I pass in the tone and attitude of this gentleman. I immediately share with the Maif who says "understand" ...
The worst part is that in the report are certainly technical elements of judgment, but also completely subjective and shocking opinions, namely that the landslide is not only the "fruit of chance" as declared orally but is also due - I Cites the report - to obsolescence and a manifest lack of maintenance! We never know in case we have another disaster ... As he has a different opinion from ours, we are bad members who badly maintain their heritage.
In the event of disagreement, the Maif therefore offers us to receive this gentleman a second time with another expert whom we would name (€ 2200 at our charge), and if this counter-expertise does not go in the direction of Maif, a third Expertise shared this time between her and us. Or at least more than € 3000. They know how to discourage us.
It is the second time that the maif has diligent an expertise that suits it. In 2013 I was the victim of an accident, recognized by the Maif totally not responsible, a car having struck, from the back, my vehicle. With confidence, I had given it to an approved brand where a Maif expert had decided with the garage boss that repairs would exceed almost double, the value of my vehicle. Amazing on my part, while my car was still listed € 5,200, to read that its "expert" value was € 2,500 and the encrypted repairs € 4,222. Economically non -repairable but technically repairable. I told Maif that I wanted to seize the mediator and that I had set up a file by looking for newspapers and reference sites for sales advertisements from my cars same options same even mileage. Indeed, it was very difficult for me to understand why a technically repairable vehicle cannot be precisely because MAIF has economically decided so. For them it is very simple: it is enough that an expert commissioned and paid by them leads to a significant underestimation of the real value of replacement of a vehicle.
 The expert reminded me and offered me € 2823 on the condition that I agree to abandon my vehicle for the benefit of Maif.
 I had the immense chance of having a pupil's father at that time who enlightened me on this kind of practice. This pupil's father, a merchant of motor vehicles, told me about this parallel car scholarship, well known to people like him, since it was his business, on which we find little accident cars like mine at The era but overcharged by the expert and the mechanic in order to be recovered, repaired and put back on the market at a lower cost.
 A bodybuilding employee of this great garage had slipped me as an aside "Your car madam she is completely repairable, is that bodywork you are right to recover it and not let yourself go, but situations like It is often that we see it passing… good luck to you ”. So I did not sign, I sold my vehicle to my student father € 500, he rehabilitated it with his bodybuilder who repaired the sheets (and not replaced these systematically) and practiced a normal hourly rate. For 2000 €, my car was repaired, appraised and sold for € 5,200. I was assured of all risks, bonus of 50%, I lost my car and received only € 2823 from the MAIF plus € 500 for the sale of it to my student father. I had to add 2000 € to buy a little Aygo. I only had the satisfaction of not participating in this circus and allowing my student to work honestly.
 The other tips he has provided to me are the following: do not leave his car in a large garage where experts have their "habits", know the bosses well and where they do not hesitate to swell the cost Repairs, discourage you from keeping and having your vehicle repaired by announcing exorbitant repairs but putting your vehicle back to the small garage of your choice, the one where you have your habits and above all be present on the day of the expertise at the time of Cost parts and the final note and possibly be accompanied by someone in the profession to avoid any drift or abuse. I wanted to leave them at the time but I read that this operating mode was widespread whatever insurance and that if such a problem was represented, I would seize an expert with the SEI (Syndicate of independent experts not linked to an insurer).
Here are, almost 40 years at La Maif and two "important" claims, unaccompanied correctly. One might think that a mutual that does not transfer its profits to shareholders has a completely different operation than private insurance. It is not the case and I noticed it more and more around me in the profession. I have always paid more than elsewhere that they were ethically "above" of the others and perhaps on my part a touch of misplaced corporatism. This was probably the case when I was a child and my family (teacher parents) was already in Maif. That's no longer news. To conclude the maif is good, they are nice on the phone, customer advisers have always been very available, nothing to say, but ultimately you should not cost them dearly and not to deal with their experts.
With a lot of bitterness and a huge disappointment, I will therefore terminate all my contracts.
</v>
      </c>
    </row>
    <row r="974" ht="15.75" customHeight="1">
      <c r="A974" s="2">
        <v>4.0</v>
      </c>
      <c r="B974" s="2" t="s">
        <v>2633</v>
      </c>
      <c r="C974" s="2" t="s">
        <v>2634</v>
      </c>
      <c r="D974" s="2" t="s">
        <v>39</v>
      </c>
      <c r="E974" s="2" t="s">
        <v>14</v>
      </c>
      <c r="F974" s="2" t="s">
        <v>15</v>
      </c>
      <c r="G974" s="2" t="s">
        <v>515</v>
      </c>
      <c r="H974" s="2" t="s">
        <v>109</v>
      </c>
      <c r="I974" s="2" t="str">
        <f>IFERROR(__xludf.DUMMYFUNCTION("GOOGLETRANSLATE(C974,""fr"",""en"")"),"A little early to give an opinion, but the prices suit me as a bonus on board and the service offered is adapted to my needs. I hope insurance will suit in the event of a problem.")</f>
        <v>A little early to give an opinion, but the prices suit me as a bonus on board and the service offered is adapted to my needs. I hope insurance will suit in the event of a problem.</v>
      </c>
    </row>
    <row r="975" ht="15.75" customHeight="1">
      <c r="A975" s="2">
        <v>4.0</v>
      </c>
      <c r="B975" s="2" t="s">
        <v>2635</v>
      </c>
      <c r="C975" s="2" t="s">
        <v>2636</v>
      </c>
      <c r="D975" s="2" t="s">
        <v>35</v>
      </c>
      <c r="E975" s="2" t="s">
        <v>31</v>
      </c>
      <c r="F975" s="2" t="s">
        <v>15</v>
      </c>
      <c r="G975" s="2" t="s">
        <v>2637</v>
      </c>
      <c r="H975" s="2" t="s">
        <v>388</v>
      </c>
      <c r="I975" s="2" t="str">
        <f>IFERROR(__xludf.DUMMYFUNCTION("GOOGLETRANSLATE(C975,""fr"",""en"")"),"Unbeatable price
Quick
Biker reference
I haven't had any process to do with my vehicle, for the moment.")</f>
        <v>Unbeatable price
Quick
Biker reference
I haven't had any process to do with my vehicle, for the moment.</v>
      </c>
    </row>
    <row r="976" ht="15.75" customHeight="1">
      <c r="A976" s="2">
        <v>3.0</v>
      </c>
      <c r="B976" s="2" t="s">
        <v>2638</v>
      </c>
      <c r="C976" s="2" t="s">
        <v>2639</v>
      </c>
      <c r="D976" s="2" t="s">
        <v>770</v>
      </c>
      <c r="E976" s="2" t="s">
        <v>96</v>
      </c>
      <c r="F976" s="2" t="s">
        <v>15</v>
      </c>
      <c r="G976" s="2" t="s">
        <v>691</v>
      </c>
      <c r="H976" s="2" t="s">
        <v>414</v>
      </c>
      <c r="I976" s="2" t="str">
        <f>IFERROR(__xludf.DUMMYFUNCTION("GOOGLETRANSLATE(C976,""fr"",""en"")"),"Hello, concerning us. With my little sister, we have 300th to recover.
After an A/R in 2014, they contacted us in Oct 2016.
Since then, Ons has been broken ...
")</f>
        <v>Hello, concerning us. With my little sister, we have 300th to recover.
After an A/R in 2014, they contacted us in Oct 2016.
Since then, Ons has been broken ...
</v>
      </c>
    </row>
    <row r="977" ht="15.75" customHeight="1">
      <c r="A977" s="2">
        <v>3.0</v>
      </c>
      <c r="B977" s="2" t="s">
        <v>2640</v>
      </c>
      <c r="C977" s="2" t="s">
        <v>2641</v>
      </c>
      <c r="D977" s="2" t="s">
        <v>398</v>
      </c>
      <c r="E977" s="2" t="s">
        <v>45</v>
      </c>
      <c r="F977" s="2" t="s">
        <v>15</v>
      </c>
      <c r="G977" s="2" t="s">
        <v>27</v>
      </c>
      <c r="H977" s="2" t="s">
        <v>27</v>
      </c>
      <c r="I977" s="2" t="str">
        <f>IFERROR(__xludf.DUMMYFUNCTION("GOOGLETRANSLATE(C977,""fr"",""en"")"),"Forget my password. Check after several attempts. Mutual Harmony of Plerin (Costs d'Armor) can do nothing (first and last year)")</f>
        <v>Forget my password. Check after several attempts. Mutual Harmony of Plerin (Costs d'Armor) can do nothing (first and last year)</v>
      </c>
    </row>
    <row r="978" ht="15.75" customHeight="1">
      <c r="A978" s="2">
        <v>1.0</v>
      </c>
      <c r="B978" s="2" t="s">
        <v>2642</v>
      </c>
      <c r="C978" s="2" t="s">
        <v>2643</v>
      </c>
      <c r="D978" s="2" t="s">
        <v>39</v>
      </c>
      <c r="E978" s="2" t="s">
        <v>14</v>
      </c>
      <c r="F978" s="2" t="s">
        <v>15</v>
      </c>
      <c r="G978" s="2" t="s">
        <v>2644</v>
      </c>
      <c r="H978" s="2" t="s">
        <v>414</v>
      </c>
      <c r="I978" s="2" t="str">
        <f>IFERROR(__xludf.DUMMYFUNCTION("GOOGLETRANSLATE(C978,""fr"",""en"")"),"Customer for over 10 years at home, I note that their prices are no longer competitive compared to competition. I ask them to line up and exchange I even offer them to ensure my accommodation and my scooter the answer was no! They did not want to make eff"&amp;"orts! However I threatened to change insurance and well it does not bother them! Fun in politics !! It is simply to avoid !!!")</f>
        <v>Customer for over 10 years at home, I note that their prices are no longer competitive compared to competition. I ask them to line up and exchange I even offer them to ensure my accommodation and my scooter the answer was no! They did not want to make efforts! However I threatened to change insurance and well it does not bother them! Fun in politics !! It is simply to avoid !!!</v>
      </c>
    </row>
    <row r="979" ht="15.75" customHeight="1">
      <c r="A979" s="2">
        <v>1.0</v>
      </c>
      <c r="B979" s="2" t="s">
        <v>2645</v>
      </c>
      <c r="C979" s="2" t="s">
        <v>2646</v>
      </c>
      <c r="D979" s="2" t="s">
        <v>67</v>
      </c>
      <c r="E979" s="2" t="s">
        <v>50</v>
      </c>
      <c r="F979" s="2" t="s">
        <v>15</v>
      </c>
      <c r="G979" s="2" t="s">
        <v>2348</v>
      </c>
      <c r="H979" s="2" t="s">
        <v>1459</v>
      </c>
      <c r="I979" s="2" t="str">
        <f>IFERROR(__xludf.DUMMYFUNCTION("GOOGLETRANSLATE(C979,""fr"",""en"")"),"Housing: Dear following the recent storm: trees torn off or fallen. No refund.
GMF customer for over 40 years for all my insurance. Without a claim.")</f>
        <v>Housing: Dear following the recent storm: trees torn off or fallen. No refund.
GMF customer for over 40 years for all my insurance. Without a claim.</v>
      </c>
    </row>
    <row r="980" ht="15.75" customHeight="1">
      <c r="A980" s="2">
        <v>5.0</v>
      </c>
      <c r="B980" s="2" t="s">
        <v>2647</v>
      </c>
      <c r="C980" s="2" t="s">
        <v>2648</v>
      </c>
      <c r="D980" s="2" t="s">
        <v>39</v>
      </c>
      <c r="E980" s="2" t="s">
        <v>14</v>
      </c>
      <c r="F980" s="2" t="s">
        <v>15</v>
      </c>
      <c r="G980" s="2" t="s">
        <v>1520</v>
      </c>
      <c r="H980" s="2" t="s">
        <v>84</v>
      </c>
      <c r="I980" s="2" t="str">
        <f>IFERROR(__xludf.DUMMYFUNCTION("GOOGLETRANSLATE(C980,""fr"",""en"")"),"Practical, simple, easy to create your contract, correct guarantees
Fast, recommended by a friend, termination Hamon OK law
COMPETETIVE PRICE
Friendly website")</f>
        <v>Practical, simple, easy to create your contract, correct guarantees
Fast, recommended by a friend, termination Hamon OK law
COMPETETIVE PRICE
Friendly website</v>
      </c>
    </row>
    <row r="981" ht="15.75" customHeight="1">
      <c r="A981" s="2">
        <v>5.0</v>
      </c>
      <c r="B981" s="2" t="s">
        <v>2649</v>
      </c>
      <c r="C981" s="2" t="s">
        <v>2650</v>
      </c>
      <c r="D981" s="2" t="s">
        <v>107</v>
      </c>
      <c r="E981" s="2" t="s">
        <v>45</v>
      </c>
      <c r="F981" s="2" t="s">
        <v>15</v>
      </c>
      <c r="G981" s="2" t="s">
        <v>2651</v>
      </c>
      <c r="H981" s="2" t="s">
        <v>388</v>
      </c>
      <c r="I981" s="2" t="str">
        <f>IFERROR(__xludf.DUMMYFUNCTION("GOOGLETRANSLATE(C981,""fr"",""en"")"),"It is the mutual that best suits our needs. Quality/price report")</f>
        <v>It is the mutual that best suits our needs. Quality/price report</v>
      </c>
    </row>
    <row r="982" ht="15.75" customHeight="1">
      <c r="A982" s="2">
        <v>5.0</v>
      </c>
      <c r="B982" s="2" t="s">
        <v>2652</v>
      </c>
      <c r="C982" s="2" t="s">
        <v>2653</v>
      </c>
      <c r="D982" s="2" t="s">
        <v>293</v>
      </c>
      <c r="E982" s="2" t="s">
        <v>45</v>
      </c>
      <c r="F982" s="2" t="s">
        <v>15</v>
      </c>
      <c r="G982" s="2" t="s">
        <v>2654</v>
      </c>
      <c r="H982" s="2" t="s">
        <v>317</v>
      </c>
      <c r="I982" s="2" t="str">
        <f>IFERROR(__xludf.DUMMYFUNCTION("GOOGLETRANSLATE(C982,""fr"",""en"")"),"Very good mutual, very welcome I was well received the answers to my questions were very clear. I was able to get the information I wanted.")</f>
        <v>Very good mutual, very welcome I was well received the answers to my questions were very clear. I was able to get the information I wanted.</v>
      </c>
    </row>
    <row r="983" ht="15.75" customHeight="1">
      <c r="A983" s="2">
        <v>1.0</v>
      </c>
      <c r="B983" s="2" t="s">
        <v>2655</v>
      </c>
      <c r="C983" s="2" t="s">
        <v>2656</v>
      </c>
      <c r="D983" s="2" t="s">
        <v>259</v>
      </c>
      <c r="E983" s="2" t="s">
        <v>233</v>
      </c>
      <c r="F983" s="2" t="s">
        <v>15</v>
      </c>
      <c r="G983" s="2" t="s">
        <v>1847</v>
      </c>
      <c r="H983" s="2" t="s">
        <v>594</v>
      </c>
      <c r="I983" s="2" t="str">
        <f>IFERROR(__xludf.DUMMYFUNCTION("GOOGLETRANSLATE(C983,""fr"",""en"")"),"Well, in fact I have no claim with the Macif and never had one but I admit that when reading all these negative or even very negative comments, I will certainly terminate my contracts because I read everywhere everywhere that he does not have a disaster m"&amp;"anager when it is the very basis of insurance work.
I will play the security card and go because confidence in insurance is essential and there, I admit that it is broken.
As such, I now understand why their prices are competitive !!
Cordially")</f>
        <v>Well, in fact I have no claim with the Macif and never had one but I admit that when reading all these negative or even very negative comments, I will certainly terminate my contracts because I read everywhere everywhere that he does not have a disaster manager when it is the very basis of insurance work.
I will play the security card and go because confidence in insurance is essential and there, I admit that it is broken.
As such, I now understand why their prices are competitive !!
Cordially</v>
      </c>
    </row>
    <row r="984" ht="15.75" customHeight="1">
      <c r="A984" s="2">
        <v>4.0</v>
      </c>
      <c r="B984" s="2" t="s">
        <v>2657</v>
      </c>
      <c r="C984" s="2" t="s">
        <v>2658</v>
      </c>
      <c r="D984" s="2" t="s">
        <v>39</v>
      </c>
      <c r="E984" s="2" t="s">
        <v>14</v>
      </c>
      <c r="F984" s="2" t="s">
        <v>15</v>
      </c>
      <c r="G984" s="2" t="s">
        <v>1548</v>
      </c>
      <c r="H984" s="2" t="s">
        <v>17</v>
      </c>
      <c r="I984" s="2" t="str">
        <f>IFERROR(__xludf.DUMMYFUNCTION("GOOGLETRANSLATE(C984,""fr"",""en"")"),"The follow -up is fast, the explanations are clear, good insurance ratio / price, this is a good choice, the future will say. Thank you, cordially, Jean-Charles")</f>
        <v>The follow -up is fast, the explanations are clear, good insurance ratio / price, this is a good choice, the future will say. Thank you, cordially, Jean-Charles</v>
      </c>
    </row>
    <row r="985" ht="15.75" customHeight="1">
      <c r="A985" s="2">
        <v>2.0</v>
      </c>
      <c r="B985" s="2" t="s">
        <v>2659</v>
      </c>
      <c r="C985" s="2" t="s">
        <v>2660</v>
      </c>
      <c r="D985" s="2" t="s">
        <v>55</v>
      </c>
      <c r="E985" s="2" t="s">
        <v>14</v>
      </c>
      <c r="F985" s="2" t="s">
        <v>15</v>
      </c>
      <c r="G985" s="2" t="s">
        <v>2661</v>
      </c>
      <c r="H985" s="2" t="s">
        <v>178</v>
      </c>
      <c r="I985" s="2" t="str">
        <f>IFERROR(__xludf.DUMMYFUNCTION("GOOGLETRANSLATE(C985,""fr"",""en"")"),"Additional paid option: ""0 km in the event of an accident and breakdown (see personal provisions)"". But in reality does not cover you in the event of a breakdown, because this Eurofil warranty covers the fuel failure ... What a shame!")</f>
        <v>Additional paid option: "0 km in the event of an accident and breakdown (see personal provisions)". But in reality does not cover you in the event of a breakdown, because this Eurofil warranty covers the fuel failure ... What a shame!</v>
      </c>
    </row>
    <row r="986" ht="15.75" customHeight="1">
      <c r="A986" s="2">
        <v>1.0</v>
      </c>
      <c r="B986" s="2" t="s">
        <v>2662</v>
      </c>
      <c r="C986" s="2" t="s">
        <v>2663</v>
      </c>
      <c r="D986" s="2" t="s">
        <v>259</v>
      </c>
      <c r="E986" s="2" t="s">
        <v>14</v>
      </c>
      <c r="F986" s="2" t="s">
        <v>15</v>
      </c>
      <c r="G986" s="2" t="s">
        <v>2664</v>
      </c>
      <c r="H986" s="2" t="s">
        <v>424</v>
      </c>
      <c r="I986" s="2" t="str">
        <f>IFERROR(__xludf.DUMMYFUNCTION("GOOGLETRANSLATE(C986,""fr"",""en"")"),"TO FLEE. After more than 30 years of contribution 50% of bonuses for + 5 years he radiated me because 4 claims not responsible in 5 years including 2 broken ice (windshield on highway and vandalism on the custom). No simple recommended explanation. Scanda"&amp;"lous ....")</f>
        <v>TO FLEE. After more than 30 years of contribution 50% of bonuses for + 5 years he radiated me because 4 claims not responsible in 5 years including 2 broken ice (windshield on highway and vandalism on the custom). No simple recommended explanation. Scandalous ....</v>
      </c>
    </row>
    <row r="987" ht="15.75" customHeight="1">
      <c r="A987" s="2">
        <v>1.0</v>
      </c>
      <c r="B987" s="2" t="s">
        <v>2665</v>
      </c>
      <c r="C987" s="2" t="s">
        <v>2666</v>
      </c>
      <c r="D987" s="2" t="s">
        <v>977</v>
      </c>
      <c r="E987" s="2" t="s">
        <v>233</v>
      </c>
      <c r="F987" s="2" t="s">
        <v>15</v>
      </c>
      <c r="G987" s="2" t="s">
        <v>2667</v>
      </c>
      <c r="H987" s="2" t="s">
        <v>543</v>
      </c>
      <c r="I987" s="2" t="str">
        <f>IFERROR(__xludf.DUMMYFUNCTION("GOOGLETRANSLATE(C987,""fr"",""en"")"),"Hello,
My forecast contribution increased by 44.43% in 10 months! I try to reach someone since December, we must always remind me. On 14/01 my request was even fenced S
By mistake ... In agency, we do not know what to say that we make a recovery, that t"&amp;"here has been an error, it will be rectified! After signing the contract, the service is deplorable, no longer possible to join anyone! When are you going to take care of my file ??? Your way of acting and treating your customers is scandalous!")</f>
        <v>Hello,
My forecast contribution increased by 44.43% in 10 months! I try to reach someone since December, we must always remind me. On 14/01 my request was even fenced S
By mistake ... In agency, we do not know what to say that we make a recovery, that there has been an error, it will be rectified! After signing the contract, the service is deplorable, no longer possible to join anyone! When are you going to take care of my file ??? Your way of acting and treating your customers is scandalous!</v>
      </c>
    </row>
    <row r="988" ht="15.75" customHeight="1">
      <c r="A988" s="2">
        <v>4.0</v>
      </c>
      <c r="B988" s="2" t="s">
        <v>2668</v>
      </c>
      <c r="C988" s="2" t="s">
        <v>2669</v>
      </c>
      <c r="D988" s="2" t="s">
        <v>67</v>
      </c>
      <c r="E988" s="2" t="s">
        <v>14</v>
      </c>
      <c r="F988" s="2" t="s">
        <v>15</v>
      </c>
      <c r="G988" s="2" t="s">
        <v>800</v>
      </c>
      <c r="H988" s="2" t="s">
        <v>27</v>
      </c>
      <c r="I988" s="2" t="str">
        <f>IFERROR(__xludf.DUMMYFUNCTION("GOOGLETRANSLATE(C988,""fr"",""en"")"),"Reliable and effective I have everything at home and I have no reason to go elsewhere to win qq € which will be lost with the franchise ..................")</f>
        <v>Reliable and effective I have everything at home and I have no reason to go elsewhere to win qq € which will be lost with the franchise ..................</v>
      </c>
    </row>
    <row r="989" ht="15.75" customHeight="1">
      <c r="A989" s="2">
        <v>5.0</v>
      </c>
      <c r="B989" s="2" t="s">
        <v>2670</v>
      </c>
      <c r="C989" s="2" t="s">
        <v>2671</v>
      </c>
      <c r="D989" s="2" t="s">
        <v>30</v>
      </c>
      <c r="E989" s="2" t="s">
        <v>31</v>
      </c>
      <c r="F989" s="2" t="s">
        <v>15</v>
      </c>
      <c r="G989" s="2" t="s">
        <v>1648</v>
      </c>
      <c r="H989" s="2" t="s">
        <v>17</v>
      </c>
      <c r="I989" s="2" t="str">
        <f>IFERROR(__xludf.DUMMYFUNCTION("GOOGLETRANSLATE(C989,""fr"",""en"")"),"perfect. Unbeatable price and superb ""mechanical breakage"" options at an inevitable price.
Charming and very professional advisor. April Auto is advised.")</f>
        <v>perfect. Unbeatable price and superb "mechanical breakage" options at an inevitable price.
Charming and very professional advisor. April Auto is advised.</v>
      </c>
    </row>
    <row r="990" ht="15.75" customHeight="1">
      <c r="A990" s="2">
        <v>3.0</v>
      </c>
      <c r="B990" s="2" t="s">
        <v>2672</v>
      </c>
      <c r="C990" s="2" t="s">
        <v>2673</v>
      </c>
      <c r="D990" s="2" t="s">
        <v>30</v>
      </c>
      <c r="E990" s="2" t="s">
        <v>31</v>
      </c>
      <c r="F990" s="2" t="s">
        <v>15</v>
      </c>
      <c r="G990" s="2" t="s">
        <v>1346</v>
      </c>
      <c r="H990" s="2" t="s">
        <v>77</v>
      </c>
      <c r="I990" s="2" t="str">
        <f>IFERROR(__xludf.DUMMYFUNCTION("GOOGLETRANSLATE(C990,""fr"",""en"")"),"I am satisfied with the service, except for the quality of the advice given by the telephone service.
Unable to answer the questions asked and give advice.
I go back to April Moto because I already had motorcycle insurance and everything had gone well.")</f>
        <v>I am satisfied with the service, except for the quality of the advice given by the telephone service.
Unable to answer the questions asked and give advice.
I go back to April Moto because I already had motorcycle insurance and everything had gone well.</v>
      </c>
    </row>
    <row r="991" ht="15.75" customHeight="1">
      <c r="A991" s="2">
        <v>4.0</v>
      </c>
      <c r="B991" s="2" t="s">
        <v>2674</v>
      </c>
      <c r="C991" s="2" t="s">
        <v>2675</v>
      </c>
      <c r="D991" s="2" t="s">
        <v>107</v>
      </c>
      <c r="E991" s="2" t="s">
        <v>45</v>
      </c>
      <c r="F991" s="2" t="s">
        <v>15</v>
      </c>
      <c r="G991" s="2" t="s">
        <v>119</v>
      </c>
      <c r="H991" s="2" t="s">
        <v>120</v>
      </c>
      <c r="I991" s="2" t="str">
        <f>IFERROR(__xludf.DUMMYFUNCTION("GOOGLETRANSLATE(C991,""fr"",""en"")"),"Well recommended for my request for hospital care and well helped by Pope. now to see the rest.
On the other hand, to make the request on their site, not easy. I had to put the city of the hospital center, and it didn't work. It was for this reason that "&amp;"I had to call them.")</f>
        <v>Well recommended for my request for hospital care and well helped by Pope. now to see the rest.
On the other hand, to make the request on their site, not easy. I had to put the city of the hospital center, and it didn't work. It was for this reason that I had to call them.</v>
      </c>
    </row>
    <row r="992" ht="15.75" customHeight="1">
      <c r="A992" s="2">
        <v>3.0</v>
      </c>
      <c r="B992" s="2" t="s">
        <v>2676</v>
      </c>
      <c r="C992" s="2" t="s">
        <v>2677</v>
      </c>
      <c r="D992" s="2" t="s">
        <v>39</v>
      </c>
      <c r="E992" s="2" t="s">
        <v>14</v>
      </c>
      <c r="F992" s="2" t="s">
        <v>15</v>
      </c>
      <c r="G992" s="2" t="s">
        <v>2678</v>
      </c>
      <c r="H992" s="2" t="s">
        <v>73</v>
      </c>
      <c r="I992" s="2" t="str">
        <f>IFERROR(__xludf.DUMMYFUNCTION("GOOGLETRANSLATE(C992,""fr"",""en"")"),"I would have liked cheaper, because the car is old is I pence q it is too expensive but hey, if afterwards there is cheaper I am ready
")</f>
        <v>I would have liked cheaper, because the car is old is I pence q it is too expensive but hey, if afterwards there is cheaper I am ready
</v>
      </c>
    </row>
    <row r="993" ht="15.75" customHeight="1">
      <c r="A993" s="2">
        <v>1.0</v>
      </c>
      <c r="B993" s="2" t="s">
        <v>2679</v>
      </c>
      <c r="C993" s="2" t="s">
        <v>2680</v>
      </c>
      <c r="D993" s="2" t="s">
        <v>87</v>
      </c>
      <c r="E993" s="2" t="s">
        <v>14</v>
      </c>
      <c r="F993" s="2" t="s">
        <v>15</v>
      </c>
      <c r="G993" s="2" t="s">
        <v>2681</v>
      </c>
      <c r="H993" s="2" t="s">
        <v>69</v>
      </c>
      <c r="I993" s="2" t="str">
        <f>IFERROR(__xludf.DUMMYFUNCTION("GOOGLETRANSLATE(C993,""fr"",""en"")"),"Insurance to flee payment payment and no green card in return. Despite the various emails sent, they take the contribution and make the dead. Also disappointed with comparators who dare to put these insurance in SEO")</f>
        <v>Insurance to flee payment payment and no green card in return. Despite the various emails sent, they take the contribution and make the dead. Also disappointed with comparators who dare to put these insurance in SEO</v>
      </c>
    </row>
    <row r="994" ht="15.75" customHeight="1">
      <c r="A994" s="2">
        <v>1.0</v>
      </c>
      <c r="B994" s="2" t="s">
        <v>2682</v>
      </c>
      <c r="C994" s="2" t="s">
        <v>2683</v>
      </c>
      <c r="D994" s="2" t="s">
        <v>13</v>
      </c>
      <c r="E994" s="2" t="s">
        <v>50</v>
      </c>
      <c r="F994" s="2" t="s">
        <v>15</v>
      </c>
      <c r="G994" s="2" t="s">
        <v>553</v>
      </c>
      <c r="H994" s="2" t="s">
        <v>101</v>
      </c>
      <c r="I994" s="2" t="str">
        <f>IFERROR(__xludf.DUMMYFUNCTION("GOOGLETRANSLATE(C994,""fr"",""en"")"),"Beware of this insurance !!!!!!
Because it is not possible to put zero star.
We have been stolen our bikes for a weekend in our box in a closed private car park, the corpopiances refuses that we put a sheet at the top for the secure.
The thieves went f"&amp;"rom the top (a bar at the top was folded by their passage) and came out by opening from the inside.
For Pacifica there is no break -in so we will never be insured for the flight !!")</f>
        <v>Beware of this insurance !!!!!!
Because it is not possible to put zero star.
We have been stolen our bikes for a weekend in our box in a closed private car park, the corpopiances refuses that we put a sheet at the top for the secure.
The thieves went from the top (a bar at the top was folded by their passage) and came out by opening from the inside.
For Pacifica there is no break -in so we will never be insured for the flight !!</v>
      </c>
    </row>
    <row r="995" ht="15.75" customHeight="1">
      <c r="A995" s="2">
        <v>1.0</v>
      </c>
      <c r="B995" s="2" t="s">
        <v>2684</v>
      </c>
      <c r="C995" s="2" t="s">
        <v>2685</v>
      </c>
      <c r="D995" s="2" t="s">
        <v>328</v>
      </c>
      <c r="E995" s="2" t="s">
        <v>96</v>
      </c>
      <c r="F995" s="2" t="s">
        <v>15</v>
      </c>
      <c r="G995" s="2" t="s">
        <v>1076</v>
      </c>
      <c r="H995" s="2" t="s">
        <v>224</v>
      </c>
      <c r="I995" s="2" t="str">
        <f>IFERROR(__xludf.DUMMYFUNCTION("GOOGLETRANSLATE(C995,""fr"",""en"")"),"Subscription of life insurance in February 2018, the customer area via the Internet did not work before July they sent me multiple passwords before it works, however the site was 10 years In maintenance therefore impossible to see my placement and check t"&amp;"he sums deposited.
Today the site is no longer accessible at all, strictly no contact to call !!!!
I save myself from their home !!!!")</f>
        <v>Subscription of life insurance in February 2018, the customer area via the Internet did not work before July they sent me multiple passwords before it works, however the site was 10 years In maintenance therefore impossible to see my placement and check the sums deposited.
Today the site is no longer accessible at all, strictly no contact to call !!!!
I save myself from their home !!!!</v>
      </c>
    </row>
    <row r="996" ht="15.75" customHeight="1">
      <c r="A996" s="2">
        <v>3.0</v>
      </c>
      <c r="B996" s="2" t="s">
        <v>2686</v>
      </c>
      <c r="C996" s="2" t="s">
        <v>2687</v>
      </c>
      <c r="D996" s="2" t="s">
        <v>25</v>
      </c>
      <c r="E996" s="2" t="s">
        <v>14</v>
      </c>
      <c r="F996" s="2" t="s">
        <v>15</v>
      </c>
      <c r="G996" s="2" t="s">
        <v>2688</v>
      </c>
      <c r="H996" s="2" t="s">
        <v>17</v>
      </c>
      <c r="I996" s="2" t="str">
        <f>IFERROR(__xludf.DUMMYFUNCTION("GOOGLETRANSLATE(C996,""fr"",""en"")"),"I am satisfied with the service offered by the Olivier Insurance.
The prices are resonable and customer service and well listening to the customer.
I am delighted
")</f>
        <v>I am satisfied with the service offered by the Olivier Insurance.
The prices are resonable and customer service and well listening to the customer.
I am delighted
</v>
      </c>
    </row>
    <row r="997" ht="15.75" customHeight="1">
      <c r="A997" s="2">
        <v>4.0</v>
      </c>
      <c r="B997" s="2" t="s">
        <v>2689</v>
      </c>
      <c r="C997" s="2" t="s">
        <v>2690</v>
      </c>
      <c r="D997" s="2" t="s">
        <v>35</v>
      </c>
      <c r="E997" s="2" t="s">
        <v>31</v>
      </c>
      <c r="F997" s="2" t="s">
        <v>15</v>
      </c>
      <c r="G997" s="2" t="s">
        <v>2691</v>
      </c>
      <c r="H997" s="2" t="s">
        <v>290</v>
      </c>
      <c r="I997" s="2" t="str">
        <f>IFERROR(__xludf.DUMMYFUNCTION("GOOGLETRANSLATE(C997,""fr"",""en"")"),"When buying my first ""big"" motorcycle, it was the only site where I was able to get prices easily.")</f>
        <v>When buying my first "big" motorcycle, it was the only site where I was able to get prices easily.</v>
      </c>
    </row>
    <row r="998" ht="15.75" customHeight="1">
      <c r="A998" s="2">
        <v>2.0</v>
      </c>
      <c r="B998" s="2" t="s">
        <v>2692</v>
      </c>
      <c r="C998" s="2" t="s">
        <v>2693</v>
      </c>
      <c r="D998" s="2" t="s">
        <v>25</v>
      </c>
      <c r="E998" s="2" t="s">
        <v>14</v>
      </c>
      <c r="F998" s="2" t="s">
        <v>15</v>
      </c>
      <c r="G998" s="2" t="s">
        <v>2694</v>
      </c>
      <c r="H998" s="2" t="s">
        <v>1719</v>
      </c>
      <c r="I998" s="2" t="str">
        <f>IFERROR(__xludf.DUMMYFUNCTION("GOOGLETRANSLATE(C998,""fr"",""en"")"),"I do not recommend this insurance if you don't have much free time.
I’ve been waiting for my green card for 3 weeks. For the moment my temporary card is expired and I cannot use my car.
Why pay such insurance?")</f>
        <v>I do not recommend this insurance if you don't have much free time.
I’ve been waiting for my green card for 3 weeks. For the moment my temporary card is expired and I cannot use my car.
Why pay such insurance?</v>
      </c>
    </row>
    <row r="999" ht="15.75" customHeight="1">
      <c r="A999" s="2">
        <v>1.0</v>
      </c>
      <c r="B999" s="2" t="s">
        <v>2695</v>
      </c>
      <c r="C999" s="2" t="s">
        <v>2696</v>
      </c>
      <c r="D999" s="2" t="s">
        <v>39</v>
      </c>
      <c r="E999" s="2" t="s">
        <v>14</v>
      </c>
      <c r="F999" s="2" t="s">
        <v>15</v>
      </c>
      <c r="G999" s="2" t="s">
        <v>2027</v>
      </c>
      <c r="H999" s="2" t="s">
        <v>101</v>
      </c>
      <c r="I999" s="2" t="str">
        <f>IFERROR(__xludf.DUMMYFUNCTION("GOOGLETRANSLATE(C999,""fr"",""en"")"),"In terms of price you have to really see the details because I ensure my car all risk € 650 per year.
I add with almost 6 years old, the same car closed in garage as Dupuis date of purchase 12,000 kilometers with no claim I pay € 930.73 per year.
 I don"&amp;"'t even give a Star and I am looking for another insurance can be on the net.
 And thank you direct insurance pay 930.73 €")</f>
        <v>In terms of price you have to really see the details because I ensure my car all risk € 650 per year.
I add with almost 6 years old, the same car closed in garage as Dupuis date of purchase 12,000 kilometers with no claim I pay € 930.73 per year.
 I don't even give a Star and I am looking for another insurance can be on the net.
 And thank you direct insurance pay 930.73 €</v>
      </c>
    </row>
    <row r="1000" ht="15.75" customHeight="1">
      <c r="A1000" s="2">
        <v>1.0</v>
      </c>
      <c r="B1000" s="2" t="s">
        <v>2697</v>
      </c>
      <c r="C1000" s="2" t="s">
        <v>2698</v>
      </c>
      <c r="D1000" s="2" t="s">
        <v>20</v>
      </c>
      <c r="E1000" s="2" t="s">
        <v>14</v>
      </c>
      <c r="F1000" s="2" t="s">
        <v>15</v>
      </c>
      <c r="G1000" s="2" t="s">
        <v>2699</v>
      </c>
      <c r="H1000" s="2" t="s">
        <v>688</v>
      </c>
      <c r="I1000" s="2" t="str">
        <f>IFERROR(__xludf.DUMMYFUNCTION("GOOGLETRANSLATE(C1000,""fr"",""en"")"),"2 vehicles insured at home for 10 years. No accidents all is well, 3 claims in 3 years not responsible and the MAAF terminates the vehicle concerned but keeps the other ??? ... I therefore terminate the other car contract, the housing and school insurance"&amp;" contract. The maaf is zero.")</f>
        <v>2 vehicles insured at home for 10 years. No accidents all is well, 3 claims in 3 years not responsible and the MAAF terminates the vehicle concerned but keeps the other ??? ... I therefore terminate the other car contract, the housing and school insurance contract. The maaf is zero.</v>
      </c>
    </row>
    <row r="1001" ht="15.75" customHeight="1">
      <c r="A1001" s="2">
        <v>1.0</v>
      </c>
      <c r="B1001" s="2" t="s">
        <v>2700</v>
      </c>
      <c r="C1001" s="2" t="s">
        <v>2701</v>
      </c>
      <c r="D1001" s="2" t="s">
        <v>259</v>
      </c>
      <c r="E1001" s="2" t="s">
        <v>14</v>
      </c>
      <c r="F1001" s="2" t="s">
        <v>15</v>
      </c>
      <c r="G1001" s="2" t="s">
        <v>2702</v>
      </c>
      <c r="H1001" s="2" t="s">
        <v>41</v>
      </c>
      <c r="I1001" s="2" t="str">
        <f>IFERROR(__xludf.DUMMYFUNCTION("GOOGLETRANSLATE(C1001,""fr"",""en"")"),"Hello
I have been in the Macif for 6 years. It was the first time that I have had a disaster.
I am a professional and I have stolen a part of my engine.
So I had no more vehicle to work.
The expert found no break -in in the interior of the vehicle.
T"&amp;"herefore the Macif does not take care of the claim.
In fact for the Macif it is better to do everything to see an entry into the interior of the vehicle so that the expert can see it rather than being honest. No break -in that does not mean management."&amp;"
Because yes now thieves can open vehicles without breaking down but that the Macif does not understand it.
They are still in the 1970s when you had to split a door barrel or open the door with a doe foot to enter a vehicle !!!
In any case, thank you"&amp;" very much the massif because the file for 15 days to have this conclusion.
So I didn't have a utility to work for 15 days. And finally everything is my charge. You see the cost of the operation!
Honesty or common sense and speed of execution are not wo"&amp;"rds that they can define the Macif.
")</f>
        <v>Hello
I have been in the Macif for 6 years. It was the first time that I have had a disaster.
I am a professional and I have stolen a part of my engine.
So I had no more vehicle to work.
The expert found no break -in in the interior of the vehicle.
Therefore the Macif does not take care of the claim.
In fact for the Macif it is better to do everything to see an entry into the interior of the vehicle so that the expert can see it rather than being honest. No break -in that does not mean management.
Because yes now thieves can open vehicles without breaking down but that the Macif does not understand it.
They are still in the 1970s when you had to split a door barrel or open the door with a doe foot to enter a vehicle !!!
In any case, thank you very much the massif because the file for 15 days to have this conclusion.
So I didn't have a utility to work for 15 days. And finally everything is my charge. You see the cost of the operation!
Honesty or common sense and speed of execution are not words that they can define the Macif.
</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2022-12-16T15:48:22Z</dcterms:created>
</cp:coreProperties>
</file>