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XVsoECdxuYKtW4RRuw2XEkYajVg=="/>
    </ext>
  </extLst>
</workbook>
</file>

<file path=xl/sharedStrings.xml><?xml version="1.0" encoding="utf-8"?>
<sst xmlns="http://schemas.openxmlformats.org/spreadsheetml/2006/main" count="7011" uniqueCount="2731">
  <si>
    <t>note</t>
  </si>
  <si>
    <t>auteur</t>
  </si>
  <si>
    <t>avis</t>
  </si>
  <si>
    <t>assureur</t>
  </si>
  <si>
    <t>produit</t>
  </si>
  <si>
    <t>type</t>
  </si>
  <si>
    <t>date_publication</t>
  </si>
  <si>
    <t>date_exp</t>
  </si>
  <si>
    <t>avis_en</t>
  </si>
  <si>
    <t>avis_cor</t>
  </si>
  <si>
    <t>avis_cor_en</t>
  </si>
  <si>
    <t>bertille-63125</t>
  </si>
  <si>
    <t>Contrairement à d'autres contributeurs, je trouve légitime et juste que les cotisations soient proportionnelles au salaire, ce qui permet à chacun(e) d'accéder aux mêmes droits quelque soit le revenu.
En revanche, force est de constater que la m.g.e.n. a perdu son "âme" et traite ses sociétaires comme de vulgaires clients: aucune évolution dans les prestations (voire une régression), aucune souplesse et des conseillers incompétents (qui débitent leur écran) et très désagréables et souvent hautains. Aucune réponse concrète aux messages envoyés...
Pour la première fois, et malgré mes convictions, je pense sérieusement à changer de mutuelle, j'ai déjà pris un rendez-vous à cet effet.
Quel gâchis!</t>
  </si>
  <si>
    <t>Mgen</t>
  </si>
  <si>
    <t>sante</t>
  </si>
  <si>
    <t>train</t>
  </si>
  <si>
    <t>08/10/2020</t>
  </si>
  <si>
    <t>01/10/2020</t>
  </si>
  <si>
    <t>steph-22-122993</t>
  </si>
  <si>
    <t>souffrant de différentes pathologies avec traitement lourd, 3 Affections Longue Durée reconnues Assurance Maladie, Reconnaissance de la Qualité de Travailleur Handicapé par commission médicale à deux reprises et récente mise en invalidité de catégorie 2 suite à avis médicaux de ma Caisse Primaire d'Assurance Maladie; je fait valoir une demande I.P.P pour mon prêt immobilier. Résultat du Médecin Expert qui défend les intérêts de son employeur au détriment du malade qui est devant lui et qui ne connait pas son dossier médical: taux correspondant à 0 dans le gentil tableau à 2 entrées de la dite assurance: aucune prise en charge même minime de mon prêt immobilier !!. messieurs assureurs, à quoi donc servez-vous?
j'espère que pour mon décès ma conjointe aura moins de difficulté;mais permettez-moi d'en douter!</t>
  </si>
  <si>
    <t>Suravenir</t>
  </si>
  <si>
    <t>credit</t>
  </si>
  <si>
    <t>10/07/2021</t>
  </si>
  <si>
    <t>01/07/2021</t>
  </si>
  <si>
    <t>mandet-a-128804</t>
  </si>
  <si>
    <t>Je suis satisfait du service souscription, rapide, simple et efficace. Les conseillers sont agréables et professionnels. Les données personnelles sont bien protégées.</t>
  </si>
  <si>
    <t>L'olivier Assurance</t>
  </si>
  <si>
    <t>auto</t>
  </si>
  <si>
    <t>20/08/2021</t>
  </si>
  <si>
    <t>01/08/2021</t>
  </si>
  <si>
    <t>marigoi-110060</t>
  </si>
  <si>
    <t xml:space="preserve">Aucune écoute et aucune considération par rapport à l'antériorité des contrats que nous avions avec cette banque (plus de quarante ans) -  Rentabilité,  rentabilité,   et les sociétaires on s'en moque  -  Un geste commercial de 229  euros leur aurait arraché le coeur et ruinés ...  C'est vraiment désolant et je regrette de ne pas avoir écouté mes enfants qui me disaient que je payais trop cher et trouverais mieux ailleurs - J'était FIDELE, mais ça ne paie pas... preuve en est aujourd'hui ! 
Donc je m'attèle à la recherche d'un assureur  moins arrogant et plus conciliant -   Tous nos contrats vont etre résiliés et je déconseillerai dorénavant cette assurance à tous et à toutes - LAMENTABLE !!!
</t>
  </si>
  <si>
    <t>MACIF</t>
  </si>
  <si>
    <t>habitation</t>
  </si>
  <si>
    <t>15/04/2021</t>
  </si>
  <si>
    <t>01/04/2021</t>
  </si>
  <si>
    <t>laurent-b-112391</t>
  </si>
  <si>
    <t>contrat venant d'être signé prix intéressant voir à l'utilisation ayant une deuxième moto si cela me convient je l'assurerais également chez april moto</t>
  </si>
  <si>
    <t>APRIL Moto</t>
  </si>
  <si>
    <t>moto</t>
  </si>
  <si>
    <t>02/05/2021</t>
  </si>
  <si>
    <t>01/05/2021</t>
  </si>
  <si>
    <t>aurelien-s-134952</t>
  </si>
  <si>
    <t>Le Site internet est bien fait,. Les prix me semblent corrects pour un primo accédant. Reste à voir le service apres vente dans le temps.
Bien cordialement M. Sellier</t>
  </si>
  <si>
    <t>Direct Assurance</t>
  </si>
  <si>
    <t>28/09/2021</t>
  </si>
  <si>
    <t>01/09/2021</t>
  </si>
  <si>
    <t>stephane-c-112192</t>
  </si>
  <si>
    <t>les prix ne sont pas toujours les mieux placés, dans mon parc auto, j'ai deux véhicules qui ne sont pas assurés chez vous.
Sinon usage simple et pratique</t>
  </si>
  <si>
    <t>30/04/2021</t>
  </si>
  <si>
    <t>caradu-m-114221</t>
  </si>
  <si>
    <t xml:space="preserve">Je suis relativement satisfaite de cette assurance pour le moment à voir sur le long terme, même si je trouve les tarifs élevés surtout pour les jeunes permis... 
</t>
  </si>
  <si>
    <t>19/05/2021</t>
  </si>
  <si>
    <t>berni-107896</t>
  </si>
  <si>
    <t>J ai  changé de mutuelle au 1 janvier 2021 cette mutuelle me propose un cotisation mensuelle inférieure à ma cotisation de mon ancienne mutuelle
Mais aujourd'hui je commence à regretter mon changement 
Les remboursements sont très long a être traité et quand ils sont traités correctement  au début janvier mon mari a subi  une intervention à ce jour malgré de multiples relances et contact je n ai toujours pas été remboursé de l intégralité des frais et surtout les depassement d honoraires qui sont rembourses par petit montant a ce jour j attends toujours 150€ qui ne me sont toujours pas payé  malgré que mes contacts affirment avoir procédé au règlement ! !,</t>
  </si>
  <si>
    <t>Néoliane Santé</t>
  </si>
  <si>
    <t>24/03/2021</t>
  </si>
  <si>
    <t>01/03/2021</t>
  </si>
  <si>
    <t>marie-137661</t>
  </si>
  <si>
    <t xml:space="preserve">Bonjour j avais un problème de connexion qui a été résolu par Alassane aujourd'hui. Personne sympathique  competente et patiente. Merci à lui et bonne journée </t>
  </si>
  <si>
    <t>Santiane</t>
  </si>
  <si>
    <t>18/10/2021</t>
  </si>
  <si>
    <t>01/10/2021</t>
  </si>
  <si>
    <t>mezze-71237</t>
  </si>
  <si>
    <t>Si c'est juste pour avoir une vignette c'est la bonne assurance et encore... Conseillers qui raccrochent.. Assistance 0Km bidon, suivi de dossier inexistant... Perte de temps et d'argent</t>
  </si>
  <si>
    <t>AssurOnline</t>
  </si>
  <si>
    <t>12/02/2019</t>
  </si>
  <si>
    <t>01/02/2019</t>
  </si>
  <si>
    <t>justinem91650-85896</t>
  </si>
  <si>
    <t>Trop cher payer pour les services proposées, nous sommes une famille de 4 à être chez eux mon mari étant militaire il doit donc posséder une assurance de santé spécifique bref je me suis donc diriger vers harmonie mutuelle fonction publique à la naissance de notre 2 eme enfant en décembre 2018, nous étions au niveau 2 zéro remboursement de dépassement d'honoraires nous qui vivons en ile de France les dépassements sont courants ici, du coup je les contactes ils me proposent donc de passer au niveau maximum niveau 3 pour  17€ en plus par mois, génial! Je le fais, je demande bien si nous n aurons pas de frais supplémentaires étant donner qu'on changer de niveau 2 mois avant la date d'anniversaire on m'assure que non, et la surprise! Je reçois un courrier pour me prévenir qu'étant donner que nous avons augmenter de niveau en cours d'année nous devons payer le supplément des mois suivants hors on m avais dit le contraire et final les 17€ supplémentaires ne concerner que moi et mes 2 enfants mais que mon mari à lui aussi un supplément vis a vis de son métier soit on passe de 127€ prévu sur le devis à 148€! J'ai fais un courrier au siège qui n'ont rien voulu savoir, aucune réaction, mais si seulement il n y avais que cela, les factures envoyer pour remboursement sont 1 fois sur 2 perdus, a chaque demande de remboursement je dois censer appeler pour les relancer, des conseillers mal aimables qui nous prennent de haut. On à clairement pas le droit d'être en colère enfaite! On est bons qu'a payer et faire le dos rond! L'année dernière un vaccin non remboursé par la sécurité j’ai du attendre 4 mois avant de me le faire rembourser, 4 mois!!! Car facture 2 x perdu bref une mascarade! Dernièrement j'ai acheté 4 vaccins contre la grippe en novembre 2019 nous sommes en janvier 2020 et je n'en ai eu qu'un seul sur les 4 de rembourser j'appelle donc le service client qui me disent que mes autres vaccins ne me seront pas remboursé etant donner que la facture était à mon nom!! Le pompom, aucune mutuelle ne m as jamais fait ça, du coup obliger de redemander les factures au pharmacien nom par nom pour espérer avoir le remboursement! Même mon pharmacien m’a dit je n’ai jamais vu une mutuelle qui demande ça! Bref honnêtement, je déconseille, une assurance peu fiable avec des remboursements ridicule, même pour 10€ ils vous cherchent des choses pour ne pas vous rembourser, ne vous envoi même pas vos cartes de mutuelle j’attends toujours les nôtres d’ailleurs quand je l’ai dit a la conseillère eu au téléphone elle m’as dit vous avez qu’à les réimprimer pour nous ils sont partis! Super, même des cartes de mutuelles ils ne veulent pas vous les renvoyer quand vous n’avez rien reçu c’est pour dire le niveau! Mais bon, nous allons prendre notre mal en patience et je me ferais une joie d’envoyer ma lettre de résiliation au moment venu!</t>
  </si>
  <si>
    <t>Harmonie Mutuelle</t>
  </si>
  <si>
    <t>14/01/2020</t>
  </si>
  <si>
    <t>01/01/2020</t>
  </si>
  <si>
    <t>anne33680-68676</t>
  </si>
  <si>
    <t xml:space="preserve">Impossible d enlever les étoiles de satisfaction la contre c est une horreur. Délais de paiement excessivement longs réponses non professionnelles. Demande de justificatifs faites en triple pas de coordination dans la gestion des dossiers
</t>
  </si>
  <si>
    <t>CNP Assurances</t>
  </si>
  <si>
    <t>prevoyance</t>
  </si>
  <si>
    <t>16/11/2018</t>
  </si>
  <si>
    <t>01/11/2018</t>
  </si>
  <si>
    <t>david-126156</t>
  </si>
  <si>
    <t>Ma fille a eu un sinistre pour son premier jour de souscription, le garage a réparé dans la semaine et il bous a fallut attendre 20jours supplémentaires pour que l Olivier prenne en charge c est honteux!</t>
  </si>
  <si>
    <t>03/08/2021</t>
  </si>
  <si>
    <t>marineyn29-102436</t>
  </si>
  <si>
    <t xml:space="preserve">Cela fait maintenant 4 ans que j'ai obtenu mon permis de conduire et mon assurance auto ne cesse d'augmenter, axa ne manque qu'à l'argent hélas je vais devoir changer d'assurance il y a bien moins cher ailleurs. </t>
  </si>
  <si>
    <t>AXA</t>
  </si>
  <si>
    <t>11/01/2021</t>
  </si>
  <si>
    <t>01/01/2021</t>
  </si>
  <si>
    <t>migeof-80736</t>
  </si>
  <si>
    <t>Ma conseillère ALICIA a été très polie et agréable, elle m'a fourni le renseignement que je demandais, merci à elle pour sa disponibilité et son efficacité. Michèle Geoffroy, futur adhérent NEOLIANE à partir du O1/01/2020.</t>
  </si>
  <si>
    <t>05/11/2019</t>
  </si>
  <si>
    <t>01/11/2019</t>
  </si>
  <si>
    <t>sunny-81796</t>
  </si>
  <si>
    <t xml:space="preserve">J'ai souscris à la protection juridique au pris fort (premium). Mon ressentis dès le premier coup de téléphone! </t>
  </si>
  <si>
    <t>11/12/2019</t>
  </si>
  <si>
    <t>01/12/2019</t>
  </si>
  <si>
    <t>pierre-m-112796</t>
  </si>
  <si>
    <t xml:space="preserve">pour l'instant nous donnons un avis satisfaisant mais nous n'avons pas encore eu de problème puisque nous sommes assurés chez vous depuis très peu de temps . </t>
  </si>
  <si>
    <t>05/05/2021</t>
  </si>
  <si>
    <t>coco57-54586</t>
  </si>
  <si>
    <t xml:space="preserve">Bonjour depuis le 1er septembre 2016 je suis en invaliditee 2ème catégorie. Ma demande faite a ma prevoyance depuis cette date on me  demande toujours des papiers. Et la aujourd'hui j apprend que je suis en refus de portabilitee. Super j aimerais coprendre. </t>
  </si>
  <si>
    <t>Ag2r La Mondiale</t>
  </si>
  <si>
    <t>10/05/2017</t>
  </si>
  <si>
    <t>01/05/2017</t>
  </si>
  <si>
    <t>pascal-g-127254</t>
  </si>
  <si>
    <t>je suis très satisfait du contact téléphonique, accueil et renseignements
le tarif est correct
je n'hésiterai pas à donner le site AMV en référence à d'autres personnes</t>
  </si>
  <si>
    <t>AMV</t>
  </si>
  <si>
    <t>09/08/2021</t>
  </si>
  <si>
    <t>yahya26-91724</t>
  </si>
  <si>
    <t>Assurance à fuir. Ma voiture a été volée en novembre 2019 à ce jour je dois encore payer l'assurance alors que je n'ai toujours pas eu aucun retour. Chaque service m'envoie vers un autre service. En plus de ça on me demande des documents impossible à avoir. Aucune information à part demander des documents déjà fournis ou impossible à avoir. Déjà très difficile d'avoir un réel interlocuteur. Que des réponses vides : « on revient vers vous ». Ça fait 7 mois que mon véhicule a été volé et je ne sais toujours pas où ça en est. Je suis victime de vol et limite on me prend pour un escroc. À fuir !!!!!!!!!!</t>
  </si>
  <si>
    <t>Matmut</t>
  </si>
  <si>
    <t>21/06/2020</t>
  </si>
  <si>
    <t>01/06/2020</t>
  </si>
  <si>
    <t>nbunprom-130229</t>
  </si>
  <si>
    <t xml:space="preserve">Si on pouvait ne pas mettre d'etoile à cette assurance que même en tout risque cela ne sert a rien. J'y suis et franchement à fuir j'attends que mon contrat se termine. En gros ils ne remboursent pas, ils ont beaucoup de parades, c'est une mauvais affaire. Vous donnez votre argent le jour ou vous avez un probleme, comptez sur votre compte en banque. Courage ! </t>
  </si>
  <si>
    <t>30/08/2021</t>
  </si>
  <si>
    <t>ycham-64120</t>
  </si>
  <si>
    <t>Bidon comme assurance je vois la déconseille n'es etais victime d'un cambriolage il leur faut 4mois  pour un papier donc j'ai toujours ps de nouvelle à cette heure si. Es en plus de sa pour laisser un commentaire il leur faut 200 caractère minimum. Pour énvoyer un papier a l'expert qui es bloquer à pacifica sa fait longtemps puis quand on l'es apel personne ne sais rien comme d'abe ils nous demande de faire leur boulot à leur place de tout noter comme il le faut mais pour au final attendre attendre es encore attendre une fois que cette histoire et finis je change d'assurance faite s'en autant je le conseille je sens meme que je n'aurais aucun rembroussement de leur part pour une assurance qu'on paye 21E parf moi. Je préfère payer le triple si il le faut pour plus avoir affaire à vous.</t>
  </si>
  <si>
    <t>Pacifica</t>
  </si>
  <si>
    <t>22/05/2018</t>
  </si>
  <si>
    <t>01/05/2018</t>
  </si>
  <si>
    <t>francoise-b-107434</t>
  </si>
  <si>
    <t>je suis très satisfaite, des services de direct assurance, très réactif et le site internet est très pratique.
je pense revoir mes autres contrats pour les prendre chez Direct assurance.
cordialement</t>
  </si>
  <si>
    <t>22/03/2021</t>
  </si>
  <si>
    <t>jlx67-108095</t>
  </si>
  <si>
    <t>Très difficile de les joindre au téléphone, pas de réponse à mes mails.
j'attends toujours des remboursements importants promis par CEGEMA le 12/02 sur leur site...
J'ai vu qu'ils font partie du groupe SWISS LIFE :
A EVITER !</t>
  </si>
  <si>
    <t>Cegema Assurances</t>
  </si>
  <si>
    <t>26/03/2021</t>
  </si>
  <si>
    <t>amgine-76780</t>
  </si>
  <si>
    <t xml:space="preserve">Résiliée au bout d'un mois comme beaucoup à priori pour un papier manquant que mon ancienne assurance ne m'a toujours pas fait parvenir malgré mes demandes. Il semble que ce soit le jeu avec cette assurance. Encaisser les cotisations et résilier le contrat passé 30 jours. A éviter. </t>
  </si>
  <si>
    <t>Active Assurances</t>
  </si>
  <si>
    <t>14/06/2019</t>
  </si>
  <si>
    <t>01/06/2019</t>
  </si>
  <si>
    <t>jerome-b-127954</t>
  </si>
  <si>
    <t>L'assurance scolaire que la GMF propose ne sert à rien puisque les écoles demandent une assurance scolaire en responsabilité civile et individuelle accident!!
A rien donc.</t>
  </si>
  <si>
    <t>GMF</t>
  </si>
  <si>
    <t>14/08/2021</t>
  </si>
  <si>
    <t>renaud-s-132299</t>
  </si>
  <si>
    <t>Très bon service, les prix sont très corrects, je n’ai encore (heureusement) pas eu à avoir recours aux services d’AMV donc je ne peux pas attester de la bonne prise en charge lors d’un sinistre.</t>
  </si>
  <si>
    <t>10/09/2021</t>
  </si>
  <si>
    <t>titi22-86260</t>
  </si>
  <si>
    <t>2 sinistres 1 degat des eaux et feu de cheminée habitations en 5 ans et hop viré de la maaf ainsi que l assurance voiture et moto sans aucun sinistre.je croyais a une farce mais non c est inadmissible.a quoi sert une assurance a rien juste a nous pomper du blé.j essaye de les contacter par telephone 10 fois mais dés que je donne mon nom on me balade pour pas m expliquer incroyable. merci quand meme a la conseillere de dinan qui ma envoyé les releves d informations auto et moto et me dit que j allais recevoir une lettre de resiliation et que ca vient de la direction desolés.cordialement</t>
  </si>
  <si>
    <t>MAAF</t>
  </si>
  <si>
    <t>23/01/2020</t>
  </si>
  <si>
    <t>remy-g-112961</t>
  </si>
  <si>
    <t>Les prix sont corrects par contre pour déclarer un accident par internet c'est compliqué pour une personne non habitué à internet, la taille des photos est aussi limitée et comme j'ai un appareil qui fait des photos de + de 3m° je suis ennuyé pour les joindre sur votre site</t>
  </si>
  <si>
    <t>07/05/2021</t>
  </si>
  <si>
    <t>gillesv-113175</t>
  </si>
  <si>
    <t xml:space="preserve">Devis assurance auto demandé en Avril, après 25 ans sans voiture assurée à mon nom car j’avais une voiture de service assurée par mon employeur.
Pas de soucis, me dit Maif, demandez votre historique sinistres à votre gestionnaire de flotte et rappelez-moi.
Ce que je fais, relevé en main, je le lis à Maif au téléphone 
« Voici votre devis, avec bonus 50% » me répond Maif, « envoyez-moi l’historique par mail et dès que vous aurez l’immatriculation de votre auto vous pourrez souscrire directement en ligne »
Tarif canon, accueil sympa, relances avec « salutations mutualistes »…. Je ne regarde même pas la concurrence et commande donc 10 jours plus tard, sitôt reçue ma carte grise et quelques jours avant livraison de l’auto.
Et là ….!
Stupeur « mutualiste »: « cher sociétaire, oublie le bonus 50, tu n’y as pas droit, en fait tu dois payer 80% plus cher »
… adieu Maif!
J’ai signalé cet abus à la DGCCRF
Maif s’offusque « vous avez commandé en ligne sans vérifier que le taux de 50% était confirmé »
… c’est sûr , après 10 jours depuis la réception de deux devis à 50% et leurs relances reçues sans aucune mention d’étude en cours ou d’alea possible, j’aurais bien évidemment dû comprendre que « sous réserve de confirmation » ne signifie pas « sous réserve de vérifier les informations partagées avant création du devis », mais plutôt: « sous réserve de notre bon vouloir »
Bon, finis les Sentiments Mutualistes de façade, j’ai trouvé vendeur plus honnête ailleurs.
</t>
  </si>
  <si>
    <t>MAIF</t>
  </si>
  <si>
    <t>09/05/2021</t>
  </si>
  <si>
    <t>ikalou-112532</t>
  </si>
  <si>
    <t xml:space="preserve">bonjour je vous conseil de ne pas prendre cette assurance, il ne tienne pas  leur engagement au nivaux des remboursements complémentaire avant de vous engagé voyer les avises de plus vous pouvais pas les avoirs au téléphone sais compliquer d'avoir des renseignements
dans l'ensemble pas de suivi clients a éviter  </t>
  </si>
  <si>
    <t>04/05/2021</t>
  </si>
  <si>
    <t>caumont-c-126361</t>
  </si>
  <si>
    <t xml:space="preserve">l'accueil téléphonique pour ma souscription a été parfait, après avoir si jamais il y a un soucis si c'est toujours aussi parfait. au niveau des pris un petit peu moins chère ne sera pas négligeable </t>
  </si>
  <si>
    <t>04/08/2021</t>
  </si>
  <si>
    <t>toudja-t-116845</t>
  </si>
  <si>
    <t>Rien n'a dire je suis satisfait de cette assurance auto. 
Le prix est convenable contrairement à d'autres assurances. 
Le personnels est vraiment cool.</t>
  </si>
  <si>
    <t>12/06/2021</t>
  </si>
  <si>
    <t>01/06/2021</t>
  </si>
  <si>
    <t>mohamed-tahar-b-128664</t>
  </si>
  <si>
    <t>Je satisfait des prix ainsi que les services rendu par direct assurance.
Je satisfait des prix ainsi que les services rendu par direct assurance.
Je satisfait des prix ainsi que les services rendu par direct assurance.
Je satisfait des prix ainsi que les services rendu par direct assurance.</t>
  </si>
  <si>
    <t>19/08/2021</t>
  </si>
  <si>
    <t>raphie-98979</t>
  </si>
  <si>
    <t>Cliente depuis de nombreuses années, je leur ai envoyé des clients.  j'ai eu uniquement un bris de glace et une tentative de vol sur mon véhicule et il m'ont radié. sachant que j'ai un garage fermé. ne jamais souscrire, ce sont des profiteurs.</t>
  </si>
  <si>
    <t>Eurofil</t>
  </si>
  <si>
    <t>20/10/2020</t>
  </si>
  <si>
    <t>lila-h-128982</t>
  </si>
  <si>
    <t xml:space="preserve">Très buen au niveaux prismx et rapidité je n'ai pas trouvéee mieux ailleurs
Milles merci à vous pour cette efficacité rien à dire de plus 
Cordialement </t>
  </si>
  <si>
    <t>21/08/2021</t>
  </si>
  <si>
    <t>md-65528</t>
  </si>
  <si>
    <t xml:space="preserve">madame,monsieur?
?mes ref 2339065?
il y a 48 h j'ai amené mon opel tigra DM 787 ZG 
car mes vitesses etaient dures à passer .mon garagiste a changé kit d'embrayage (880.51 e) 
j'ai récupéré  ma voiture ce matin  . Elle est tombée en panne sur le périphérique cet aprés midi ( les vitesses ne passaient plus du tout )
 J'ai appelé votre numero d'assistance qui m'a dit ne pas pouvoir m'envoyer un depanneur car j'étais à moins de 25 k de chez moi et m'a donné un autre numero  . la personne à peine aimable m'a dit d'appeler  la police car cela etait situé sur le periph avant de ma raccrocher au nez . 
j'ai donc eu affaire à un depanneur du periph 124.83 e
 qui m'a jetée à la 1ere sortie et m'a donné un autre numero  de dépannage pour me conduire à mon garagiste qui etait injoignable par téléphone cout 130 e
 ma voiture est actuellement chez mon garagiste .
mon contrat est le 34178961
je suis tous risques et n'ai jamais eu de probleme
j'ai chez vous d'autres contrat
 34179032
34179072,
63047442
inutile de vous dire que je suis tres mecontente du suivi de ma demande d'assistance et que je vais employer mon été à chercher une autre assurance de façon à transférer mes contrats . Je vous confirmerai   cela par LRAR
</t>
  </si>
  <si>
    <t>16/07/2018</t>
  </si>
  <si>
    <t>01/07/2018</t>
  </si>
  <si>
    <t>dedromeo--96983</t>
  </si>
  <si>
    <t xml:space="preserve">Dégâts des eaux le 20/11/2018, j attends toujours la remise en état des lieux. L expert ne prend que la moitié du papier peint confusion entre cagibi et buanderie. Plus de15 déplacement à l agence. Plusieurs appels au 0149147500 sans réponse après 20 minutes d attente. Au 03/09/2020 j attends encore. </t>
  </si>
  <si>
    <t>03/09/2020</t>
  </si>
  <si>
    <t>01/09/2020</t>
  </si>
  <si>
    <t>nathan-i-138516</t>
  </si>
  <si>
    <t xml:space="preserve">Les prix semblent correct pour une moto qui va très peu rouler ça va faire l'affaire. J'espère que si je vois fait assurer une seconde moto vous serez en mesure de me faire une réduction </t>
  </si>
  <si>
    <t>28/10/2021</t>
  </si>
  <si>
    <t>martine-95944</t>
  </si>
  <si>
    <t>Très competent au niveau prix....  Très courtois très aimable au niveau échange mails et documents très rapide dans les demandes.... L O'IVIER L'ASSURANCE QUE J CONSEILLÉ ATOUS... ????????????????????</t>
  </si>
  <si>
    <t>05/08/2020</t>
  </si>
  <si>
    <t>01/08/2020</t>
  </si>
  <si>
    <t>dyannick-d-116398</t>
  </si>
  <si>
    <t xml:space="preserve">
je suis satisfait de vos services , le prix me conviens 
j ai toutes mes voitures assurées chez vous 
il est facile de vous avoir au téléphone , ce qui est un plus pour une assurance en ligne 
au top </t>
  </si>
  <si>
    <t>08/06/2021</t>
  </si>
  <si>
    <t>lirisol-87277</t>
  </si>
  <si>
    <t>Economie importante réalisée grâce à AFI ESCA, par rapport à l'assurance de la banque</t>
  </si>
  <si>
    <t>Afi Esca</t>
  </si>
  <si>
    <t>18/02/2020</t>
  </si>
  <si>
    <t>01/02/2020</t>
  </si>
  <si>
    <t>thecoach06-96664</t>
  </si>
  <si>
    <t xml:space="preserve">Une honte: un service client inexistant, une incompétence nettement en dessous de la moyenne acceptable, des délais de remboursement ahurissants, des appels téléphoniques qui ne servent à rien, des contacts par mail qui ne servent à rien, des promesses de rappels fantômes, des changements de contrat sans en avertir le bénéficiaire, des erreurs maison grossières pour lesquelles on ne juge même pas  à avoir à s'excuser, des lettres recommandées auxquelles on répond par un message vocale laconique..... 
Autrement dit si vous avez besoin de rien vous êtes tout de suite servis.
Chez AG2RLaMondiale le client n'est pas roi, loin de là
On paie une cotisation pour services non rendus.
A croire que certains contrats ne les intéressent pas ou ne les intéressent plus .....
A vous de juger
</t>
  </si>
  <si>
    <t>25/08/2020</t>
  </si>
  <si>
    <t>saim-s-126534</t>
  </si>
  <si>
    <t>le processus est très simple et convivial, le site Web guide les utilisateurs à chaque étape sans aucun inconvénient. Par contre le prix est très bon spécialement pour les étudiants</t>
  </si>
  <si>
    <t>05/08/2021</t>
  </si>
  <si>
    <t>sylvie337-105968</t>
  </si>
  <si>
    <t>Après plus de 20 ans à la Macif qui me semblait une assurance humaine et respectueuse, JE LES QUITTE !! j'ai découvert un Grave Conflit d'Intérêt avec le cabinet d'expertise Saretec venu 2x à mon domicile pour des dégâts de condensation dûs à une panne de la vmc de l'immeuble, que cet expert a refusé de mettre en avant une 1e fois.....puis n'a purement et simplement PAS FAIT de rapport la 2e fois, refusant d'admettre la responsabilité du syndic de mon immeuble !! Il s'est passé maintenant 1 mois depuis sa 2e visite, plusieurs mails à la macif restés Honteusement et Scandaleusement Sans Réponse !!!! et toujours rien de ce rapport, et encore moins d'une indemnisation...... Je découvre donc des manoeuvres pour le moins douteuses et conflits d'intérêt évidents qui m'écoeurent. Et quand je mets le doigt dessus et demande des explications et l'avancement de mon dossier.....Rien, Silence radio. Voilà la réalité d'une assurance qui se dit sociétaire, humaine et à l'écoute.....</t>
  </si>
  <si>
    <t>10/03/2021</t>
  </si>
  <si>
    <t>jeannot-102057</t>
  </si>
  <si>
    <t>Je demande à clore mon contrat quand il sera à échéance pour trouver un près de chez moi car niveau client inexistant, pareil aucun preavis, juste mon compte supprimé un jour sans aucun mot de leur part quand à la date ou autre....
Aucun service client attention !</t>
  </si>
  <si>
    <t>Allianz</t>
  </si>
  <si>
    <t>31/12/2020</t>
  </si>
  <si>
    <t>01/12/2020</t>
  </si>
  <si>
    <t>georges-54349</t>
  </si>
  <si>
    <t>très bonne réactivité, accueil tel pro, suivi du dossier excellent en adéquation avec la demande</t>
  </si>
  <si>
    <t>28/04/2017</t>
  </si>
  <si>
    <t>01/04/2017</t>
  </si>
  <si>
    <t>suztl-51474</t>
  </si>
  <si>
    <t xml:space="preserve">Bonjour,
Assuré chez AMV depuis 8 ans sans aucun sinistre déclaré, je suis assuré en Dommages/collision et je viens d'avoir un accident où j'ai du freiner trop violemment, ma moto a glissé et est venue heurter un autre véhicule. Suite à ma déclaration, AMV ne veut pas prendre en charge les réparations de ma moto avec l'argument que mam moto a glissé avant de percuter l'autre véhicule. Dans mon contrat il n'est pas mentionné dans le cas de la perte de contrôle du véhicule est exclu de la garantie : « Le remboursement des dommages subis par votre véhicule ayant pour cause exclusive une collision (choc) avec un tiers identifié …. »
L'avant de ma moto a été endommagé à cause de la collision avec l'autre véhicule identifié. L'assurance ne veut pas revenir sur sa position et ne veut pas mandater un expert pour expertiser ma moto </t>
  </si>
  <si>
    <t>19/01/2017</t>
  </si>
  <si>
    <t>01/01/2017</t>
  </si>
  <si>
    <t>christophe-p-106600</t>
  </si>
  <si>
    <t>j'ai était satisfais durent les 6 ans chez vous, je n'est eu aucun n'accident aucun sinistre aucune perte de point.
j'ai une voiture éthanol recyclable a 95 pourcent, j'ai mon attestation  eco conduit, je suis inscrit sur la casse spécialisé pièce Saab recyclage.
et quand je demande un geste commerciale pour des mensualité abaissé on me le refuse.
ce n'est qu'une fois que j'ai souscrit ailleurs et demandé l'arrêt de mon contrat que l'on dédaigne me le proposé.
cerise sur le gâteau je découvre que m'a demande d'arrêt de contrat résiliation n'est pas pris en compte
je voulais resté chez vous mais la ce n'était plus possible.</t>
  </si>
  <si>
    <t>15/03/2021</t>
  </si>
  <si>
    <t>eric-65574</t>
  </si>
  <si>
    <t xml:space="preserve">J'ai l'assistance panne 0 km.  Je me retrouve avec 2 roues à plats à 400 km de chez moi. Je n'ai droit à aucune assistance car pour eux aucune garantie n'est ouverte pour ce sinistre ! Pourtant ils font la pub sur leur site internet qu'en cas de pneus à plat on peut avoir l'assistance et même à 0km si on sousrit l'option ! </t>
  </si>
  <si>
    <t>18/07/2018</t>
  </si>
  <si>
    <t>christian-f-105939</t>
  </si>
  <si>
    <t>Je suis très mécontent du procédé. Mon devis initial était de 380€ et il termine à 472€. Le devis est mensongé.  De façon inexpliquée il est passé à 420€ avant le paiement initial puis à 430€ car j'ai saisi 45 ans de permis au lieu de 43 ans (je suis donc devenu moins bon conducteur) puis passage à 472€ car 12 ans sans accident ne vous a pas convaincu. 
Croyez moi je ne vous recommanderai pas.</t>
  </si>
  <si>
    <t>09/03/2021</t>
  </si>
  <si>
    <t>bernard-t-108588</t>
  </si>
  <si>
    <t>je suis satisfait . GMF est trés réactif. Ecoute et professionnalisme envers ses clients , la GMF à chaque fois que j'ai eu besoin d'une aide ou d'un renseignement m'a toujours accompagné .</t>
  </si>
  <si>
    <t>31/03/2021</t>
  </si>
  <si>
    <t>valerie-63044</t>
  </si>
  <si>
    <t>DIRECT A FUIR !
Grâce aux devis fournis par un comparateur, nous avons choisi d'assurer chez DA 2 véhicules supplémentaires en "Tous Risques" (Civic 9 + Yaris 3 en plus d'une Yaris 1 en "Tiers Maxi" et de notre logement) :
Contrat souscrit en ligne pour la HONDA Civic 9 en février 2018 :
Conducteur 50% de bonus depuis 12 ans et plus le 1er avril 2018
Cotisation annuelle TTC : 401,03 Euro
Fréquence de paiement : mensuelle (33,41 Euro par mois)
Contrat souscrit en ligne pour la TOYOTA Yaris 3 en mars 2018 :
Conducteur 50% de bonus depuis 12 ans et plus le 1er avril 2018
Cotisation annuelle TTC : 329,02 Euro
Fréquence de paiement : annuelle
En mars,  DA proposait 40 Euro de remise pour tout nouveau contrat souscrit chez eux avant le 31 mars.
Par téléphone ils nous ont carrément affirmé que cette offre promotionnelle ne nous concernait pas car la Yaris 3 allait remplacer notre Yaris 1 (une fois vendue) assurée chez eux depuis 2013 mais sous un autre numéro de contrat avec 50% de bonus depuis 12 ans et plus au 1er avril.
Quelques jours après avoir validé, signé numériquement le contrat et payé intégralement les 329,02 Euro de cotisation annuelle de notre Yaris 3, nous recevons un mail de DA nous informant que le montant de notre cotisation est erroné et non conforme.
De 329,02 Euro (tarif proposé par le comparateur) nous passons à 389,73 Euro !
Pourquoi une augmentation de 60,71 Euro... ?! Parce que 15 JOURS avant le 1er avril, nous sommes à 50% de bonus depuis 11 ans et NON PAS 12 ans !!!!!! Ca fait chère la semaine ! A combien se serait montée la cotisation avec 50% de bonus depuis 11 ans et 1 jour...???!
Malgré les 329,02 Euro versés en 1 fois pour notre Yaris 3, DA nous menace maintenant de ne plus nous assurer si nous ne signons pas électroniquement leurs nouvelles Conditions Personnelles et ne réglons pas les 60,71 Euro restant avant le 15 avril.
Bref, nous sommes pris en otages !
Scandalisés par les FAUX TARIFS AVANTAGEUX, l'absence de considération et de tout geste commercial pour rectifier le tir, nous les avons avertis de notre intention de clôturer tous nos contrats et de dévoiler leurs pratiques douteuses.
A cela, un des conseillers du service clientèle nous a, d'un ton irrité et condescendant, directement orientés vers le service des résiliations.</t>
  </si>
  <si>
    <t>09/04/2018</t>
  </si>
  <si>
    <t>01/04/2018</t>
  </si>
  <si>
    <t>ita40-23528</t>
  </si>
  <si>
    <t>Dans le cas d'une déclaration de sinistre récente pour effraction, dégradations, vol et séjour probable du ou des intrus pendant au moins quelques heures dans une résidence secondaire: conseillers MAAF injoignables pendant des semaines; informations fournies contradictoires et finalement indemnisation proposée ridicule: 33 € pour remboursement d'un verrou fracturé que j'ai remplacé moi-même en urgence pour éviter nouvelle intrusion, cela après avoir fait 300 km pour me rendre sur place pour un dépôt de plainte que MAAF m'avait dit indispensable pour pouvoir préciser l'indemnisation !</t>
  </si>
  <si>
    <t>05/08/2018</t>
  </si>
  <si>
    <t>01/08/2018</t>
  </si>
  <si>
    <t>rose-110209</t>
  </si>
  <si>
    <t xml:space="preserve">Totalement d'accord avec les avis. La pire mutuelle que j ai connu. Soins orthodentiques de ma fille en janvier et remboursement qui arrive au bout de 4 mois après presque  un appel par semaine. J'ai jamais vu ça, tout ça car ils ne veulent pas prendre en compte mon numéro de secu (parents séparés) pour  raccorder mes enfants. On a la très Nette impression que le personnel est formaté à rassurer et que les dirigeants font traîner le plus possible le rbsmt....... </t>
  </si>
  <si>
    <t>Mercer</t>
  </si>
  <si>
    <t>13/04/2021</t>
  </si>
  <si>
    <t>christophe-d-113491</t>
  </si>
  <si>
    <t>excellent conseiller excellent rapport qualité prix tout est parfait rien à redire je conseille vivement direct assurance à tout le monde. Encore bravo pour cette qualité et ces prix.</t>
  </si>
  <si>
    <t>12/05/2021</t>
  </si>
  <si>
    <t>eric-m-110594</t>
  </si>
  <si>
    <t>Client depuis plus de dix ans voiture te maison je regrette que l'on ne puisse pas assurer le camping car et la moto, les services et les prix sont tres satisfaisonts</t>
  </si>
  <si>
    <t>16/04/2021</t>
  </si>
  <si>
    <t>gilbert-54172</t>
  </si>
  <si>
    <t>mon père 84 ans s'est vu être résilié par cette assurance suite a 2 sinistres en 2016
le premier est une vitre brisée par les pompiers qui lui sont venus en secours suite a une chute chez lui car il avait appuyé sur son médaillon de télé assistance ( col du fémur cassé )
la  deuxième fois sa clôture a été endommagée par un voisin qui a oublié le frein a main de sa voiture   et après  la remise en état   mon père était perdant de 500 €.
Je me suis pris la tête avec le courtier  qui est multicartes ; Allianz , Thelem  swiss lif etc  mais ce dernier n'a rien voulu savoir et je pense qu'il est la cause de la rupture de contrat</t>
  </si>
  <si>
    <t>27/04/2017</t>
  </si>
  <si>
    <t>aysenur-m-126266</t>
  </si>
  <si>
    <t xml:space="preserve">Trop cher pour une assurance jeune conducteur et étudiant. En espérant avoir des prix plus convenables très rapidement. 
Niveau rapidité je peux donner un 10/10. 
</t>
  </si>
  <si>
    <t>jim78000-54877</t>
  </si>
  <si>
    <t>Mutuelle inutile, à déconseiller. Mutuelle très chère par rapport aux services qu'elle offre, pour ce qu'elle rembourse prenez plutôt une mutuelle à 1 euros vous serez gagnant. N'offre aucune protection réelle, ne parlons du service client incompétence totale... Pas étonnant que j'entends parler de cette mutuelle qu'en des termes peu élogieux...</t>
  </si>
  <si>
    <t>APRIL</t>
  </si>
  <si>
    <t>23/05/2017</t>
  </si>
  <si>
    <t>victor2009-82067</t>
  </si>
  <si>
    <t>2 sinistres non responsables et la gmf me vire. De plus,  la gmf souhaite que je fasse une courrier de résiliation. 
C est eux qui virent et c est à moi de résilier 
Attention à cette assurance</t>
  </si>
  <si>
    <t>18/12/2019</t>
  </si>
  <si>
    <t>amandine-t-108151</t>
  </si>
  <si>
    <t xml:space="preserve">Je suis un peu déçue de voir que ma cotisation a augmentée ! sans aucune explication ou justification valable alors que je n'ai eu aucune déclaration de sinistre en 2ans. Je pense donc changer d'assurance rapidement </t>
  </si>
  <si>
    <t>philippe-j-116564</t>
  </si>
  <si>
    <t xml:space="preserve">Je suis très satisfait , est du prix je mais 4 étoile sans douter , je vous remercie est vous Souhaite une bonne journée à tous merci est bonne journée </t>
  </si>
  <si>
    <t>10/06/2021</t>
  </si>
  <si>
    <t>charly-d-124657</t>
  </si>
  <si>
    <t>Satisfait du prix et de plus je vais vous recommander à certaines personnes. De ce fait n'existe t-il pas chez vous un parrainage . Si oui veuillez me le confirmer par mail</t>
  </si>
  <si>
    <t>25/07/2021</t>
  </si>
  <si>
    <t>amine-58783</t>
  </si>
  <si>
    <t xml:space="preserve">contrat n° 230526 J'ai souscrit un contrat à cette assurances j'ai pas reçu de carte vert tout l'année d'assurance 30/10/2016 au  30/10/2017 pourtant j'ai payé tout l'année .  Communication impossible, call center incompétent cordonner d'adresse incorrecte .il ne veule  pas me résilier mon contrat .j'ai envoyé une lettre recommander avec avis de passage il veule me faire manger une 2eme année . j'ai pas reçu de relevé d'information .assurance catastrophique .    </t>
  </si>
  <si>
    <t>13/11/2017</t>
  </si>
  <si>
    <t>01/11/2017</t>
  </si>
  <si>
    <t>nicolas-d-112388</t>
  </si>
  <si>
    <t>L'idée est très intéressante. Cependant la mise en pratique est catastrophique pour moi. Le module fonctionne une fois sur 10 environ. Dernièrement, il m'a mis une très mauvaise note, j'ai donc décidé de faire très attention et de rouler tranquillement pour équilibrer le tout et la note reçue est pire qu'avant ! incompréhensible.</t>
  </si>
  <si>
    <t>philippe-66-113962</t>
  </si>
  <si>
    <t>Bonjour
GROUPAMA UNE ASSURANCE POUR LES ACTIONNAIRES PAS POUR LES ASSUMER 
Je suis Vraiment déçu du groupama (pour un sinistre à 65 €
Suite à un sinistre notre fils à envoyé le ballon sur la paire de lunettes du professeur de sport
La somme pour les réparations est de 65 € mais la Franchise est de 140 €
Donc groupama ne rembourse pas les réparations au professeur.
J ai tellement honte du groupama
Je vais payé avec respect les réparations des dégradation pour la somme de 65 €
Notre fils à 16 ans et à toujours était assuré à groupama un sinistre en 13 ans 
Pour la somme d 65 €
Et vous déconseille Fortement le groupama</t>
  </si>
  <si>
    <t>Groupama</t>
  </si>
  <si>
    <t>17/05/2021</t>
  </si>
  <si>
    <t>soyer-romain-99502</t>
  </si>
  <si>
    <t>Pour faire suite au précédent je viens également de recevoir le même courrier, que mes contrats étaient résilier suite à l'altération de notre relation commerciale. Après plusieurs appels personne n 'a su me donner une raison à tous ça. En tous cas je tenais a saluer l esprit mutualiste de la Maif, avec lequel je me trouve a payer le double de cotisation au pres d'un autre assureur alors que j'ai été résilier sans raison,et une chose qui est sur  ils sont plus rapide a vous résilier qu'a vous aider dans vos démarches en cas de sinistre.</t>
  </si>
  <si>
    <t>02/11/2020</t>
  </si>
  <si>
    <t>01/11/2020</t>
  </si>
  <si>
    <t>rigon-s-123968</t>
  </si>
  <si>
    <t>Je suis satisfaite du service.
Les conseillers sont très sympathiques et à l'écoute. Peu d'attente sur le service téléphonique
Les prix sont respectables.</t>
  </si>
  <si>
    <t>20/07/2021</t>
  </si>
  <si>
    <t>chakime-100490</t>
  </si>
  <si>
    <t>Bonjour,
Mon mari est en ALD depuis le 7 avril 2020 nous avons envoyé les documents par le site et a ce jour tjs rien nous vivons a 5 avec 440 euros tous les 15 jours de la SS quand je les appels tjs la même réponse nous avons fait remonté l'info au service gestion nous sommes dans une situation financière critique mais rien a foutre elle me dit qu'elle se met a notre place comment elle peut nous dire cela quand elle touche son salaire en entier. Aujourd'hui le 23/11/2020 le service gestion traite les réclamation du 19/08/2020 et nous la réclamation remonte au 21/09/2020 c'est pas concevable une assurance comme ça il faut la dénoncé et que personne ne prenne un contrat chez eux je suis en train de voir pour un recours juridique je demande a ceux qui l'on déjà fait de me donner des tuyaux car je n'en peux plus.
Merci de me lire</t>
  </si>
  <si>
    <t>23/11/2020</t>
  </si>
  <si>
    <t>brochot-e-122910</t>
  </si>
  <si>
    <t>Satisfait de la mise en relation avec les clients.
Personnel gentil et chaleureux.
Bon rapport service/prix.
Site internet intuitif est bien développé.</t>
  </si>
  <si>
    <t>09/07/2021</t>
  </si>
  <si>
    <t>lili-121852</t>
  </si>
  <si>
    <t xml:space="preserve">Cliente depuis 2 ans, Très bon service relation client , la conseillère Lamia as résolue mon problème et m’as guidé le mieux possible , très satisfaite ! </t>
  </si>
  <si>
    <t>30/06/2021</t>
  </si>
  <si>
    <t>romaindu54-70709</t>
  </si>
  <si>
    <t xml:space="preserve">coupe la connexion noémie avant la date de résiliation définitive ce qui oblige à avancer les frais médicaux sachant qu'il avait déjà fallu un certain délai pour la mise en place . Pas d'envoi de renouvellement de carte donc sans droits pour les pharmacies qui vous font passer pour un mauvais payeur alors ue bien sur à jour de cotisation. </t>
  </si>
  <si>
    <t>29/01/2019</t>
  </si>
  <si>
    <t>01/01/2019</t>
  </si>
  <si>
    <t>clement-f-134404</t>
  </si>
  <si>
    <t>Je suis très satisfait du service si je ne reçois pas d'appels sans arrêt de conseillers qui ne répondent pas. Les prix sont très abordables, dommage qu'il faille penser en une fois, et non en mensualités !</t>
  </si>
  <si>
    <t>24/09/2021</t>
  </si>
  <si>
    <t>indigne-67077</t>
  </si>
  <si>
    <t xml:space="preserve">Assurance nullissime. Des soucis très importants de structure de ma maison, dus probablement à des mouvements de terrain : premier appel d'urgence, mon cas ne rentre pas dans les cases, rappelez demain ; par la suite : refus total de prendre quoique ce soit en charge, ni expert, ni compensation, ni rien. Que du mépris. </t>
  </si>
  <si>
    <t>24/09/2018</t>
  </si>
  <si>
    <t>01/09/2018</t>
  </si>
  <si>
    <t>faf-la-rage-98632</t>
  </si>
  <si>
    <t>A fuir!!! Chez eux depuis plus de 15 ans, j'ai eu 2 sinistres casi en même temps, Grêle + vandalisme. Il m'ont fait payer 2 franchises à 480 chacune car 2 dossiers différents. Je leur demande donc un geste commercial sur la 2eme franchise....UN GROS VA VOIR AILLEURS SI J'Y SUIS de leur part. J'ai fermé tous mes assurances chez eux et partis voir ailleurs et c'est bien mieux chez les autres.
DES INCOMPETENTS qui n'écoutent pas leur assurés.</t>
  </si>
  <si>
    <t>12/10/2020</t>
  </si>
  <si>
    <t>mouss-64123</t>
  </si>
  <si>
    <t>erika  tres agreable a parler au telephone et a l'ecoute du client comprend le probleme rapidement</t>
  </si>
  <si>
    <t>desenclos-s-129156</t>
  </si>
  <si>
    <t>Satisfait, le prix est correct vis à vis des garanties proposés
Le conseiller était sympa et l'écoute, il a répondu à toutes mes questions, n'hésitez pas à lui donner de l'argent en plus à la fin de ce mois-ci, il ne m'a rien demandé, j'ai écrit cela car si vous avez un responsable relation client, cela le fera probablement rire de lire ceci, toutefois, pensez quand même à lui donner des sous après avoir rigolé...</t>
  </si>
  <si>
    <t>23/08/2021</t>
  </si>
  <si>
    <t>turc-f-111296</t>
  </si>
  <si>
    <t>Je suis satisfait du prix et des services que l'on m'a indiqué.
De plus les garanties sont pour moi claires.
Maintenant il ne reste plus qu'a voir avec cette assurance si tout se passe bien !</t>
  </si>
  <si>
    <t>22/04/2021</t>
  </si>
  <si>
    <t>mika-75993</t>
  </si>
  <si>
    <t xml:space="preserve">Bonjour a tous,
comme beaucoup de personne ici à première vu, trouve que la sogecap son incompétent et bien je vous le confirme !
Moi sa fait 2 ans que je me bat avec eux pour une prestation que je paie tous les mois !
Document perdu, demande de pièces en doublon, on vous dit je vous rappel mais personne vous rappel etc.....
Clairement je vous déconseille cette assurance !
En juillet 2018 je suis tombé malade dans leur contrat il est préciser que la sogecap prendre la relève au bout du 91 éme jour mais il on commencé à prendre en charge au bout de 330 jours soit 11 mois plus tard et après sa aucun virement mensuelle mais toujours la à réclamé des pièces et en plus déjà fourni afin de gagné du temps !!!!
sa fait 2 ans que je suis en incapacité de travailler mais il son encore la à me demander des pièces 
A ce jour je suis en invalidité et sa fait 5 mois la sogecap ne me paie pas parconte il prélève bien tous les mois sur mon compte.
Alors faite comme moi, je ne suis plus à 6 mois prêt donc j'engage une procédure auprès du tribunal article 1103 et 1231-1 du code civile enfin que cette assurance soit punis par la loi .
je vais mettre une pétition contre la Sogecap en ligne ou je vous transmettrez le liens afin qu'il respecte leur contrat.
En vous remerciant 
 </t>
  </si>
  <si>
    <t>Sogecap</t>
  </si>
  <si>
    <t>07/08/2020</t>
  </si>
  <si>
    <t>bay-57508</t>
  </si>
  <si>
    <t xml:space="preserve">a fuir !!!!! pas responsable de tt meme si t'as des enfants s'en fiche totalement !! 
plusieurs mois pour  rembourser bcp de paperasse pour gagner du temps  même lors d'un sinistre non responsable avec des enfants.
Enfin j'ai cédé et j'ai changé d'assuarnce , je peu  vous dire que c'est different niveau relationel et traitment de dossier lors d'un sinistre </t>
  </si>
  <si>
    <t>21/09/2017</t>
  </si>
  <si>
    <t>01/09/2017</t>
  </si>
  <si>
    <t>jess12-56126</t>
  </si>
  <si>
    <t xml:space="preserve">Service client insatisfaisant - Franchise assez élévé en cas de sinistre ce qui explique le tarif mensuel peut élévé.
</t>
  </si>
  <si>
    <t>20/07/2017</t>
  </si>
  <si>
    <t>01/07/2017</t>
  </si>
  <si>
    <t>philippe-l-110182</t>
  </si>
  <si>
    <t>Prix intéressant, plus logique par rapport à mon ancienne assurance trop élevé malgré aucuns sinistres depuis des années en comptant mes bonus, et en ayant eu une augmentation de la cotisation</t>
  </si>
  <si>
    <t>celine05-101244</t>
  </si>
  <si>
    <t>L'assureur GROUPAMA nous a résilié sur un sinistre même pas pris en charge dans le contrat (sur un terrain en indivision), donc ils n'ont rien payé... et d'une valeur de 100€...</t>
  </si>
  <si>
    <t>10/12/2020</t>
  </si>
  <si>
    <t>pierrick-m-108149</t>
  </si>
  <si>
    <t>La proposition que vous nous avez faite nous satisfait, le dossier est très simple et validation très rapide, notre interlocuteur Benjamin est très sympathique, et toujours disponible.
En vous remerciant.</t>
  </si>
  <si>
    <t>Zen'Up</t>
  </si>
  <si>
    <t>jean-christophe-l-128213</t>
  </si>
  <si>
    <t>Satisfait du service et de l'accueil téléphonique. Un appel, un devis, une souscription.
Claire net et précis.
Toutes les informations sont transmises et souscription immédiate</t>
  </si>
  <si>
    <t>16/08/2021</t>
  </si>
  <si>
    <t>virginie60-67455</t>
  </si>
  <si>
    <t>j ai etais satisfaite de ma couverture mutuelle de santée a néoliane pendant 1 ans; c'est pour ça que je reviens vers vous aujourd huit, le prix et les remboursements sont satisfaisant.</t>
  </si>
  <si>
    <t>08/10/2018</t>
  </si>
  <si>
    <t>01/10/2018</t>
  </si>
  <si>
    <t>nadiaadjo-93145</t>
  </si>
  <si>
    <t>Injoignable, que ce soit par mail par téléphone, jai appelé 25 fois + 8 mails et j'ai même essayé par message privé sur Twitter ^^ (je suis énervée et désespérée) j'ai toujours pas eu de réponse, aujourd'hui je veux simplement résilier et ça non plus personne n'est capable de me répondre ?? je regrette amèrement d'avoir quitté mon ancien assureur...</t>
  </si>
  <si>
    <t>03/07/2020</t>
  </si>
  <si>
    <t>01/07/2020</t>
  </si>
  <si>
    <t>blancoroub-97351</t>
  </si>
  <si>
    <t>Tres agreable et tres professionnel. Le conseiller m a aiguillé a la perfection. Je recommande vivement. Les tarifs tres attractifs et les garanties de neoliane santé senior on fait la difference</t>
  </si>
  <si>
    <t>14/09/2020</t>
  </si>
  <si>
    <t>quelen-r-126574</t>
  </si>
  <si>
    <t xml:space="preserve">Équipe efficace en cas de renseignements, les contrats auto reste intéressants au point garantis et prix. A voir pour sûrement d'autres contrats auprès de cette compagnie. </t>
  </si>
  <si>
    <t>robertv-59275</t>
  </si>
  <si>
    <t xml:space="preserve">A fuir, en cas de annulation ils remboursent jamais, ils sont injoignable, aucun réponse  aux emails. Quand ils répondent au téléphone ils sont énormément lent 80 centimes par minutes!!!! Le jour après que nous avons payé par carte notre carte était soudain utilisé en Mexique 3 fois et notre banque a bloqué la carte heureusement. Nous avons signalé cette entreprise à la police. </t>
  </si>
  <si>
    <t>30/11/2017</t>
  </si>
  <si>
    <t>karine-d-131830</t>
  </si>
  <si>
    <t>Satisfait du service internet et prix attractif 
J attends de voir la suite s il devait y avoir un souci 
Prix compétitif garanties semblent correctes</t>
  </si>
  <si>
    <t>08/09/2021</t>
  </si>
  <si>
    <t>bolze-s-132206</t>
  </si>
  <si>
    <t>satisfaite de vos services. Mais merci encore de faire baisser vos tarifs. il faudra que je vois mes autres contrats avec vous de deux autres voitures</t>
  </si>
  <si>
    <t>loulou-94169</t>
  </si>
  <si>
    <t>Super pour un retraité qualité / Prix .
J'ai 2 enfants avec 2 autres véhicules à assurer, j'espère avoir un code réduction pour chacun d'eux.
A suivre sur la qualité des services.</t>
  </si>
  <si>
    <t>15/07/2020</t>
  </si>
  <si>
    <t>user-107210</t>
  </si>
  <si>
    <t>Une assurance qui aime bien encaisser mais qui n'aime pas redonner l'argent en cas de problèmes. Nous sommes écœurés ! Je ne recommande pas du tout !!!</t>
  </si>
  <si>
    <t>19/03/2021</t>
  </si>
  <si>
    <t>steph-69009</t>
  </si>
  <si>
    <t>On a volé toutes les pièces sièges levé de vitesse ...de ma voiture devant la maison il ne reste que la carcasse les personnes ont été dérangé vers 5h du matin ils étaient en train de lever les portières.. Cela fait 24 'jours on m'a proposé une voiture de location 15 jours et l'assurance enquête car selon l'expert il n'y a pas eu effraction comme si par hasard ce soir là j'avais ommis de fermer la porte et comme par hasard des personnes bien équipés sont passés par là alors que même à la télévision on nous montre comment ouvrir une voiture sans effraction de plus les voleurs pro sont équipés pour ouvrir plus qu'une clio3!! De plus certains agents qui répondent au téléphone ne me laisse pas parler ils n'écoutent pas coupent la parole, mal informés  et il y en a une qui n'avait pas le bon dossier elle me disait n'importe quoi et quand elle s'en ai rendu compte elle me prenait de haut au lieu d'au moins je ne dis pas s'excuser mais avoir un comportement correct..</t>
  </si>
  <si>
    <t>29/11/2018</t>
  </si>
  <si>
    <t>dada77-67977</t>
  </si>
  <si>
    <t xml:space="preserve">assure depuis des années je vient de subir une effraction aucune aide pour remplace ma fenêtre donc je fait un devis chez lapeyre prix 1013 euro axa veut voire a la baisse mon devis car ai marquer dessus remplacement simple vitrage par double il me propose 729 euro sur le qu4el on me déduit 163 euro de franchise 566 euro donc je paie la moitié de la fenêtre alors que je suis assure vol effraction axa sont des escorte a fuir </t>
  </si>
  <si>
    <t>23/10/2018</t>
  </si>
  <si>
    <t>stephane-53129</t>
  </si>
  <si>
    <t>Actuellement chez cette assureur, j'ai voulu modifier mon contrat pour mettre ma femme en 2 ème  conducteur (jeune permis). Pour faire le devis, pas de soucis, mais lors de l'appel pour modifier mon contrat dans le sens de leur devis, leur réponse a été NON, car votre femme à moins de 3 ans de permis. Ok elle a moins de 3 ans, mais c'était stipuler sur leur offre. Du coup il n'assure pas. Donc j'ai un devis qui sert à rien!!!</t>
  </si>
  <si>
    <t>09/03/2017</t>
  </si>
  <si>
    <t>01/03/2017</t>
  </si>
  <si>
    <t>mollenthiel-97690</t>
  </si>
  <si>
    <t>J'ai eu un sinistre, qu'ils refusent de me payer entièrement, sous pretexte que les factures que je leurs aurais envoyé seraient fausses. Or ce sont bien des vrais.
Il essaient de m'intimider pour que j'accepte de renoncer à l'indemnisation. Je trouve cela scandaleux</t>
  </si>
  <si>
    <t>22/09/2020</t>
  </si>
  <si>
    <t>mohamed-t-138087</t>
  </si>
  <si>
    <t xml:space="preserve">Impeccable je suis vraiment satisfait du prix et des options ajouter pour les garanties en plus , je recommande vivement cette assurance qui propose des prix attractif </t>
  </si>
  <si>
    <t>22/10/2021</t>
  </si>
  <si>
    <t>michel11-61928</t>
  </si>
  <si>
    <t>JE SUIS LA FORMULE DEPUIS 2015 ET JE SUIS SATISFAIS</t>
  </si>
  <si>
    <t>02/03/2018</t>
  </si>
  <si>
    <t>01/03/2018</t>
  </si>
  <si>
    <t>mamina-128506</t>
  </si>
  <si>
    <t xml:space="preserve">Bonjour,
très satisfaite de cette mutuelle , prix raisonnable, remboursements satisfaisants.
Site pratique pour la communication rapide.
J'ai appelé l'autre jour pour un remboursement, j'ai eu Emeline au téléphone, très courtoise, sérieuse et professionnelle, elle à pu résoudre mon problème.
Je recommande cette mutuelle.
</t>
  </si>
  <si>
    <t>18/08/2021</t>
  </si>
  <si>
    <t>stju-55985</t>
  </si>
  <si>
    <t xml:space="preserve">Une catastrophe! À fuir absolument. AD vous propose un devis à bas prix à la souscription, puis rehausse le tarif sous prétexte de règlement intérieur ne les autorisant pas à reprendre votre historique - accepte par MACIF, MMA, Arkea etc.... - et vous double le tarif. Vous demandez donc résiliation et là... Tous les obstacles possibles sont mis en travers de votre route.. Refus du service client , demande de LR, demande de renvoi des lettres recommandées à une autre adresse que celle spécifiée dans les conditions générales, Raccrochage des conseillers au téléphone. Cerise sur le gâteau, prélèvement NON autorisé sur votre CB de la différence de tarif "proposée" et non signée ( donc contrat non valide!) . Une stratégie 
DÉLIBÉRÉE. Une honte pour AXA qui sera reportée à l'assemblée générale des actionnaires, à la justice et aux associations de consommateurs.
Peut être ce site ( ou leur marketing est présent) permettra t il de parler à d.autres interlocuteurs qu'a des perroquets -aucune animosité contre eux-  mais dressés à donner des non réponses stéréotypées et ILLÉGALES ! 
</t>
  </si>
  <si>
    <t>12/07/2017</t>
  </si>
  <si>
    <t>kylian-r-116745</t>
  </si>
  <si>
    <t>Ras tout c est très bien passer. Facilité de compréhension. Niveau expliquation nickel.
 Rien a dire c étais parfait plus qu à attendre les papiers ..</t>
  </si>
  <si>
    <t>11/06/2021</t>
  </si>
  <si>
    <t>david-h-106089</t>
  </si>
  <si>
    <t>Tarif attractif , les risques par rapport aux véhicules et aux types d'utilisation ont été bien analysés. Rapidité de proposition de devis et devis très clairs.</t>
  </si>
  <si>
    <t>boina-a-127569</t>
  </si>
  <si>
    <t xml:space="preserve">Je suis satisfait du service et le prix me convient merci pour votre gentillesse et votre attention en vers moi je ferais pareil pour vous montrez ma gratitude </t>
  </si>
  <si>
    <t>11/08/2021</t>
  </si>
  <si>
    <t>benoit-b-124746</t>
  </si>
  <si>
    <t>service satisfaisant et proche du client, par contre, lors de notre sinistre, l'entreprise chargée de changer notre porte a été trop lente...presque un an pour changer une porte...</t>
  </si>
  <si>
    <t>26/07/2021</t>
  </si>
  <si>
    <t>decu73-52687</t>
  </si>
  <si>
    <t>Après avoir effectué une comparaison sur un comparateur d'assurances, Eurofin était la deuxième sur la liste (bien évidemment, stratégie marketing bien rodée), une conseillère m’appelle et commence à me parler des détails du devis. Au moment où elle me parle du prix qui est à payer en une seule fois et que ça va devenir plus cher avec en payant par mois, la conseillère me dit "On aura essayé monsieur" et me remballe, limite elle me raccroche au nez. Ca tombe bien j'étais déjà sur le site au moment où je lui parlais!
La community manager:  pas la peine de mettre une réponse je ne reviendrai plus et je conseille tous le monde de faire pareil !!</t>
  </si>
  <si>
    <t>23/02/2017</t>
  </si>
  <si>
    <t>01/02/2017</t>
  </si>
  <si>
    <t>coco-99824</t>
  </si>
  <si>
    <t xml:space="preserve">J'ai un dossier sinistre (M 20 0788491 R / Réf. expert : 2020ST01771) qui a fait l'objet d'une expertise que je conteste. Refus de prise en charge des travaux consécutifs à une recherche destructive de fuite, au motif selon lequel le plombier voudrait remplacer mon WC. Or celui-ci a été déposé et reposé à l'identique et, loin de travaux d’amélioration, il y a une perte de superficie des toilettes (pour raisons techniques). Cela fait un mois que je demande une révision d'expertise sans succès, l'expert initial ne voulant pas revenir sur sa décision. Jusque là, j'étais entièrement satisfaite de la réactivité de la Maïf et de la qualité de ses expertises. Mais je constate une dégradation. Relations commerciales toujours très cordiales mais avec une visée stratégique de gain de temps (on me demande de  patienter en attente de la réponse de l'expert). Dossier partagé jusqu'à ce que je demande une tierce expertise. Même stratégie :  la nouvelle personne en charge du dossier doit prendre encore 8 jours pour en prendre connaissance. Je suis très déçue et commence à douter sérieusement des valeurs mutualistes affichées qui ne valent que lorsque le ratio client est favorable. J'ai pourtant 7 contrats à la Maïf (5 habitation et 2 automobiles) et suis cliente depuis plusieurs années. Mais je ne dois sans doute plus rassez "rapporter" assez, ayant eu la défaveur de sinistres ces derniers temps. Je vais commencer à regarder auprès d'autres assureurs.
</t>
  </si>
  <si>
    <t>17/11/2020</t>
  </si>
  <si>
    <t>arthur--102546</t>
  </si>
  <si>
    <t xml:space="preserve">
Faux arguments commerciaux :
on vous parle de dérogation spéciale qui n’existe pas et les propos sont flous.
Pour un métier qui demande beaucoup de rigueur car un accident de voiture peut bouleverser une vie entière, cette compagnie est dangereuse (pour l’avoir vécu, un soir à 17h00 vous recevez un appel hallucinant de cette pseudo compagnie d'assurance qui vous informe que le lendemain votre véhicule ne sera plus assuré ! Sans aucune raison, ils vous lâchent comme une m.... et débrouille toi pour trouver une assurance en fin de journée pour le lendemain !) Ils sont inconscients.
Il ne peut y avoir que mieux ailleurs.
A bon entendeur.</t>
  </si>
  <si>
    <t>13/01/2021</t>
  </si>
  <si>
    <t>yann91-130430</t>
  </si>
  <si>
    <t xml:space="preserve">A fuir ! 
Ou en tout cas, ne pas comettre l'erreur de prendre leur tous risques. 
En cas d'un sinistre, on fera tout pour ne pas vous rembourser. 
J'ai un sinistre sur une nouvelle voiture, le jour de retour de vacances, des dommages partout des deux coté couverts par de la peinture noire. Leur expert mandaté, sans aucun entretien ni échange avec moi, se prononce pour donner une conclusion vague au sinistre. L'assurance m'envoie balader entre elle et l'expert. Elle refuse d'indémniser au final. 
Prochaine étape : Avocat et Tribunal contre ce service AXA catastrophique. 
Dommage et triste qu'on nous prenne pour des moutons !
</t>
  </si>
  <si>
    <t>31/08/2021</t>
  </si>
  <si>
    <t>ao-121842</t>
  </si>
  <si>
    <t>C'est une catastrophe. Les temps d'attente sont interminables, et quand on réussit à avoir un conseiller, on nous redirige vers des services "plus compétentes" qui n'arrivent jamais au bout de la demande. J'ai passé et compter, 4h au total la semaine dernière et je n'ai toujours pas de réponse à mes questions. Fuyez, mais fuyez vraiment loin loin d'eux !</t>
  </si>
  <si>
    <t>jm-13-139184</t>
  </si>
  <si>
    <t xml:space="preserve">Ma mère 90 ans assurée depuis 35 ans à la Matmut. Un dégât des eaux en 2020 et un autre en 2017 . Elle reçoit un courrier en recommandé comme quoi la Matmut ne peut plus l’assurer ! Malgré un courrier de réclamation. Rien n’y change, il reste sur leurs positions . Et ils osent faire de la pub à la télé !! Inadmissible. Je ne recommande vraiment pas cette assurance . </t>
  </si>
  <si>
    <t>08/11/2021</t>
  </si>
  <si>
    <t>01/11/2021</t>
  </si>
  <si>
    <t>hewson-61446</t>
  </si>
  <si>
    <t>Ayant subi un acte chirurgical en ambulatoire dans une clinique, j’ai dû débourser (frais de dépassement) la somme de 963€, entre le chirurgien, l’anesthésiste et la chambre pour la journée, je constate aujourd’hui que je ne serai remboursée que de 206€. Une miette. Ridicule, mais surtout déçue. Si certains s’interrogent sur quelle mutuelle choisir, ne prenez surtout pas celle-ci. Regardez les autres assureurs.</t>
  </si>
  <si>
    <t>14/02/2018</t>
  </si>
  <si>
    <t>01/02/2018</t>
  </si>
  <si>
    <t>jmf-100365</t>
  </si>
  <si>
    <t>Le service de L'Olivier s'est montré accueillant, compréhensif, efficace. Le processus est mené rondement, la réactivité aux demandes est bonne. Je n'ai jusqu'alors que des motifs de satisfaction.</t>
  </si>
  <si>
    <t>20/11/2020</t>
  </si>
  <si>
    <t>jamy-66450</t>
  </si>
  <si>
    <t>La MAIL veut assurer mon fils comme conducteur alors qu'il n'a pas encore  le permis de conduire ?</t>
  </si>
  <si>
    <t>28/08/2018</t>
  </si>
  <si>
    <t>kriss41-79450</t>
  </si>
  <si>
    <t xml:space="preserve">Merci à Glendale pour son amabilité et ses conseils.il à tres bien répondu à mes attentes car il était à l'écoute </t>
  </si>
  <si>
    <t>25/09/2019</t>
  </si>
  <si>
    <t>01/09/2019</t>
  </si>
  <si>
    <t>jo-59063</t>
  </si>
  <si>
    <t>Moi aussi je trouve inadmissible que le numéro d'appel soit surtaxé, j'en suis aujourd'hui à 25 € d'appel. D'autre part, je me trouve aujourd'hui dans l'impossibilité de souscrire un contrat pour mon nouveau véhicule. Malgré la preuve du paiement total de ma prime d'assurance pour mon ancien véhicule (attestation de l'huissier de justice adressée par mail à Active Assurance), véhicule que j'ai vendu depuis, ils refusent d'assurer mon nouveau véhicule (dont j'ai besoin pour aller travailler) avant d'avoir le règlement que l'huissier doit leur faire parvenir le 8 décembre. Active Assurance très compétitive au niveau tarifs mais service clients incompétent du fait que l'on n'a jamais la même personne au bout du fil et qu'ils nous donnent des infos différentes à chaque fois. A fuir dès que possible</t>
  </si>
  <si>
    <t>23/11/2017</t>
  </si>
  <si>
    <t>renol-67349</t>
  </si>
  <si>
    <t>mauvais conseil sur le choix des garanties (franchises élevées pour appâter avec un prix moindre), pas actif dans la gestion d'un sinistre, frais pour mensualiser et lors du renouvellement !</t>
  </si>
  <si>
    <t>04/10/2018</t>
  </si>
  <si>
    <t>raymond-105308</t>
  </si>
  <si>
    <t>bonjour j ai résilier mon contrat santé le 19-02-2021 a ce jour aucune réponse que ça soit par mail ou par téléphone le courtier a lu mon mail aucune réponse il me reste plus qu' arreter mon prélèvement bancaire.je ne recommande pas cette mutuel aucun contact.</t>
  </si>
  <si>
    <t>03/03/2021</t>
  </si>
  <si>
    <t>parichon-c-114481</t>
  </si>
  <si>
    <t>Le devis est clair, la rapidité du service par internet est impressionnant. Les demandes d'informations sont concises et rapides. La procédure "step by step" est eficace!</t>
  </si>
  <si>
    <t>21/05/2021</t>
  </si>
  <si>
    <t>wayan-55165</t>
  </si>
  <si>
    <t>mon véhicule s'est fait heurter par un camion au stationnement, la chance dans tout ça est que la police était sur les lieux et a relevé l'identité du conducteur. A partir de ce moment commence le pélérinage. cafouillage total au niveau de la hotline au sujet de la procédure à mener, mauvaise et/ou manque d'information sur la prise en charge. Ex: me demander dans quel garage je souhaite que mon véhicule soit remorqué( hotline dépannage). 1h après on me fait comprendre qu'il vaut mieux choisir un garage...agréé sinon je dois avancer les frais (hotline gestion des sinistres). j'ai du rappeler la hotline "depannage" (oui vous l'avez compris, il y a 2 numéros!!). J'apprends au passage que très peu de garagistes accèptent de travailler avec Directassurance. 
J'ai du réexpliquer mon incident plusieurs fois à la même et à plusieurs personnes.
1 mois après, mon véhicule est toujours au garage en attente de confirmation de la prise en charge, on avait oublié de me préciser que la procédure pouvait prendre...6 mois (je l'ai appris il y a qq jours). 
je remercie cette formidable conseillère qui a compris mon désarroi et qui s'est défoulé à le faire avancer.
Etre mieux conseillé en amont m'aurait permis de prendre les devant.
Avancer les frais est dans les cordes de l'assureur d'autant plus que la procédure a de grande chance d'aboutir.
En attendant, je demande des devis de compagnies concurrentes et bien sur je lis vos opinions sur ce site.</t>
  </si>
  <si>
    <t>06/06/2017</t>
  </si>
  <si>
    <t>01/06/2017</t>
  </si>
  <si>
    <t>bernard-60089</t>
  </si>
  <si>
    <t xml:space="preserve">aprés avoir fait un devis , j'ai fait une premiere demarche pour faire les papiers qu'il me demander , aprés réflection j'ai changer d'avis au bout de 1semaine pour me rétracter en envoyant un mail , en changeant part une autre assurance moin chere ! malgré cela j'ai reçu un courrier de mise en demeure de payer 200 euros alors que j'ai meme pas utiliser leur assurance , j'ai pas arreter de les appeler pour leur dire que je me suis retracter , il mon dit ok pas de soucis et desoler ! mais apres 1 semaine encor reçu une lettre e mise en demeure de payer , donc au files des mois ils sont fini par comprendre , maissssssssss quel galère , a eviter absolument </t>
  </si>
  <si>
    <t>02/01/2018</t>
  </si>
  <si>
    <t>01/01/2018</t>
  </si>
  <si>
    <t>y45-102223</t>
  </si>
  <si>
    <t xml:space="preserve">Bonjour,
Malakoff me mets dans une situation catastrophique.. il n ont pas versé la rente trimestriel de  début  janvier. Je me retrouve dans une situation financière catastrophique.. 
Apres avoir attendu 45min au téléphone  ce jour (numero surtaxé..) l'opérateur me stipule qu'il ne sait pourquoi. Je n ai aucune visibilité. 
Mutuel peu fiable.. ne paye pas en temps et en heure. Service client catastrophique au téléphone.
</t>
  </si>
  <si>
    <t>Malakoff Humanis</t>
  </si>
  <si>
    <t>06/01/2021</t>
  </si>
  <si>
    <t>flumet-61293</t>
  </si>
  <si>
    <t xml:space="preserve">A ce jour cette compagnie est dans l'incapacite de me verser les assurances vies qui ne sont du . ils  ne savent pas ou est passer l'argent </t>
  </si>
  <si>
    <t>Cardif</t>
  </si>
  <si>
    <t>vie</t>
  </si>
  <si>
    <t>09/02/2018</t>
  </si>
  <si>
    <t>dpn-49925</t>
  </si>
  <si>
    <t>Assureur à éviter ! après avoir signé un contrat d'assurance auto pour 510 €, Direct m'a imposé une augmentation de 90 € suite à une erreur de leurs services.</t>
  </si>
  <si>
    <t>05/12/2016</t>
  </si>
  <si>
    <t>01/12/2016</t>
  </si>
  <si>
    <t>mimi24-67244</t>
  </si>
  <si>
    <t xml:space="preserve">trés content du service qui m a conseiller ma mutuelle a un prix trés resonnable avec des garanties  suffisante
tres bon acceuil telephonique et bien gerer et orienter vers les meilleur solution adapter 
 </t>
  </si>
  <si>
    <t>le-floc'h-d-107007</t>
  </si>
  <si>
    <t>Très satisfait du service je recommande, personnel très efficace au téléphone et très réactive. Le tarif défis toute concurrence. Merci à l'olivier assurance.</t>
  </si>
  <si>
    <t>18/03/2021</t>
  </si>
  <si>
    <t>hazzouz-50280</t>
  </si>
  <si>
    <t>Ils n'ont pas mis à jours mon dossier et ça bloque la télétransmission automatique des informations de paiements à mon complémentaire santé.</t>
  </si>
  <si>
    <t>14/12/2016</t>
  </si>
  <si>
    <t>phileve-92572</t>
  </si>
  <si>
    <t>Une bonne écoute de la technicienne.
Très professionnelle et arrangeante côté horaires et rappels.
Excellent prix pour avoir fait le tour de vos concurrents.
Site simple d'utilisation.</t>
  </si>
  <si>
    <t>11/03/2021</t>
  </si>
  <si>
    <t>loima87-94754</t>
  </si>
  <si>
    <t>Assurance sérieuse, en cas de maladie ils sont réactifs le remboursement a été rapide et a la hauteur de ce que j'attendais. Je suis content de service neoliane</t>
  </si>
  <si>
    <t>21/07/2020</t>
  </si>
  <si>
    <t>tyty-100724</t>
  </si>
  <si>
    <t>Déçu de cette assurance Vie sur 3 année a perdre de l'argent alors que axa joue avec notre argent et tire les ficelles pour que cela leurs rapporte plus  pour eux qu à leurs assurés ...du racheter mes contrats a perte avec des difficultés  ...</t>
  </si>
  <si>
    <t>28/11/2020</t>
  </si>
  <si>
    <t>freb06-132201</t>
  </si>
  <si>
    <t xml:space="preserve">Une offre tarifaire de bienvenue au début mais ensuite les tarifs augmentent, au final, malgré les publicités, mon expérience me fait dire que Direct Assurance ne sont pas les moins chers, malgré les publicités et il n'y a aucune négociation possible de leur part,  le service client reste toutefois de qualité et à l'écoute fort heureusement. </t>
  </si>
  <si>
    <t>chr-108046</t>
  </si>
  <si>
    <t xml:space="preserve">Bonjour,
Aprés 20 ans d'ancienneté avec cette assurance pour mon habitation,mes voiture(s)et contrat accidents de la vie, mon contrat a été résilié car j'ai eu 3 dégats, (causes climatiques) en 3 ans pour une somme totale d'environ 2500 euros...
Je trouvais que c'etait une bonne assurance,bon contact et bon suivi,et je réalise avec beaucoup de naiveté je le concède, que ce n'est qu'une entreprise comme les autres pour qui ne compte que la rentabilité.
Résiliation complète sans regret.
</t>
  </si>
  <si>
    <t>25/03/2021</t>
  </si>
  <si>
    <t>hugo12-93925</t>
  </si>
  <si>
    <t>Jeune conducteur, j'étais assuré dans une autre compagnie mais je payais trop cher. J'ai changé facilement en peu de temps en faisant tout par téléphone : très pratique ! Rien à dire, conseiller sympa et à mon écoute. Ils m'ont tout expliqué en détails et répondu à mes questions</t>
  </si>
  <si>
    <t>13/07/2020</t>
  </si>
  <si>
    <t>bea3010-114459</t>
  </si>
  <si>
    <t xml:space="preserve">Très content du résultat. Une bonne compréhension de la part de l'nterlocutrice pour le soucis de  dépannage. Très satisfait de l'écoute.
Merci encore du geste effectué. </t>
  </si>
  <si>
    <t>sergio-99664</t>
  </si>
  <si>
    <t>Reçois ce jour mon échéancier 2021 , hausse de 31 % sans justification !! Inadmissible. Je quitte cette mutuelle pour un établissement plus soucieux de ses adhérent.</t>
  </si>
  <si>
    <t>05/11/2020</t>
  </si>
  <si>
    <t>julien-t-130308</t>
  </si>
  <si>
    <t>Les frais de prélèvement mensuels sont exorbitants. C'est le seul organisme dont les paiements mensuels sont facturés. C'est dommage que cette politique ne soit pas revue afin d'aider les sociétaires.</t>
  </si>
  <si>
    <t>gb-97919</t>
  </si>
  <si>
    <t>Contacts faciles et rapides avec GMF que ce soit sur leur site ou par téléphone.
Accompagnement tout à fait satisfaisant dans la conduite des sinistres.</t>
  </si>
  <si>
    <t>28/09/2020</t>
  </si>
  <si>
    <t>jean-marie-c-112830</t>
  </si>
  <si>
    <t>je suis satisfait du service....mais j'attend  mon attestation d'assurance avant le 23 mai 2021 car la gestion des hlm de tours ma deja envoye une"MENACE"!!! si je ne leur envoie pas le papier justifiant mon assurance APP. merci a vous</t>
  </si>
  <si>
    <t>06/05/2021</t>
  </si>
  <si>
    <t>blasselle-a-111688</t>
  </si>
  <si>
    <t>Très bon contact au téléphone et assistance de qualité (prestation des intervenants et rapidité)
Je recommanderais volontiers cette compagnie d'assurance</t>
  </si>
  <si>
    <t>26/04/2021</t>
  </si>
  <si>
    <t>laboulette-102780</t>
  </si>
  <si>
    <t xml:space="preserve">D'après mon compte ameli je n'est pas de mutuelle  et d'après ce que je lis ça ne sent pas très bon Je regrette de ne pas m'être renseigné avant Je leur laisse jusqu'à fin janvier </t>
  </si>
  <si>
    <t>17/01/2021</t>
  </si>
  <si>
    <t>dugas-de-la-catonniere-g-134801</t>
  </si>
  <si>
    <t>L'établissement et la réalisation contrat sont faciles à mettre en place, tout comme les appels à la plateforme.
Plus qu'à voir en cas de sinistre,mais je ne suis pas pressé !!</t>
  </si>
  <si>
    <t>vinc-137783</t>
  </si>
  <si>
    <t xml:space="preserve">A fuir ! 
Assurance pas chère car pas de service.
Des standardistes gentilles mais sans résultats 
Les documents se sont perdus 2 fois entre les services.
Bilan : frais de dossier x2 
Des heures de téléphones pour 0 services ! </t>
  </si>
  <si>
    <t>19/10/2021</t>
  </si>
  <si>
    <t>lmarion-59847</t>
  </si>
  <si>
    <t>Je suis adhérente depuis un certain temps et j'ai été prise en charge rapidement et accompagnée de la meilleure des façon par téléphone lors d'une ITT de plusieurs mois.
Je suis satisfaite de la qualité de service d'Intériale et de la proximité avec le service client.
Je suis satisfaite de la qualité de service d'Intériale et de la proximité avec le service client.</t>
  </si>
  <si>
    <t>Intériale</t>
  </si>
  <si>
    <t>20/12/2017</t>
  </si>
  <si>
    <t>01/12/2017</t>
  </si>
  <si>
    <t>witchin-95449</t>
  </si>
  <si>
    <t>Envoi des documents + paiement de l'assurance par virement pour les trois premiers mois.... Et depuis c'est.... silence radio ! J'ai envoyé des mails, tenté de les joindre, etc... Alors ils me font rire avec leur covid mais ce n'est pas le covid qui force cette assurance à fermer son standard les 3/4 du temps, c'est le manque de personnel... ! Je vais basculer mes deux assurances moto ailleurs si ce n'est pas réglé dans la semaine, marre d'être pris pour un pigeon... Je n'ai toujours pas de carte verte... !</t>
  </si>
  <si>
    <t>28/07/2020</t>
  </si>
  <si>
    <t>kevin82600-65946</t>
  </si>
  <si>
    <t>A Fuir !!! pratiques commerciales douteuses , augmentation des prix tous les ans et ne reconnait pas ses torts quand elle fait une erreur . Une catastrophe !</t>
  </si>
  <si>
    <t>02/08/2018</t>
  </si>
  <si>
    <t>crisgob-75123</t>
  </si>
  <si>
    <t>Nous restons en attente de notre indemnisation relative à un sinistre incendie feu de cheminée depuis février. A part 5 jours de relogement à l'hôtel, c'est tout ce que nous avons obtenu. On nous avait indiqué qu'une société de nettoyage passerait, nous l'attendons encore.. Nous n'avons plus moyen de nous chauffer correctement à la maison, l'hiver est difficile. Nous n'avons aucun retour de l'assurance, bref, totalement déçus, plusieurs années de cotisation, et ce sera la dernière...</t>
  </si>
  <si>
    <t>16/04/2019</t>
  </si>
  <si>
    <t>01/04/2019</t>
  </si>
  <si>
    <t>philippe-l-116122</t>
  </si>
  <si>
    <t>rien a dire je suis trers satifait du tarif propose ..... je conseillerais avec grnd plaisir votre societe pour des amis qui cherchent june assurance pour leurs 2 roues</t>
  </si>
  <si>
    <t>06/06/2021</t>
  </si>
  <si>
    <t>fh--110236</t>
  </si>
  <si>
    <t xml:space="preserve">Assurance qui ne facilite pas les démarches de ses clients: ne fournisse pas de mail pour transmettre des documents, oblige à créer un compte ou à envoyer des courriers.
Délais de traitement très longs (2 mois que j’attends un remboursement !) et aucune priorisation des réclamations.
Depuis 1 semaine mon Rib n’a pas été changé, et je continue à attendre, puisque bien évidemment Harmonie mutuelle ne vous tiens pas au courant.
Service client déplorable qui ne propose pas de solution et vous dit « allez y faites une réclamation »
C’était ma mutuelle entreprise et bien croyez moi c’est une catastrophe. A fuire! </t>
  </si>
  <si>
    <t>chiraz-h-105401</t>
  </si>
  <si>
    <t xml:space="preserve">Je suis satisfaite du service via internet les prix restent dans la moyenne , peut mieux faire pour les prix pourraient être ajuster selon le nombre de sinistres par famille </t>
  </si>
  <si>
    <t>04/03/2021</t>
  </si>
  <si>
    <t>titi1950-126358</t>
  </si>
  <si>
    <t>Bonjour,
Je suis entièrement satisfait de la mutuelle santé MGP. Mutuelle que j'ai depuis 42 ans.
Quand on est satisfait, il n'y a rien à ajouter.
Bien cordialement</t>
  </si>
  <si>
    <t>MGP</t>
  </si>
  <si>
    <t>zo-67726</t>
  </si>
  <si>
    <t xml:space="preserve">ne rembourse pas ses obligations et ne répond ni aux mail, ni aux lettres recommandées avec AR pas croyable j ai envoyé quatre demandes par mail, une lettre recommandée avec AR reçue le 22 octobre à ce jour, on ne peut même plus envoyer de mail.
</t>
  </si>
  <si>
    <t>31/12/2018</t>
  </si>
  <si>
    <t>01/12/2018</t>
  </si>
  <si>
    <t>wildstar80--100756</t>
  </si>
  <si>
    <t xml:space="preserve">21ans chez eux !!! Jamais de sinistre !!! Ni de remboursement de quoi que ce soit !! Prélèvement automatique !!! Depuis 4 ans ma cotisation a augmenté de 50%  ca suffit  ...c'est bon... je vais quitter cette pompe à fric AXA assurance  80290 
</t>
  </si>
  <si>
    <t>29/11/2020</t>
  </si>
  <si>
    <t>smoky-85991</t>
  </si>
  <si>
    <t xml:space="preserve">Très mauvaise mutuelle, beaucoup d’erreurs, pas d’échanges possibles,  ils ne répondent pas au téléphone ni à vos mails. Je ne recommande pas cette mutuelle </t>
  </si>
  <si>
    <t>28/06/2021</t>
  </si>
  <si>
    <t>sylvie59-77287</t>
  </si>
  <si>
    <t>Très bonne mutuelle, avec qui nous pouvons avpoir des échanges au téléphone, ce qui est très agréable. Ne pousse pas pour prendre un contrat supérieur. Ils étudient bien nos besoins</t>
  </si>
  <si>
    <t>02/07/2019</t>
  </si>
  <si>
    <t>01/07/2019</t>
  </si>
  <si>
    <t>roums-50005</t>
  </si>
  <si>
    <t>Tarif correct mais assurance non professionnel.
Victime d'un vol depuis 4 mois, plus de contact de leur part...
Tout vas bien pour payer sa cotisation, mais lors d'un sinistre il n'y a plus personne.
La personne ma demander un document tout les jours puis plus de nouvelle de leur part</t>
  </si>
  <si>
    <t>08/12/2016</t>
  </si>
  <si>
    <t>jm-pey-102068</t>
  </si>
  <si>
    <t xml:space="preserve">Si vous n'êtes pas à cette assurance ne vous inscrivez pas, ils ne rembourse pas les frais de vétérinaire à part le minimum. J'ai fait opérer ma chienne pour un pyomètre en urgence car c'est une infection de l'utérus et des ovaires et le vétérinaire a dû les enlever, j'en ai eu pour 575,22 euros et eca m'a remboursé que 100 euros en me disant que c'était une stérilisation et non une maladie. Un conseil résiliez si vous le pouvez ou évitez de vous engager. </t>
  </si>
  <si>
    <t>Eca Assurances</t>
  </si>
  <si>
    <t>animaux</t>
  </si>
  <si>
    <t>19/01/2021</t>
  </si>
  <si>
    <t>moutat-97578</t>
  </si>
  <si>
    <t>incroyable on se moque des gens Mme Hernandez a su nous démarcher pour que l on adhère a Cégema ,
résultat nul depuis le 7 aout j 'attends mon remboursement des examens et chambre de la clinique mail courrier appel téléphonique tout en vain pas de réponse ni de remboursement
VRAIMENT SUPER NUL CETTE MUTUELLE A FUIR</t>
  </si>
  <si>
    <t>18/09/2020</t>
  </si>
  <si>
    <t>yves-patrick-g-105391</t>
  </si>
  <si>
    <t xml:space="preserve">JE SUIS SATISFAIT je remercie toute l'équipe en espérant que mon dossier soit enfin complet comme je n"ai plus de voix impossible de vous téléphoner,cordialement vôtre    </t>
  </si>
  <si>
    <t>mimibdu42-64790</t>
  </si>
  <si>
    <t xml:space="preserve">Je suis assuré chez direct assurance en 2012 mon conjoint à eu un accident responsable .assuré au tiers il ne prennent pas les réparations en compte ok je comprend mais se qui m'a exaspérée c'est qu'il ont mis mon véhicule en vge (véhicule gravement endommagé )et mon résilier alors qu'il y eu quelque dégâts mais pas grave je l'ai réparé un crédit de 13000euros pour cette voiture garée en bas de chez moi et ne peu plus roulé avec .de quel droit me bloque t'il mon véhicule je suis déçu de cette assurance le pire c'est qu'ils augmente vos cotisations tout les ans sans vous prévenir ça ne devrais pas baissé quand vois n'avez aucun sinistres depuis longtemps .Je deconseil  cette aßsurance </t>
  </si>
  <si>
    <t>14/06/2018</t>
  </si>
  <si>
    <t>01/06/2018</t>
  </si>
  <si>
    <t>pseudo-93043</t>
  </si>
  <si>
    <t xml:space="preserve">Impossible de faire une prise en charge hospitalière en ligne, il faut appeler...15 a 20 minute d'attente! Une fois en ligne il ne peuvent pas faire la prise en charge et aucune bonne volonté pour prendre en main le dossier et trouver des solutions! Le site internet n'a aucune utilité pratique et l application ne reconnait pas les identifiant! C'est ma pire complémentaire que j'aie eue...et ça ne fait que commencer, c'est la nouvelle mutuelle employeur. Ca promet! </t>
  </si>
  <si>
    <t>02/07/2020</t>
  </si>
  <si>
    <t>julien-m-131955</t>
  </si>
  <si>
    <t>Simple et rapide et tout en ligne ! agréablement supris par la qualité de l'interface web - en espérant retrouver un bonus 50 le plus vite possible merci direct assurance</t>
  </si>
  <si>
    <t>!!!!!!!!!!!-100434</t>
  </si>
  <si>
    <t xml:space="preserve">j ai voulu m assurer chez vous (deux voitures et une habitation) mais je n ai pas pu avoir de rdv j ai composé  un numero et j ai ete tres mal recu donc je suis allez ailleurs
contactez l agence d ajaccio a qui j ai alors adresse un courrier
cordialement
</t>
  </si>
  <si>
    <t>27/07/2021</t>
  </si>
  <si>
    <t>moi33-80547</t>
  </si>
  <si>
    <t>Depuis 15 jours j'attends un devis, j'ai relancé 4 fois, on m'envoie un dossier à remplir sans les barêmes de remboursement, client depuis plus de 20 ans, en plus pour rajouter un ayant droit et augmenter mon adhésion, malgré relance juste deux chiffres et un dossier à remplir, désabusé et en colère merci la MGP</t>
  </si>
  <si>
    <t>30/10/2019</t>
  </si>
  <si>
    <t>01/10/2019</t>
  </si>
  <si>
    <t>armelina-99050</t>
  </si>
  <si>
    <t>Bonsoir,
Cette assurance est à fuir, cela fait 4 ans que j'ai assuré mes 3 chats. Pour celle de 15 ans j'avais pris la première formule car il m'avait dit qu'ils remboursaient un peu, puis, sans me le dire ils ont augmenté la formule et depuis 4 ans ils ne me remboursent rien, chaque année je tente de résilier mais rien à faire. je paie plus de 75 € par mois.
Il ne répondent jamais aux messages et depuis toutes ces années je n'ai eu de cesse de demander à voir les montants des remboursements en ligne, mais également rien à faire, je ne vois la liste des sinistres que depuis le mois d'août 2020 pour chacun de mes chats, puis en juillet une commerciale qui s'est faite passée pour une conseillère a mis en place un nouveau contrat sauf que les prénoms sont différents de ce nous avions convenu par téléphone, elle a fait n'importe quoi, et l'on m'a répondu que cela n'était pas grave, elle a même assuré un chat pour le 21 mars prochain, mais où va-t-on ? je ne sais où je serai en mars prochain ou si mon petit chat sera toujours là !!! je leur ai répondu que c'était grave, puis je me retrouve en octobre à régler 120 €, c'est-à-dire que le 1er contrat n'a pas été annulé et je me suis retrouvé avec 2 contrats donc 5 chats au lieu des 3 habituels. J'ai donc fait annulé le 2ème paiement par ma banque.
Ils ne sont pas sérieux. J'ai ma petite chatte qui a 4 ans et qui est souvent malade. J'ai tellement envoyé de remboursements que je ne savais pas ce qu'ils réglaient, jusqu'au mois d'août 2020 ou j'ai pu enfin avoir accès à la liste des sinistres, sauf que j'ai des sinistres de 2019 qui n'apparaissent pas, je viens de leur envoyer un sinistre d'octobre 2019 de 79 € et ils me répondent qu'ils n'ont aucune connaissance dudit sinistre, mais je sais que je leur ai envoyé sauf que, je n'ai jamais eu aucun moyen de contrôler ce qu'ils remboursaient à cette époque et bien entendu, cette déclaration reste sous silence, et j'en ai d'autres que je ne vois pas sur la liste des sinistres, j'en déduit qu'ils ne me rembourseront pas sachant que c'est de fin 2019.
Par contre, ils sont contents que je paie la mensualisation sans aucun souci !!
Autre chose, j'ai constaté qu'ils ne paie jamais les médicaments, c'est une honte. Je leur ai demandé pourquoi, mais toujours sous silence !!!!! j'ai de nombreuses factures avec prescription de médicaments qui ne sont pas remboursés.
Puis j'ai mon petit chat qui a des croquettes médicalisées ; avec la formule + j'ai droit à un remboursement de 50 % à hauteur de 100 € par an, sauf que pour 2019 je leur ai dit que pour moi cela s'arrête à environ 60 € alors que je leur ai envoyé des factures de croquettes et bien ils ont raison et répètent toujours la même chose. 
Donc c'est fini, j'arrête de jeter mon argent par les fenêtres. Je n'ai pas le droit, mais je casse les contrats et à la vue de toutes ces erreurs (la liste est longue), puis 2 contrats bidons, ils n'auront pas gain de cause. J'ai envoyé un courrier LRAR pendant les congés d'été et j'attends encore la réponse !!! et si cela leur plaît direction le Tribunal, cela ne me dérange pas.</t>
  </si>
  <si>
    <t>21/10/2020</t>
  </si>
  <si>
    <t>noemie123456-138185</t>
  </si>
  <si>
    <t xml:space="preserve">Mon véhicule a été sinistré lors de la catastrophe naturelle du 14 septembre dernier. Celui-ci est passé en véhicule économiquement irréparable. Après de nombreux échanges avec différents interlocuteurs au sujet de la VRADE, je suis aujourd'hui (25 octobre) encore dans l'attente de mon remboursement... J'appelle tous les deux jours pour connaitre le suivi de mon dossier et tous les deux jours une nouvelle personne qui vous indique que le dossier est en cours et qu'ils font le nécessaire... 
Je ne recommande absolument pas les services de la GMF. Rien de mieux qu'une personne en face de vous qui traite votre dossier. Là c'est une plateforme et tous les services sont scindés, du coup problème de communication!
</t>
  </si>
  <si>
    <t>25/10/2021</t>
  </si>
  <si>
    <t>antoninlecomte-88759</t>
  </si>
  <si>
    <t>Les prix annoncés comme étant bas (Et pourtant pas si éloignés de ceux de la concurrence...) cachent un espace client non fonctionnel, ou un sinistre apparaît, disparaît, réapparaît...
Il arrive tellement de problèmes techniques qu'on en vient à se demander si l'espace client n'est pas volontairement dégradé.
En revanche, pour régler les cotisations ou soucrire à de nouvelles options, tout fonctionne à merveille. Evidemmment.</t>
  </si>
  <si>
    <t>08/04/2020</t>
  </si>
  <si>
    <t>01/04/2020</t>
  </si>
  <si>
    <t>pege5132-130564</t>
  </si>
  <si>
    <t>Ayant pris ma retraite , j'ai demandé la liquidation de mon épargne retraite. Cela fait 16 mois que je relance sans résultat. En mail pas de retour et en tél on tombe sur des gens en télétravail qui n'ont aucun pouvoir de décision. Je déconseille fortement à quiconque de souscrire auprès de cet organisme</t>
  </si>
  <si>
    <t>gkarr123--100156</t>
  </si>
  <si>
    <t xml:space="preserve">Je suis très déçue par générali. Par mainte fois j’ai essayé d’avoir un conseiller et jamais de réponse .....téléphone pas de réponses, j’ai aussi laissé des messages rien non plus . J’ai essayé par mail toujours rien . Je pense que c’est une entreprise pas très sérieuse. Cette personne que j’ai eu une fois m’avait promis de me mettre en relation avec un conseiller, ce qui n,a toujours pas été fait depuis plus d’un mois. </t>
  </si>
  <si>
    <t>Generali</t>
  </si>
  <si>
    <t>16/11/2020</t>
  </si>
  <si>
    <t>biz-98391</t>
  </si>
  <si>
    <t xml:space="preserve">Les prix ne sont pas bon marchés, mais pas du tout excessifs. Ils sont en rapport avec le service rendu.
Pour ma voiture, j'ai toujours  été indemnisé correctement sans faire d'histoire. Pareil pour l'assistance.
La communication au téléphone est parfois compliqué, surtout avec les catastrophes naturelles.  
</t>
  </si>
  <si>
    <t>06/10/2020</t>
  </si>
  <si>
    <t>jrkknfl-88311</t>
  </si>
  <si>
    <t xml:space="preserve">À fuir. J'ai attendu des mois un devis pour mon fils et j'attends maintenant des mois pour qu'il bénéficie de la couverture... Aucune réactivité. Ne surtout pas passer par un courtier : se renvoient la balle avec le courtier Deevea.. </t>
  </si>
  <si>
    <t>13/03/2020</t>
  </si>
  <si>
    <t>01/03/2020</t>
  </si>
  <si>
    <t>philissime-96321</t>
  </si>
  <si>
    <t xml:space="preserve">Je trouve inadmissible que la MATMUT se soit affichée dans bon nombre de médias stipulant qu'il ferait un geste envers leurs assurés suite au COVID 19. Mais il n'en ai rien contrairement à la MACIF qui en a fait bénéficié sans demander tous ses assurés de 40,00 euros par contrat. A la MATMUT, aucun geste sauf a priori uniquement aux demandeurs d'emplois et au secteur hospitalier; Mon fils dont son contrat de stage rémunéré a été suspendu pendant toute la période de confinement sans rien toucher de la part de son employeur ne peut prétendre à une ristourne car il ne bénéficie pas de Pole emploi. Non mais où va t'on alors qu'il leur a transmis les justificatifs de l'employeur confirmant la suspension de son stage. Lamentable cette façon de faire et d'agir. C'est déplorable  et je préconise de le faire savoir car ils auront bon dos plus tard d'afficher leurs bénéfices en hausse!!!!et être plus généreux ensuite comparée aux autres assureurs. </t>
  </si>
  <si>
    <t>14/08/2020</t>
  </si>
  <si>
    <t>bebert83-123645</t>
  </si>
  <si>
    <t>Je n'ai eu aucun problème avec cette assurance jusqu'à ce mois ci où le remboursement m'a été refusé?... Problème de motricité de mon chien qui a 15 ans (200€).
Motif : Non pris en charge???
Confiance à revoir ...</t>
  </si>
  <si>
    <t>Assur O'Poil</t>
  </si>
  <si>
    <t>16/07/2021</t>
  </si>
  <si>
    <t>zaron-96985</t>
  </si>
  <si>
    <t xml:space="preserve">J'ai renoncé dans les délias à cette mutuelle car j'ai trouvé mieux. 
48h de délai pour traiter une demande et 10 minutes pour une souscription.
On me transfère et on me raccroche au nez. </t>
  </si>
  <si>
    <t>Génération</t>
  </si>
  <si>
    <t>douz-60515</t>
  </si>
  <si>
    <t>Eallianz.
Vraiment décevant. Après la souscription au 01/01 les pièces sont à adresser sous 30 jours. Je les ai adressé le 26/12 par mail + relance tel le 09/01. On me dit que tout est ok. À ce jour, je reçois toujours des relances. Aucun retour si un justificatifs n'est pas conformes, aucun retour, aucune réponse. Chercheraient ils uniquement à prélever les 3 premiers mois ? J'en ai bien l'impression. ASSURANCE À ÉVITER, STRESSE GARANTI !!</t>
  </si>
  <si>
    <t>15/01/2018</t>
  </si>
  <si>
    <t>molomolo-75346</t>
  </si>
  <si>
    <t>c'est proprement scandaleux d'avoir un tel service client en 2019.</t>
  </si>
  <si>
    <t>24/04/2019</t>
  </si>
  <si>
    <t>miguel-g-109501</t>
  </si>
  <si>
    <t xml:space="preserve">je suis satisfait du service je suis aussi tres satisfait du prix
le temps d'attente est assez rapide je n'est pas a me plaindre pour le moment
merci </t>
  </si>
  <si>
    <t>07/04/2021</t>
  </si>
  <si>
    <t>biche-n-126622</t>
  </si>
  <si>
    <t>Service de l'olivier assurance en ligne rapide et efficace. J'espère qu'il en sera de même pour la réception des documents et en cas d'accident de la route.</t>
  </si>
  <si>
    <t>benchebana-h-124978</t>
  </si>
  <si>
    <t>Très satisfait du conseiller que j'ai eu, je recommanderai à l'avenir ! Et je pense que ma conjointe rejoindra également cette assurance quand elle aura son permi</t>
  </si>
  <si>
    <t>phil64-88512</t>
  </si>
  <si>
    <t>Augmentation annuelles des montants des assurances de mes 3 voitures, + 20%, +10% et +6% et cela sans modifications de mes contrats et sans aucun accident depuis + de 30 ans que je suis sociétaire. Je n'ai pas pu obtenir d'explications.</t>
  </si>
  <si>
    <t>24/03/2020</t>
  </si>
  <si>
    <t>khiem-n-107144</t>
  </si>
  <si>
    <t xml:space="preserve">Suite à un changement de situation, on m'a demandé à résilier le contrat en cours et souscrire à un autre. Problème: le remboursement du 1re contrat est largement en dessous du montant prorata restant. 
Quand la conseillère m'annonce le montant remboursé, un calcul mental à la louche me dit que le montant est trop faible. Mais la conseillère, trop sûre d'elle, ne veut rien entendre. Impossible de lui faire la démonstration mathématique par téléphone, j'ai dû renoncer.
Un calcul exacte sur une feuille Excel montre qu'il m'a remboursé 20% de moins de ce qu'il fallait. Je suis dégoûté. D'une part par le 20% manquant, mais aussi par l'attitude de la conseillère.
</t>
  </si>
  <si>
    <t>bordin-x-116008</t>
  </si>
  <si>
    <t xml:space="preserve"> Je suis satisfait du service client qui est à l'écoute et qui prend en compte nos demandes, que se soit en assurances véhicules ou habitation les prix sont très compétitifs. Je recommande. </t>
  </si>
  <si>
    <t>04/06/2021</t>
  </si>
  <si>
    <t>dehanne-a-119086</t>
  </si>
  <si>
    <t xml:space="preserve">Deuxième véhicule assuré chez vous. Très satisfait, que ce soit des conseillers ou de mon offre. Juste déçu de ne pas pouvoir profiter de l'offre multi auto car j'ai fait la demande de devis via un comparateur... Pas cool mais tampis! </t>
  </si>
  <si>
    <t>24/06/2021</t>
  </si>
  <si>
    <t>cranedoeuf-31960</t>
  </si>
  <si>
    <t>Je recommande cette assurance peu chère et très efficace. Les personnes ont su répondre à mes questions ( l'assurance étant un peu complexe). Le travail a été fait correctement et rapidement. Mon fils a souscrit chez eux en jeune conducteur et c'est très abordable.</t>
  </si>
  <si>
    <t>21/07/2017</t>
  </si>
  <si>
    <t>frederic-w-116585</t>
  </si>
  <si>
    <t>Le service de mise hors circulation d'un véhicule est TRES pratique lorsque le véhicule n'est pas utilisé pendant 6 mois de l'année. Les autres compagnie style MACIF ne proposent pas ce service donc félicitation à la GMF.</t>
  </si>
  <si>
    <t>flo59flo-100080</t>
  </si>
  <si>
    <t xml:space="preserve">J'ai quitté Pacifica car le service clientèle est incompétent et très désagréable..J'ai été extrêmement déçu de l'accueil téléphonique suite à une demande de rattachement de ma fille sur mon contrat auto .J'ai retiré l'ensemble de mes contrats chez Pacifica et je ne la recommanderai à personne. </t>
  </si>
  <si>
    <t>13/11/2020</t>
  </si>
  <si>
    <t>expedit-55746</t>
  </si>
  <si>
    <t>J'ai souscrit deux contrats chez eux. je rempli tout bien sur le net puis la conseillère corrige en faisant des fausses déclarations ou bien des erreurs (en ce cas on est pas couverts ensuite). 
Au bout de 6 heures et 25 appels on a terminé. 
Je peux signer un contrat sans faute sur le sexe de ma femme ou sur ma date de permis ou mon bonus...
Hier, mon ancien assureur m'informe qu'il n'a pas reçu la résiliation qui aurait du être envoyé il y a plus de quinze jours pour être valable.
Mais Direct Assurance n'a pas fait ce qu'il devait . Résilier mon ancien contrat dans les délais (préavis de un mois).
Le service client ne peut me donner une preuve d'envoi de leur part (la loi hamon impose que l'assureur fasse cette démarche).
Beaucoup de promesses au téléphone d'un soit disant responsable mais jamais de réponses au final. Ils devaient m'envoyer ça hier et je n'ai rien et me retrouve avec deux contrats sur chaque véhicule (pour lesecond souscrit hier, c'est normal cela dit mais sur le premier ils ont plus de 15 jours de retard).
Bref, cela partira au contentieux dès mercredi prochain, ils sont menteurs déjà car ne respectent pas leur engagement et incompétents car ne réalisent même pas des tâches qui devrait être basiques...
Autre chose, le relevé d'information ne marche pas pour eux, c'est la date de permis qui compte (super quand on a fait convertir son permis et que l'on perd son bonus 50 à vie...)
Bref, une mauvaise réputation que je comprends aujourd'hui.</t>
  </si>
  <si>
    <t>linise--94736</t>
  </si>
  <si>
    <t xml:space="preserve">Application aidante.
Tarif non adapté au regard du client et du nombre de véhicules assuré, chez direct assurance.
La possibilité d'opter seulement pour l'assistance de la 0 km devrait être proposé </t>
  </si>
  <si>
    <t>chauvet-j-109552</t>
  </si>
  <si>
    <t>Pas de pb lors du contrat j'espère qu'il en sera de même tout au long des années prochaines. On verra la satisfaction de ce contrat dans le temps ou lors d'une déclaration de sinistre</t>
  </si>
  <si>
    <t>08/04/2021</t>
  </si>
  <si>
    <t>gigi1230-64847</t>
  </si>
  <si>
    <t>Appel pris en compte rapidement, écoute importante et compréhension, suivi des demandes.</t>
  </si>
  <si>
    <t>18/06/2018</t>
  </si>
  <si>
    <t>hirsch-a-107314</t>
  </si>
  <si>
    <t>Je suis satisfaite de toutes vos prestations, accueil et renseignements précis, les tarifs sont attractifs, la rapidité pour la réception des documents est très appréciable</t>
  </si>
  <si>
    <t>20/03/2021</t>
  </si>
  <si>
    <t>grand7-137692</t>
  </si>
  <si>
    <t>Pas beaucoup d'attente téléphonique, un accueil toujours excellent. Diallo a été très à l'écoute et a su traiter ma demande avec une grande compétence. Merci.</t>
  </si>
  <si>
    <t>melanie-r-133697</t>
  </si>
  <si>
    <t>Les Tarifs sont attractifs, le site est très intuitif. La souscription est simple et rapide. Le système de parrainage est très efficace . Je recommande</t>
  </si>
  <si>
    <t>20/09/2021</t>
  </si>
  <si>
    <t>teix69-67426</t>
  </si>
  <si>
    <t xml:space="preserve">Service client compétant et très bon accueil de Cynthia Malungi qui a réussi à faire avancer ma demande de modification de contrat, non effectuée depuis 3 semaines car les services sont débordés... </t>
  </si>
  <si>
    <t>zegour-h-115175</t>
  </si>
  <si>
    <t>Service client difficilement joignable par telephone. Apres une attente de 10 minutes, 2 redirections, la personne raccroche avant d'avoir rien dit. Je rappelle, j'entends mal la conseillere, elle me dit qu'elle me rappelle mais ne le fait pas. A la troisieme tentative, je joins enfin un conseiller competent.</t>
  </si>
  <si>
    <t>28/05/2021</t>
  </si>
  <si>
    <t>hannene-93862</t>
  </si>
  <si>
    <t>Je viens de souscrire à 2 assurances auto. 
Un peu déçue de ne pas avoir eu une petite remise ou autre car on entend dans leur publicités des offres comme 2 mois offerts etc..</t>
  </si>
  <si>
    <t>feriel-b-133137</t>
  </si>
  <si>
    <t xml:space="preserve">Les conseillères au téléphone sont  très aimables et à l'écoute, c'est très agréable.
Elles ont bien expliqué toutes les démarches à suivre pour souscrire aux contrats
</t>
  </si>
  <si>
    <t>16/09/2021</t>
  </si>
  <si>
    <t>arnaud-57815</t>
  </si>
  <si>
    <t>Assuré pour mon logement principal depuis plusieurs années sans aucun sinistre, la Gmf fait tout pour éviter la prise en charge suite à l'intervention des pompiers pour urgence médicale (porte défoncée). Des documents transmis perdus. Pas de problème pour recevoir les paiements, mais quand il s'agit de prendre en charge, il n'y a plus personne. La Gmf, assurément humain...</t>
  </si>
  <si>
    <t>05/10/2017</t>
  </si>
  <si>
    <t>01/10/2017</t>
  </si>
  <si>
    <t>santon04-76141</t>
  </si>
  <si>
    <t>Suite un sinistre moto survenu en 2016 mon dossier est toujours en cours de transaction. J'ai reçu en février un dossier avec un protocole d'indemnisation dont le montant ne me satisfaisait pas; Resultat plus de nouvelles. impossible de joindre par tel la Mutuelle, idem par mail service réclamation; à croire qu'elle s'est volatilisée!!</t>
  </si>
  <si>
    <t>Mutuelle des Motards</t>
  </si>
  <si>
    <t>22/05/2019</t>
  </si>
  <si>
    <t>01/05/2019</t>
  </si>
  <si>
    <t>pascoul-19002</t>
  </si>
  <si>
    <t>En faisant la comparaison avec d'autre assurances,c'est celle qui reste dans les bons tarifs avec un franchise moindre.</t>
  </si>
  <si>
    <t>09/12/2017</t>
  </si>
  <si>
    <t>sihamrek-77568</t>
  </si>
  <si>
    <t>Merci a Caroline qui m'a très bien aiguillé et a répondu à toute mes questions très clairement</t>
  </si>
  <si>
    <t>12/07/2019</t>
  </si>
  <si>
    <t>manier-c-139140</t>
  </si>
  <si>
    <t xml:space="preserve">Assurance arrangeante peux convenable et simple a l’écoute de vos attente je recommande l’assurance Olivier 
De plus ils ont disponible à n’importe quand </t>
  </si>
  <si>
    <t>07/11/2021</t>
  </si>
  <si>
    <t>azeline-l-132728</t>
  </si>
  <si>
    <t>Je suis satisfaite du service, je recommande cette assurance pour la qualité du service.
Assurance rapide, souscription efficace et simple.
Assurance sécurisé</t>
  </si>
  <si>
    <t>13/09/2021</t>
  </si>
  <si>
    <t>fabregues-p-125752</t>
  </si>
  <si>
    <t>très content de cette assurance. rapide courtois et prix très attractif. merci pour la rapidité et la gentillesse du commercial. j'ai fait de très grosses économies</t>
  </si>
  <si>
    <t>31/07/2021</t>
  </si>
  <si>
    <t>pierrette-b-105954</t>
  </si>
  <si>
    <t>Actuellement je suis satisfait de mes contrats : prix et simplicité.
Pas d'incident durant l'année passée.
J'espère que tout continuera dans ce sens à l'avenir.</t>
  </si>
  <si>
    <t>michel-c-132473</t>
  </si>
  <si>
    <t xml:space="preserve">Simple et pas compliqué  j'ai était agréablement surpris de la rapidité et de là simplicité du formulaire de déclaration j'espère simplement que tout sera comme indiqué  </t>
  </si>
  <si>
    <t>12/09/2021</t>
  </si>
  <si>
    <t>mesnardg-112015</t>
  </si>
  <si>
    <t xml:space="preserve">Je viens de voir que la Macif avait fait de très bons resultats
Pas étonnant en volant ses clients c'est facile.
Je suis dégouté,
Un accident et un sinistre habitation non responsable entraînent des dégâts importants mais qui ne sont pas couverts par mon assurance. 
C'est une honte. </t>
  </si>
  <si>
    <t>29/04/2021</t>
  </si>
  <si>
    <t>samymixxx-89203</t>
  </si>
  <si>
    <t>je propose une action de groupe. Je vais créé une page pour recensé l'ensemble des victimes de direct assurance mon avocat étudie cette possibilité qui peut amener des dédommagement plus importants. Vous pouvez m'écrire en pv afin que direct assurance assume ses actes</t>
  </si>
  <si>
    <t>28/04/2020</t>
  </si>
  <si>
    <t>pms-98356</t>
  </si>
  <si>
    <t>Il dommage de devoir donner au moins une étoile car cet assureur n'en mérite aucune.
Assuré chez AXA depuis près de 10 ans, nous avons été victime d'un sinistre qui a été mal suivi du début à la fin. La gestion du dossier a été des plus laborieuses. Un an après l'accord sur le montant à indemniser, nous n'avons pas reçu le moindre euro-cent sur les 4.000 euros d'indemnisation qui ont d'ailleurs été dépensés pour effectuer les travaux de réparation et ce malgré nos nombreux rappels. Nous allons d'ailleurs être contraint d'envisager la saisie du tribunal d'instance compétent</t>
  </si>
  <si>
    <t>05/10/2020</t>
  </si>
  <si>
    <t>doucet-a-122735</t>
  </si>
  <si>
    <t>Je suis satisfaite du service et de la rapidité à être appelé , très bon prix pour une formule tout risque , avec pack premium ainsi que la garantie pour les effets personnels !! Merci à vous !</t>
  </si>
  <si>
    <t>07/07/2021</t>
  </si>
  <si>
    <t>dakou-firmin-g-123336</t>
  </si>
  <si>
    <t xml:space="preserve">satisfait de vos service  j'approuve vos service et je le recommanderai à des amis pour leur recommander d'utiliser votre site internet pour leur faire part
</t>
  </si>
  <si>
    <t>13/07/2021</t>
  </si>
  <si>
    <t>valberg-66909</t>
  </si>
  <si>
    <t>Paiement capital assurances vie</t>
  </si>
  <si>
    <t>17/09/2018</t>
  </si>
  <si>
    <t>guillaume--m-124888</t>
  </si>
  <si>
    <t xml:space="preserve">Satisfaction 
Rapport qualité prix 
Rapidité
Facilité de paiement et souscription 
Très bonne qualité
Prix compétitifs
Souscription rapide et rapide.
</t>
  </si>
  <si>
    <t>diop-97917</t>
  </si>
  <si>
    <t xml:space="preserve">Pas tres professionnelle car rattaché dans un cpam qui n a rien a voir avec le mien donc jamais recu de remboursement de leur part et pourtant je l ai signalé depuis un moment 
</t>
  </si>
  <si>
    <t>james-r-138154</t>
  </si>
  <si>
    <t xml:space="preserve">Je suis satisfait de cette assurance car les prix me conviennent comme je le souhaite et je pense que j'en ai un meilleur taux que certaines autre assurance </t>
  </si>
  <si>
    <t>24/10/2021</t>
  </si>
  <si>
    <t>broccard-l-113987</t>
  </si>
  <si>
    <t xml:space="preserve">Super satisfaite , à recommander...
Acceuil et service client au top.
Conseillers à l'écoutent et agréable. 
Rapport qualité prix impeccable. 
Super .
</t>
  </si>
  <si>
    <t>toto-122889</t>
  </si>
  <si>
    <t xml:space="preserve">Très professionnel - très rapide dans le dépannage en cas de problème - très réactifs, clairs et aimables au téléphone. Joignable facilement jusqu'à 20h ce qui est très appréciable. Merci à eux !
</t>
  </si>
  <si>
    <t>urabinu-116429</t>
  </si>
  <si>
    <t>quelques difficutés à ""avoir quelqu'un en ligne""" rapidement, il faut passer par de 
nombreux fitres et c'est fatigant(pour ne pas dire plus!!!) IL FAUT PLEURER POUR AVOIR QUELQUE RISTOURNE OU AVANTAGEDONNES DANS LES PUBS</t>
  </si>
  <si>
    <t>09/06/2021</t>
  </si>
  <si>
    <t>pascal10440-77670</t>
  </si>
  <si>
    <t xml:space="preserve">Assuré à la maaf depuis 30 ans, je reçois un courrier m'informant de la résiliation de mon assurance pour fréquence de sinistre. J'ai eu un vol dans l'habitation fin 2018 que la maaf au préalable ne voulait pas prendre en charge et a finalement pris en charge en m'informant que j'étais un bon client. Nous avons 8 contrats à la maaf dont 2 véhicules avec bonus à vie car jamais d'accident. De plus le siège social a niort laisse la sale besogne à mon agence locale avec qui nous avions de bons contacts de nous informer de cette décision non negociable. Tanpis nous allons assuré tous nos biens auprès d'une autre compagnie. </t>
  </si>
  <si>
    <t>16/07/2019</t>
  </si>
  <si>
    <t>fefeu-a-123012</t>
  </si>
  <si>
    <t xml:space="preserve">Le site est très intuitif, c'est la première fois que j'assure une voiture. Le service d'assurance voiture est très facile. Suite à plusieurs comparatifs d'assurance, celui là est le plus avantageux dans ma situation. </t>
  </si>
  <si>
    <t>ewan-c-122171</t>
  </si>
  <si>
    <t xml:space="preserve">Très satisfaite du service.
Accueil chaleureux, écoute et patience.
Tous les renseignements demandés sont expliqués.
Prix très compétitif au regard de la couverture proposée.
</t>
  </si>
  <si>
    <t>02/07/2021</t>
  </si>
  <si>
    <t>lilou-117534</t>
  </si>
  <si>
    <t xml:space="preserve">Merci beaucoup à Maria que je viens de contacter pour des renseignements, une employée très compétente,qui connaît bien son métier,  très sympathique et efficace. Je la remercie beaucoup de sa gentillesse et de son savoir . 
Maria je lui donne la note maxi ... merci ?? tous mes remerciements. </t>
  </si>
  <si>
    <t>18/06/2021</t>
  </si>
  <si>
    <t>driss-e-112382</t>
  </si>
  <si>
    <t xml:space="preserve"> Bonjour,
Votre tarif + les garanties me conviennent car je possède ma C1  depuis  le mois de Mars 2009 .  Je suis  très satisfait de vos services car le formulaire est facile à remplir...Aussi  vous faites les démarches pour résilier mon contrat auprès  de mon assureur . Encor  merci !
 Cordialement,
         Driss</t>
  </si>
  <si>
    <t>titine-85930</t>
  </si>
  <si>
    <t>Ne sont même pas capable de prendre en compte des modifications notées sur notre compte internet, ?? Notamment un changement d'adresse que j'ai mentionné en mars et avril 2019 et en janvier 2020 toujours pas changé dans mon dossier!!!!!</t>
  </si>
  <si>
    <t>15/01/2020</t>
  </si>
  <si>
    <t>meynard-k-123870</t>
  </si>
  <si>
    <t xml:space="preserve">Je suis satisfait du service les prix sont abordable et à l'écoute des clients je recommande fortement de vous assurer chez eux merci à vous l'olivier assurance </t>
  </si>
  <si>
    <t>19/07/2021</t>
  </si>
  <si>
    <t>ese-60882</t>
  </si>
  <si>
    <t>Bonjour , sociétaire à la MAIF , je découvre aussi le problème des sinistres fictifs. En effet , souhaitant changer d'assurance automobile , j'ai demandé un relevé d'information , document légal et obligatoire pour changer d'assureur. Sur ce document apparaît un dommage sur un véhicule : constatant une bosse sur ma voiture en sortant de mon travail (en mai 2016) , j'ai téléphoné à la MAIF. Un conseiller m'invite alors à faire un devis chez un garagiste. Le garagiste me confirme que le coût des réparations sera inférieur à la franchise (moins de 100 euros de réparation) et qu'il faut que je rappelle l'assurance pour ne pas donner suite. Ce que j'ai fait. La MAIF n'a donc pas versé d'indemnités pour cette réparation. J'ai tout payé de ma poche. Et pourtant ce dommage est inscrit noir sur blanc dans mon relevé d'information. Le hic , dans cette façon de procéder , c'est que cela cause un préjudice financier dans l'établissement des devis chez l'assureur concurrent , puisque le relevé d'information n'est pas vierge! 65 euros de plus par an.. Est-ce une forme de "blocage commercial" volontaire ? Si à chaque fois que l'on décroche son téléphone pour demander un conseil , cela se transforme en sinistre , alors votre relevé d'information ressemble plus au catalogue IKEA qu'à un document légal et officiel. Ne riez pas car cela implique que les assurances concurrentes rechignent à vous assurer ou bien à des tarifs prohibitifs , plus élevés qu'à la MAIF.
Bien entendu , j'ai demandé à la MAIF de modifier le relevé d'information : pour l'instant (après de très nombreuses démarches) cela semble gravé dans le marbre.. J'ai conservé un message téléphonique de la MAIF , enregistré sur ma messagerie mobile , qui vaut son pesant d'or : une conseillère m'explique "qu'un expert qui n'a pas expertisé ma voiture" (je cite..) mais qui s'est chargé du dossier ( quel dossier ?) représente un coût à la MAIF et que c'est la raison pour laquelle le dommage ne peut être effacé du relevé d'information! Franchement , j'envisage une reconversion professionnelle : après l'éducation nationale , le travail d'expert pour la MAIF me semble être une belle opportunité.
Mais soyons sérieux , ce message téléphonique est un véritable gag et le dindon de la farce , c'est moi.. et bientôt vous sociétaires MAIF.
Dans l'attente de vos témoignages , de vos conseils pour résoudre ce problème , je vous souhaite une bonne journée.</t>
  </si>
  <si>
    <t>27/01/2018</t>
  </si>
  <si>
    <t>itk-97909</t>
  </si>
  <si>
    <t>Direct assurance est incroyable, plus tu es fidèle plus tu paies...
augmentation depuis 3 ans. 
Chaque année, ils ont augmenté de 10% alors que mon véhicule décote...
J'ai le bonus 50% depuis 10 ans.
Alors je me suis dit, je vais faire un devis sur le site de direct assurance.
Et la je vois avec les mêmes garanties 417 euros alors qu ils me facturent 650 euros.
Je suis vraiment triste d'être considéré comme un pigeon.
Je vais donc résilier cette assurance dès demain et me diriger vers une assurance plus sérieuse.</t>
  </si>
  <si>
    <t>jeje-102620</t>
  </si>
  <si>
    <t xml:space="preserve">Neoliane sont des profiteurs. Ils se font de l'argent sur le dos des gens. N'allez surtout pas chez eux ou résiliez au plus vite !!! Pour ma part j'ai bloqué tous leurs prélèvements. C'est clairement pas une mutuelle fiable. A fui à tout prix </t>
  </si>
  <si>
    <t>sainte42-89439</t>
  </si>
  <si>
    <t>C'est une assurance habitation qui vous dit je suis avec des sociétaires pour combattes des logements insalubres une fois que vous faites des démarches auprès d' un avocat elle ne suit pas le dossier à la fin elle vous laisse tomber voilà c'est la Macif</t>
  </si>
  <si>
    <t>06/05/2020</t>
  </si>
  <si>
    <t>01/05/2020</t>
  </si>
  <si>
    <t>aharti-78330</t>
  </si>
  <si>
    <t>J'ai souscris mon contrat assurance avant mon départ en vacances de 10 jours, la conseillere s'est engagée à ce que je puisse recevoir la carte verte définitive sous une semaine, or, ce délais a été dépassé et la carte verte n'a jamais été delivrée.
J'ai fait une demande pour une deuxieme carte, je l'attends toujours...
Ils envoient leurs courriers en lettre simple donc impossible à suivre et impossible à justifier de la date d'envoi.
Je dois réorganiser maintenant mes vacances à cause d'eux, les conseillers clientèles basés au maroc n'ont qu'un seul mot en tête : c'est la faute à la poste, or c'est faux !! le courrier a toujours été délivré et il est délivré dans les temps</t>
  </si>
  <si>
    <t>09/08/2019</t>
  </si>
  <si>
    <t>01/08/2019</t>
  </si>
  <si>
    <t>dervis-t-124215</t>
  </si>
  <si>
    <t xml:space="preserve">je suis très satisfait enfin des personnes a notre écoute et qui parle et comprenne le Français . Au niveau des prix c'est très correct pour une converture très large </t>
  </si>
  <si>
    <t>22/07/2021</t>
  </si>
  <si>
    <t>cire-77657</t>
  </si>
  <si>
    <t>Carole interlocutrice ,joviale et des plus efficace qui a levée toutes mes inquiétude quant à l'ouverture de mon adhésion.Sa proposition d'aide (informatique) en cas de besoins,est des plus appréciable.Par ces explications,je n'aurais plus de soucis pour répondre à mes questions sur le site SANTIANE.fr</t>
  </si>
  <si>
    <t>fafa3333-66120</t>
  </si>
  <si>
    <t xml:space="preserve">
bonjour j ai souscrit une assurance auto en ligne le 16 juillet 2018 Contrat n  930371015 auprés de  Direct assurance fr  je precise que cette assurance etait censé commencer le 19 aout 2018 à minuit  j ai été obligé de payer la somme de 315 euros avant même d'avoir accés à mon contrat auto et au conditions de celui ci J ai été crédule et j'ai payé mais sans jamais signé mon contrat electroniquement le 23 juillet 2018 decide de me retracter sur cette achat Comme le prévoit l'article L221 18 du Code de la consommation  j envoie un email en explicant que je suis dans mon droit et que je souhaite me retracter et je demande le remboursement des 315 euros  Direct assurance me repond que je dois envoyer un recommandé AC au service résiliation afin qu'il prenne en considération ma demande  ce que je fais même si je n'ai jamais signé le contrat d'assurance électroniquement car les clauses ne me conviennent pas  Je recois un email de leur part le 24 juillet 2018
Bonjour Fabien  nous regrettons que vous souhaitiez suspendre ou résilier votre assurance auto
Cependant, nous ne pouvons pas l’accepter car le motif de résiliation indiqué n est pas prévu dans les Conditions Générales de votre contrat
aucune solution ne m est proposé aujourd'hui il me font tourner en bourrique et me demande tout les jours un nouveau document  le certificat de cession ou de destruction de mon vehicule la carte verte et le certificat d assurance mais moi je veut pas vendre ou detruire mon vehicule de plus je suis assuré jusqu'au 19 aout 2018 chez eurofil et ils le savent pertinemment j ai envoyé un scan de ma carte verte pour leur montrer que j'etais bien assuré il y a 9 jours on me dis par email que le service loi consommation doit reprendre contact avec moi  mais j attends toujours leur contact</t>
  </si>
  <si>
    <t>10/08/2018</t>
  </si>
  <si>
    <t>roro-99182</t>
  </si>
  <si>
    <t xml:space="preserve">Seul assurance qui m'a accepté au tarif le plus bas par rapport aux concurrents lorsque j'étais jeune conducteur. Ils ont toujours été réactif et rempli leurs tâches lorsque j'ai eu besoin.
Je recommande ! </t>
  </si>
  <si>
    <t>24/10/2020</t>
  </si>
  <si>
    <t>clientencolere78-81146</t>
  </si>
  <si>
    <t xml:space="preserve">Ma mère subit l'incompétence de la gestion de son dossier suite à un sinistre de sa maison. Cela fait 4 mois qu'elle est obligé de s'occuper de son dossier et n'a toujours pas pu lancer les travaux de réparation ! C'est scandaleux ! </t>
  </si>
  <si>
    <t>20/11/2019</t>
  </si>
  <si>
    <t>flament-m-111523</t>
  </si>
  <si>
    <t xml:space="preserve">Je suis satisfaite mais je trouve que les prix sont élevés pour les services proposés mais bon après j’ai un gros malus donc c’est normal. Tout est complet et simple </t>
  </si>
  <si>
    <t>24/04/2021</t>
  </si>
  <si>
    <t>christian-f-108890</t>
  </si>
  <si>
    <t>Impossible de parler a un responsable client , que des opérateurs sans pouvoirs assistés par des robots
pour des appartements identiques le prix n'est pas le même sur des anciens contrats et sur de nouveaux devis</t>
  </si>
  <si>
    <t>02/04/2021</t>
  </si>
  <si>
    <t>dede-53736</t>
  </si>
  <si>
    <t>8 euros de plus chaque mois que l'année précédente avec 50 de bonus merci D.A La raison d’après la conseillère  trop de sinistre dans le 93 une justificatifs bidons, je pense tout le monde est responsable 93 ou autre.</t>
  </si>
  <si>
    <t>30/03/2017</t>
  </si>
  <si>
    <t>nono-61128</t>
  </si>
  <si>
    <t>Très bon renseignement..télé opérateur très à l'écoute</t>
  </si>
  <si>
    <t>05/02/2018</t>
  </si>
  <si>
    <t>sandrine--d-129250</t>
  </si>
  <si>
    <t>En espéra pouvoir profiter du code de parrainage,qui a cette étape ne mets pas encore proposer 
Je modifierai mon avis si il mets présenté  par la suite</t>
  </si>
  <si>
    <t>24/08/2021</t>
  </si>
  <si>
    <t>berne-j-139095</t>
  </si>
  <si>
    <t>Les prix sont corrects. Sercice client aidant et tres informatif . Propositions argumentées .
Merci pour le service. A voir si un jour nous avons besoin de mettre en oeuvre cette assurance</t>
  </si>
  <si>
    <t>06/11/2021</t>
  </si>
  <si>
    <t>jeremy-l-117853</t>
  </si>
  <si>
    <t>tout est vraiment parfait, je suis très satisfait du prix et de la facilité pour effectuer les démarches administrative, ma souscription a été effectuée rapidement</t>
  </si>
  <si>
    <t>22/06/2021</t>
  </si>
  <si>
    <t>philippe-p-114731</t>
  </si>
  <si>
    <t>Bonjour, j'aurai aimé avoir des nouvelles concernant mon accident du 20/05/2021. Suivre ou avoir des nouvelles sur un sinistre est très difficile, voir impossible. Je cherche une autre assurance</t>
  </si>
  <si>
    <t>25/05/2021</t>
  </si>
  <si>
    <t>nene84130-18043</t>
  </si>
  <si>
    <t>Pas de problemes particulier, assurance assée complete, bien sûre c'est pas donné si on veut une couverture correcte.
Je suis bon conducteur avec 65% de bonus.
Si vous faite trop d'écart attention c'est comme les autres assurances.</t>
  </si>
  <si>
    <t>26/10/2020</t>
  </si>
  <si>
    <t>roberto-65424</t>
  </si>
  <si>
    <t xml:space="preserve">conseillère au téléphone qui était vraiment pas sympa quand on a voulu demander si c'était possible de nous envoyer un devis et même ça se sentait dans sa voix qu'on l'embêtait plus qu'autre chose. </t>
  </si>
  <si>
    <t>11/07/2018</t>
  </si>
  <si>
    <t>robart-b-108146</t>
  </si>
  <si>
    <t>Je suis satisfé des appels que j'ai pu avoir avec vos employés pour mettre en place mon contrat d'assurance. Le prix ainsi que les garanties sont satisfaisante</t>
  </si>
  <si>
    <t>gomis-a-129534</t>
  </si>
  <si>
    <t>Je suis Satisfait de la rapidité de la compréhension du service dans sa globalité, les conseillers sont efficace et vont à l’essentiel au téléphone, bonne maitrise.</t>
  </si>
  <si>
    <t>26/08/2021</t>
  </si>
  <si>
    <t>kerp-63550</t>
  </si>
  <si>
    <t xml:space="preserve">Je déconseille fortement AMV. J'ai souscrit une assurance moto 125 auprès d'AMV. J'ai un bonus de 0,72 et mon frere qui est assuré sur la moto à le meme bonus. Nous produisons a ce titre 2 relevés d'informations différents où nous sommes tous les deux conducteurs principaux  sur nos voitures respectives mais nous ne sommes pas "titulaires du contrat" puisque c'est nos parents qui payent ces assurance auto.
AMV utilise cet argument de "titularité du contrat" pour ne pas appliquer le bonus (qui est une disposition légale) et nous demande le lendemain de la signature du contrat de payer 100 euros supplémentaires de manière unilatérale, sans justifier de document contractuels permettant la reévalution du bonus. quand je demande une justification contractuelle de la réévaluation on me répond "nous n'avons rien à vous prouver, c'est comme ca ou rien". 
Pour faire court, on vous attire en vous disant que vous allez payer 300 et le lendemain on vous impose un prix à 400. On me répond alors que je n'ai qu'à accepter ou à annuler le contrat. Mais il est de mon droit de ne pas annuler, nous avons signé un contrat et AMV ne le respecte pas. Sans compter que les conseillers sont agressifs au téléphone.  </t>
  </si>
  <si>
    <t>25/04/2018</t>
  </si>
  <si>
    <t>afmf-76054</t>
  </si>
  <si>
    <t xml:space="preserve">Véritablement déçu. Quelle lourdeur dans le traitement des dossiers. La seule et unique fois où je les sollicite pour obtenir leur accord afin de valider un devis optique; 3 mois de traitement et dossier toujours en cours. C'est juste incroyable. Je déconseille fortement. </t>
  </si>
  <si>
    <t>18/05/2019</t>
  </si>
  <si>
    <t>bismarck69-80822</t>
  </si>
  <si>
    <t xml:space="preserve">En arrêt maladie depuis 3 ans, ils m'ont passé en invalidité au bout de 2 ans ..... Là les galères commencent. Ils vous envoient voir un médecin "expert" (de rien du tout et payé par la compagnie). Le soit disant expert a refusé l'invalidité. J'ai fait appel et l'expert (le vrai) m'a passé en invalidité.
J'ai cotisé plus de 25 ans pour un revenu en cas d'invalidité mais la .... surprise. Il y a un tableau croisé avec incapacité physique et incapacité professionnelle. Inutile de vous dire, que le revenu pour lequel j'ai cotisé pendant toutes ces années à fondu comme neige au soleil. Quelle honte !!!!!
Maintenant ils me demandent mon avis d'imposition pour vérifier que je ne touche pas plus que l'an dernier.
Or au bout de 2 ans chez eux, je suis en invalidité alors qu'au RSI ma demande vient d'être faite après le délai des 3 ans.
Cette année mon revenu GENERALI + indemnités journalières RSI sera moins important que cette année si je passe en invalidité. Dans leurs clauses, vos revenus de doivent pas être supérieur à votre déclaration d'impôts antérieures, sinon ils vous réduisent votre pension.
C'est une honte..
Fuyez et ne souscrivez rien chez eux. </t>
  </si>
  <si>
    <t>07/11/2019</t>
  </si>
  <si>
    <t>marie-p-129710</t>
  </si>
  <si>
    <t>Simple d'utilisation et rapide pas besoin d'avoir un conseiller au téléphone il suffit de suivre les étapes au top meilleur rapport qualité prix des assurances autos</t>
  </si>
  <si>
    <t>27/08/2021</t>
  </si>
  <si>
    <t>del-negro-d-113438</t>
  </si>
  <si>
    <t xml:space="preserve">je n'ai pas vu la réduction de 15% promise lors du paiement annuel.
Egalement vous ne précisez pas les frais de résiliation de 15 euros, du contrat concurrent.
</t>
  </si>
  <si>
    <t>11/05/2021</t>
  </si>
  <si>
    <t>jennifer-p-132573</t>
  </si>
  <si>
    <t>Prix plus que satisfaisant au prix actuel de ma cotisation mensuelle je recommande direct assurance. Devis à la hauteur de ma demande et beaucoup moins cher que les autres que j'ai pu realisé</t>
  </si>
  <si>
    <t>stephane-c-110447</t>
  </si>
  <si>
    <t>Je suis satisfait du service. Mais le contrat automobile qui augmente chaque année de 10%, stop ! Sinon, je résilie mes deux contrats. Véhicule + habitation</t>
  </si>
  <si>
    <t>romain--p-123359</t>
  </si>
  <si>
    <t>Tarifs sympa,site simple d'utilisation, ma moto va être assurée avec de belles garanties,j espère ne pas être déçu des prestations de la compagnie.voila</t>
  </si>
  <si>
    <t>titeuf-66509</t>
  </si>
  <si>
    <t xml:space="preserve">Je vais changer d'assurance,j'ai eu une coupure de courant chez moi mon ordinateur n'avait plus de pilote plus Windows,j'ai fait marcher l'assurance,ils ont rien fait.
MON ordinateur est revenu non réparer pas de pilote et pas de Windows.  </t>
  </si>
  <si>
    <t>31/08/2018</t>
  </si>
  <si>
    <t>nad-128373</t>
  </si>
  <si>
    <t>En arrêt de travail depuis un mois en raison d'une affectation de longue durée, j'appréhende le passage à mi-traitement en cas de prolongation de cet arrêt. 
Des renseignements obtenus par téléphone ce jour auprès de la MGP, la constitution d'un dossier pour compenser la future perte de salaire semble simple.</t>
  </si>
  <si>
    <t>17/08/2021</t>
  </si>
  <si>
    <t>mylene-c-100627</t>
  </si>
  <si>
    <t xml:space="preserve">Parfait tarif bas et bien couvert.
 Conseiller a l'écoute.
Je recommande.
Rapide .                                                                     </t>
  </si>
  <si>
    <t>26/11/2020</t>
  </si>
  <si>
    <t>yaman-r-123161</t>
  </si>
  <si>
    <t>Ras parfait je n ai pas grand Cosar a signaller merci pour Le service vous devriez couvrire en garanti la turquie Ca vous permeterai d avoir des clients suplemenraire cordialement mr Yaman.</t>
  </si>
  <si>
    <t>12/07/2021</t>
  </si>
  <si>
    <t>laurence-f-105683</t>
  </si>
  <si>
    <t>Des années que je suis chez direct assurance , très  satisfaite a recommander !!!! Que ce soit maison ou voiture ils sont au top , service clients très accessible ,bref tout va bien !!!</t>
  </si>
  <si>
    <t>06/03/2021</t>
  </si>
  <si>
    <t>yannylg-78856</t>
  </si>
  <si>
    <t xml:space="preserve">Donc en accident de travail depuis 1 ans, et suite à un problème avec le patron, prise en charge de la CPAM depuis 7 mois seulement.
Reconnu en AT par la CPAM et le médecin conseil, pour suravenir tout va bien, je n'ai pas mal et donc ils interromps la prise en charge. Cherchez l'erreur
A fuir absolument </t>
  </si>
  <si>
    <t>am-54158</t>
  </si>
  <si>
    <t>C'est le site des Furets.com qui m'a proposé cette assurance dans sa liste de devis, ce qui m'a mis en confiance.
Le commercial vous rappelle rapidement et valide immédiatement votre souscription au téléphone si vous donnez votre numéro de carte bancaire pour régler un acompte. Une grave erreur.
Ensuite, impossible de joindre quelqu'un. Le numéro de téléphone ne répond jamais, l'adresse mail reste sans réponse. Et l'adresse postale tombe sur une simple maison individuelle en région parisienne.
Par contre, vous recevrez bien des relances de paiement.</t>
  </si>
  <si>
    <t>Assur Bon Plan</t>
  </si>
  <si>
    <t>23/02/2019</t>
  </si>
  <si>
    <t>ramiro-d-114209</t>
  </si>
  <si>
    <t>Les garanties sont satisfaisantes à un prix raisonnables. L'accueil téléphonique avec le conseiller est très correct et j'ai trouvé une réponse claire.</t>
  </si>
  <si>
    <t>nicolas-r-110495</t>
  </si>
  <si>
    <t>ma souscription a été rapide et claire, les devis sont précis et comporte toutes les informations nécessaires.
Je suis satisfait des prestations et de la communication entre le lynx et april.</t>
  </si>
  <si>
    <t>sosso-78202</t>
  </si>
  <si>
    <t>traitement des sinistres calamiteux .Aucun suivi du dossier et  absence de réferent fixe. Explications pas toujours claires.</t>
  </si>
  <si>
    <t>05/08/2019</t>
  </si>
  <si>
    <t>pouzetannelaure-88754</t>
  </si>
  <si>
    <t>En pleine crise sanitaire , L AG2R prévoyance refuse de compléter les salaires en cas d'arret maladie definie par l'état pour les fermetures d'écoles ...c'est juste inadmissible sachant qu'il doivent maintenir le complément de salaire en cas d'arret maladie</t>
  </si>
  <si>
    <t>07/04/2020</t>
  </si>
  <si>
    <t>mikado-50419</t>
  </si>
  <si>
    <t>Assureur vie à éviter,le rendement servi sur le fonds euro est le plus bas du marché sur les derniéres années:allez vers d'autres mutuelles ou mieux encore sur les contrats sur internet dont le rendement est plus du double....</t>
  </si>
  <si>
    <t>17/11/2018</t>
  </si>
  <si>
    <t>seguros-117665</t>
  </si>
  <si>
    <t>Un dégât des eaux le dimanche suite à une canalisation bouchée au niveau des toilettes... Je vous passe le décor ! Appel à Pacifica dès ce matin pour obtenir de l'aide : "On vous rappelle" = Aucun rappel. En début d'après-midi, je prends mon téléphone : "10 minutes avant de parler à quelqu'un "Je vous passe un gestionnaire" puis 17 minutes de musique d'ambiance; j'ai fini par baisser les bras. La décence aurait voulu qu'on me dise au moins "On nepeut rien pour vous". J'ai tous mes contrats chez Pacifica, soit 10 au total. Je me rends compte qu'une banque, le crédit agricole en l’occurrence, n'est pas un bon assureur; chacun son métier. Tant que l'on paye ses cotisations, pas de souci. Pour le jour où un sinistre survient, ils vous laissent dans l'embarras : pourquoi ne répondent-ils pas ? Même un dimanche, c'est justement dans ces moments-là qu'on a besoin d'eux mais abonnés absents : c'est indigne autant que les excréments qui débordent de mes toilettes. Merci pour votre accompagnement, je m'en souviendrai. A fuir .. ou à quitter dans mon cas. 
Dès demain je vous résilie. Je retourne à mes raclettes, pelles, seaux, balais ...</t>
  </si>
  <si>
    <t>20/06/2021</t>
  </si>
  <si>
    <t>abdelhafid-e-128030</t>
  </si>
  <si>
    <t xml:space="preserve">Je suis satisfait super assurance pas de problème je recommande operation en quelques minutes bien efficace sur le site téléphonique magnifique à refaire </t>
  </si>
  <si>
    <t>chantal41500-115805</t>
  </si>
  <si>
    <t>Depuis le mois d'Avril je me bats pour qu'il modifie ma date de prélèvement d'échéance je l'ai fait pas mail et à chaque fois on me dit que l'on ne trouve pas trace de celui-ci.
Je viens de les appeler, la conseillère me dit de refaire la demande.
Pour moi il s'agit d'une mutuelle pas sérieuse et je pense résilier mon contrat en fin d'année.</t>
  </si>
  <si>
    <t>03/06/2021</t>
  </si>
  <si>
    <t>pgl-103230</t>
  </si>
  <si>
    <t xml:space="preserve">Assure au groupe Mercer dans la continuité de l'adhésion par le groupe Dell pour simplifier les choses
C'est une catastrophe 
Entre 30 mn et 1h pour les avoir au tel
Plateau de conseillers qui répondent n'importe quoi à  la réclamation sur rbt de 1700 euros en attente depuis 1 mois 
Vous n'avez pas la tele transmission alors qu'elle fonctionne depuis 2012
Nous migrons l'informatique etc etc....
Reclamation par le site avec numero ticket sans réponse 
Minable et a fuir  
 </t>
  </si>
  <si>
    <t>26/01/2021</t>
  </si>
  <si>
    <t>erf-102115</t>
  </si>
  <si>
    <t xml:space="preserve">J ai changé de VL le 1er appel le 15 decembre.se passe bien. Aimable et professionnelle Je rappelle et là on me raccroche après avoir exposé mon souci 4 fois.  Le 15 décembre on me dit que je recevrai mon attestation dans les 5 jours. Je ne reçois rien. J appelle on me dit c est la Poste.... Je rappelle une semaine plus tard on me dit pas d erreur on l a envoyée le 15. Je leur précise que j ai reçu ma carte grise alors que ce service a mauvaise reputation. Lassée et excede´e,  je reappelle ,10 essais avant d avoir qqu un, ,ayant des problèmes pour me déplacer je me rends à l agence d AIX on me précise que c est un envoi économique. Alors dites le que cela va être long . Certes c est regle´. Mais nous sommes en janvier et je n ai tjrs rien reçu. Heureusement que je n ai jamais eu de sinistre. Parce que cela fait peur </t>
  </si>
  <si>
    <t>03/01/2021</t>
  </si>
  <si>
    <t>flore59-102153</t>
  </si>
  <si>
    <t xml:space="preserve">Après 7 ans à la maaf, celle-ci vous vire pour 2 petits accrochages. Par lettre recommandée, sans vous contacter. Bref, c'est très décevant de leur part de ne même pas décrocher leur téléphone pour vous avertir des conséquences d'une résiliation ou pour reconsidérer votre contrat. </t>
  </si>
  <si>
    <t>04/01/2021</t>
  </si>
  <si>
    <t>ouaille31-51798</t>
  </si>
  <si>
    <t xml:space="preserve">C'est une des rares compagnies d'Assurances qui refuse de restituer une part des cotisations du fait de la baisse du risque accident dû au confinement. Ils se justifient en arguant qu' ils ont reversé  la moitié des cotisations des médecins retraités ayant repris une activité du fait de la Covid et aux cabinets de kinesithérapeutes et ostéopathes réquisitionnés ainsi qu'aux chômeurs dû à la Covid. Et ceci leur aurait coûté 50 millions €? </t>
  </si>
  <si>
    <t>19/06/2020</t>
  </si>
  <si>
    <t>papa-108194</t>
  </si>
  <si>
    <t>Je suis en invalidité depuis plusieurs années déjà.
Je touche donc une pension trimestrielle chez Malakoff Humanis QUATREM.
Je n ai jamais eu de soucis ni aucun retard jusqu ici.
Les pensions d après l’info au téléphone on été payées le 23 mars(mardi) et,je reçois sur mon compte ma pension le lendemain ou,au pire deux jours après mais jamais plus tard.
Aujourd hui cela fait trois jours et ma banque ne voit aucun virement entrant à venir.
Je peux donc déjà dire que je ne recevrais pas ma pension ce mois ci sans aucune explication!
Des ex collègue dans ma situation on tous reçu leurs pensions hier...
Quand je lis les commentaires sur ce site et vu les notes je me prépare à une bonne grosse galère à venir.
Je ne vis qu avec une maigre pension mensuelle de la cpam et c est déjà de la survie quand je touche ma pension Malakoff alors je n ose même pas penser à ce qui m attend.
C est dingue de jouer avec des assurés qui on cotisés longtemps et avec des tarifs très élevés du temps où on travaillaient et étions en bonne santé.
À présent je suis en mauvaise santé,j ai une vie déplorable et Malakoff trouve le moyen d en rajouter en ne payant pas ma pension.
Cette vie ne vaut pas le coup de se battre encore et encore....je n en peux plus.</t>
  </si>
  <si>
    <t>amari-s-126303</t>
  </si>
  <si>
    <t xml:space="preserve">Je suis très satisfait de la rapidité  et du service de  direct assurance 
C parfait 
Le prix et très convenable  
Je vais vous recommandé a mes amis
</t>
  </si>
  <si>
    <t>savidan-k-123013</t>
  </si>
  <si>
    <t>Qualité de service au top, accueil téléphonique les explications étaient super, j’ai pu avoir tous les renseignements que j’avais besoin au téléphone c’était vraiment bien</t>
  </si>
  <si>
    <t>drissou-81912</t>
  </si>
  <si>
    <t>Assuré pour seulement 3 mois car prix trop élevé, obstacles pendant la demande de prise en charge d'une brise glace. Tout est fait pour que le client paye mais ne bénéficie pas des garanties souscrites.</t>
  </si>
  <si>
    <t>16/12/2019</t>
  </si>
  <si>
    <t>mimi98-101687</t>
  </si>
  <si>
    <t>Je suis de l'avis des différentes personnes. Apparemment dans mon entourage direct, plusieurs personnes ont eu un remboursement partiel de leur cotisation, relatif au COVID de mars. En effet, peu de déplacements à cette période. J'ai contacté la MAAF qui m'a dit que pour l'instant il ne pratiquait pas ce type de geste commercial, mais qu'à l'échéance il verrait selon le contrat et les éventuels sinistres déclarés. Et là surprise !!!!!!! Augmentation de ma cotisation de plus de 80,00 €, des véhicules de plus de 10 ans, avec bonus 50 % et un bonus à vie MAAF depuis 2007, le 1er véhicule 480,00 € tt risque, le second 350,00 tt risque et cotisation habitation à 550,00€. Je trouve tout cela bien cher, je pense aller voir ailleurs....</t>
  </si>
  <si>
    <t>20/12/2020</t>
  </si>
  <si>
    <t>yass-99570</t>
  </si>
  <si>
    <t>Bonjour, 
L'assureur militant MAIF m'a resilié pour altération du lien commercial après 15 années. J'ai été prévenu par courrier recommandé.  Contactez par téléphone pour un complément d'informations, l'on m'a indiqué que le client est libre de choisir son assureur et que l'assureur au même titre est libre de choisir ses clients… SCANDALEUX!
Pour info, victime d'un grave accident de la route en 2018, j'ai refusé la proposition d'indemnisation faite par la MAIF et entamé un recours en justice…
Je pense que pour la MAIF, réclamer justice altéré le lien commerciale. MERCI!!</t>
  </si>
  <si>
    <t>03/11/2020</t>
  </si>
  <si>
    <t>auderenon-100857</t>
  </si>
  <si>
    <t>Le pire service client auquel j'ai eu à faire. Minimum une semaine de délai pour avoir une réponse par mail lorsqu'ils daignent répondre. Un temps d'attente interminable pour avoir quelqu'un au téléphone, sur un numéro surtaxé. Les conseillés au téléphone ne font que le relai vers d'autres services, ne sont visiblement pas formés aux procédures. C'est scandaleux!
Pour ma part près de deux mois pour recevoir une attestation après beaucoup d'acharnement, une vingtaine d'appels et son hors forfait téléphonique qui va avec, et plusieurs réclamations. Impossible d'avoir un responsable au téléphone, on ne fait que remonter l'information qui visiblement n'arrive jamais. C'est parfaitement inadmissible.</t>
  </si>
  <si>
    <t>02/12/2020</t>
  </si>
  <si>
    <t>laetitia--132460</t>
  </si>
  <si>
    <t xml:space="preserve">Mon contrat étant résilié l'organisme continue à retirer le montant du forfait. Ils n'ont pas remboursé le restant dû. C'est la mutuelle de mon entreprise dont je ne peux me défaire j'ai fait résilier mes bénéficiaires mais pour les contacts et remboursement ça reste sans réponse malheureusement. Je ne conseille surtout pas cette mutuelle. </t>
  </si>
  <si>
    <t>sabine-l-136619</t>
  </si>
  <si>
    <t>Satisfait de votre contrat pour ma mutuelle merci beaucoup de votre confiance a très bientôt et espère être contente de votre mutuelle madame libert..</t>
  </si>
  <si>
    <t>08/10/2021</t>
  </si>
  <si>
    <t>lucette56-72106</t>
  </si>
  <si>
    <t>Je recommande cet assureur pour le rapport qualité prix</t>
  </si>
  <si>
    <t>13/03/2019</t>
  </si>
  <si>
    <t>01/03/2019</t>
  </si>
  <si>
    <t>stan0881-131267</t>
  </si>
  <si>
    <t>Comme beaucoup d’assurance on les juge en cas de sinistre.
Et bien j’ai eu un accrochage le 31/07, le véhicule est au garage depuis plus d’un mois, expert injoignable, assurance qui me balade le peu de fois où elle daigne me répondre, responsable qui me respecte aucun de ses engagements ou promesses. Aucun véhicule de prêt !  A fuir …!!</t>
  </si>
  <si>
    <t>04/09/2021</t>
  </si>
  <si>
    <t>marco83-80459</t>
  </si>
  <si>
    <t xml:space="preserve">Merci à Caroline pour son accueil et son professionnalisme, il est très agréable et rare d'être conseillé par des services non délocalisés. </t>
  </si>
  <si>
    <t>28/10/2019</t>
  </si>
  <si>
    <t>joackim-f-132670</t>
  </si>
  <si>
    <t>JE SUIS SATISFAITE DU TARIF. ET DE LA FACON DPNT J AI TROUVE CE CONTRAT. LA RESILIATION EST FACILE. TRES BIEN
CORDIALEMENT,
FLORENCE FERREIRA DA SILVA</t>
  </si>
  <si>
    <t>gavroche-76810</t>
  </si>
  <si>
    <t>Cardif me balade ainsi que mon frère pour régler l'assurance-vie qui nous revient suivant les volontés de notre oncle. Le dossier est complet mais suivant l'interlocuteur téléphonique il ne l'est pas ou en cours d'études ou en attente du tour de taille de la femme du capitaine. Le dernier argument en date est de leur fournir le certificat d'acquittement des droits remis par le centre des impots avant qu'ils ne débloquent les fonds nous revenant alors que nous leur avons signé une délégation pour que Cardif prélève et règle directement les sommes dus au fisc dont le décompte leur a été transmis. Hallucinant, c'est eux qui devraient me prouver qu'ils règlent rapidement le fisc et nous règlent en meme temps comme l'ont fait les autres compagnies. En deux mois maximum deux de leurs concurrents nous ont réglés après avoir payé directement le fisc. Alors pourquoi Cardif n'en est pas capable si ce n'est pour retarder les règlements et déclarer que le dossier n'est toujours pas complet suivant leurs critères toujours variables et qui leur permettent ainsi de ne toujours pas devoir d'intérêts sur les sommes dues puisqu'ils considèrent toujours que le dossier n'est pas complet. Le grand art de prendre les bénéficiaires pour des crétins notoires.</t>
  </si>
  <si>
    <t>15/06/2019</t>
  </si>
  <si>
    <t>wazari-88401</t>
  </si>
  <si>
    <t xml:space="preserve">Generali ne devrait pas sevire en France et la banque populaire devrait ce séparé de ce partenaire , nous avons également de très gros problèmes avec eux et depuis 1 ans 1/2 alors que l'expert médical à validée mon accident eux ne veulent toujours pas payer , on ne lâche rien on continue à ce battre contre eux , nous ne recommandons absolument pas cet assurances faut fuite croiez nous . </t>
  </si>
  <si>
    <t>18/03/2020</t>
  </si>
  <si>
    <t>viot-j-137817</t>
  </si>
  <si>
    <t>les service toujours a la hauteur de mes attentes et le personnel si besoin est patient a l’écoute et réactif dans la mesure du possible.
Les tarif sont très avantage</t>
  </si>
  <si>
    <t>scompa-68548</t>
  </si>
  <si>
    <t>Refus de nous indemniser à la suite d'un coup de vent qui a déformé notre volet sous prétexte que le vent n'était pas assez fort. Si on est inondé ou si notre maison prend feu un jour, j'ai peut qu'on nous dise que l'eau n'était pas assez mouillée ou le feu pas assez chaud... De plus, service client injoignable et délais de traitement trop longs.</t>
  </si>
  <si>
    <t>12/11/2018</t>
  </si>
  <si>
    <t>luc-52903</t>
  </si>
  <si>
    <t xml:space="preserve">Bénéficiaire à 100% d'une assurance vie depuis novembre 2016 . Dossier complet depuis le 22 décembre . Je n'ai toujours pas l'argent , en sachant que ces gens ont un mois pour régler . Toutes les excuses sont bonnes , maintenant ils ont demandé début février un certificat de notoriété qu'ils ont eu le 8 février . Depuis plus aucun problème pour le règlement dixit un employé de chez eux . Sauf que suite à 2 recommandés , ils répondent que mon dossier sera traité sous quinzaine si tout va bien mais au pire 2 mois . Service client déplorable . Cet argent est à nous et non à vous </t>
  </si>
  <si>
    <t>02/03/2017</t>
  </si>
  <si>
    <t>pascalbru-51131</t>
  </si>
  <si>
    <t>A aucun moment il ne renseigne leur client comment et quand résilier leur contrat et refuse la résiliation quand elle arrive. O le site de la DGCCRF précise 
Les contrats souscrits par les particuliers La résiliation à l’échéance
A l'exception des contrats souscrits pour une durée déterminée, les contrats d'assurance sont automatiquement reconduits. Conformément aux dispositions du Code des assurances, l'assuré peut demander la résiliation de son contrat au plus tard deux mois avant sa date d'échéance, sauf pour les contrats d'assurance maladie, pour lesquels ce délai peut être différent.
Pour faciliter la résiliation des contrats tacitement reconductibles, le Code des assurances prévoit que l'assureur est tenu de rappeler, avec l'avis d'échéance, la date limite à laquelle l'assuré à la possibilité de dénoncer la reconduction automatique de son contrat. Ce rappel peut figurer sur l'avis d'échéance ou sur un document distinct transmis avec l'avis d'échéance.
Si l'envoi de l'avis d'échéance et de cette information lui sont envoyés moins de quinze jours avant la date limite à laquelle il peut demander la résiliation de son contrat, l'assuré dispose d'un délai de vingt jours à compter de la date d'envoi de l'avis pour mettre fin à son contrat.
Enfin, si l'assuré ne reçoit aucune information à ce sujet, il peut résilier le contrat à tout moment, sans préavis ni pénalité.
Ces dispositions ne concernent que les contrats garantissant les particuliers en dehors de leur activité professionnelle. Elles ne sont en outre applicables ni aux assurances sur la vie, ni aux contrats de groupe.
Ils ne peuvent pas refuser lé résiliation</t>
  </si>
  <si>
    <t>10/01/2017</t>
  </si>
  <si>
    <t>corentin-b-122255</t>
  </si>
  <si>
    <t>Très satisfait du service rapide et efficace traitement de l’assurance immédiatement simple et utile je recommande fortement direct assurance numéro 1</t>
  </si>
  <si>
    <t>07/08/2021</t>
  </si>
  <si>
    <t>philippe-g-130333</t>
  </si>
  <si>
    <t>Je suis très satisfait de votre service. les prix sont raisonnables. les assurances habitations voitures et responsabilités civiles et assurances scolaires pour mes enfants sont à la hauteur.</t>
  </si>
  <si>
    <t>emma-p-128726</t>
  </si>
  <si>
    <t xml:space="preserve">Je suis satisfaite du service, les prix sont corrects, c’est facile de souscrire sur Internet, site simple d’utilisation. La souscription prend effet de suite. </t>
  </si>
  <si>
    <t>perline-137522</t>
  </si>
  <si>
    <t>A fuir absolument. Des remboursements qui ne correspondent pas à ce qui est annoncé. Un service médiocre,. Une personne pas aimable qui me dit que je n'avais qu'à mieux lire mon contrat. Je résilie dès la date anniversaire.</t>
  </si>
  <si>
    <t>15/10/2021</t>
  </si>
  <si>
    <t>erics17-96704</t>
  </si>
  <si>
    <t>J'ai été viré, par lettre recommandée, de la MAAF après 25 ans d'ancienneté.
Lettre recommandée où il était écrit, "suite à notre entretien", entretien qui n'a mais eu lieu.
A part deux sinistres mineurs (pare-brise et haillon arrière), jamais rien de grave. 
Je me suis retrouvé dans le fichier des résiliations automobiles de l'Agira.
"Ce n'est pas une punition" mais j'ai été redirigé vers Zéphir...</t>
  </si>
  <si>
    <t>26/08/2020</t>
  </si>
  <si>
    <t>yannistyle26-58542</t>
  </si>
  <si>
    <t>Suite à une panne, je contact à 10h mon assurance. Après 15min d’attente j’arrive enfin à avoir quelqu’un au téléphone. Je lui transmet toute les informations. Elle me dit qu’une dépanneuse arriverai d’ici 45min / 1heure. Très bien... Attendons...
A 11h10 Amv me rappel pour connaître la cilindré de mon scooteur, je lui transmet et elle m’en dit très bien une dépanneuse sera sur place dans 45m / 1h... INADMISSIBLE ! 
Je lui explique alors que ça fait 1h que j’attend la dépanneuse et elle me répond qu’il y a beaucoup de monde qui appel... cette assurance ne sais pas gérer!!! Nous payons pour un service que nous avons pas!! J’espère avoir dédommagement de cette situation !</t>
  </si>
  <si>
    <t>02/11/2017</t>
  </si>
  <si>
    <t>tili-62047</t>
  </si>
  <si>
    <t xml:space="preserve">Très bien je trouve le service client avenant'propose les meilleurs  prix et indique les meilleures offres sélectionnées par leurs exigences pour leurs clients. Le service suivi client est très proches de la clientèle </t>
  </si>
  <si>
    <t>06/03/2018</t>
  </si>
  <si>
    <t>kotchka-101066</t>
  </si>
  <si>
    <t>Je veux changer d'assureur pour ma maison et contacte la Macif en juillet 2020, pour remplacer un contrat Allianz, au coût exorbitant, qui va d'août en août. En septembre, la Macif n'a encore rien fait, mais m'assure que début octobre la lettre de résiliation sera envoyée. Je reçois une mise en demeure d'Allianz le 20 octobre, à laquelle je n'attache donc aucune importance. Nouveau problème, me dit un employé de la Macif que je contacte néanmoins: Allianz a refusé de valider ma première demande: il y a des assureurs comme ça qui refusent de régler les choses à l'amiable. Sauf qu'une employée de la Macif m'apprendra début décembre que c'est un mensonge total : rien début octobre, avant la 1re mise en demeure d'Allianz (absolument intraitable, d'ailleurs), n'avait été encore envoyé. Je finis par adresser à nouveau à la Macif ma lettre de résiliation, transmise enfin à Allianz... fin novembre. Sauf que dans l'intervalle je viens de recevoir une 2e mise en demeure d'Allianz, avec obligation de payer toute la somme due pour l'année, plus 80 euros de contentieux ! L'employée de la Macif reconnaît qu'ils sont bel et bien responsables de la situation (ça me fait une belle jambe), qu'ils en sont désolés, mais qu'ils ne peuvent rien pour moi. Incompétence et mensonge qui me coûtent très cher : à fuir !</t>
  </si>
  <si>
    <t>07/12/2020</t>
  </si>
  <si>
    <t>gtacnrv-67650</t>
  </si>
  <si>
    <t xml:space="preserve">Fonds du problème ;
Question 1: Etes-vous d'accord pour devenir donateur à des organismes extérieurs au lieu de rester sociétaire MAIF sans aucune autorisation de votre part ?
Question 2: Etes-vous d'accord sur le fait que les fonds ne soient plus ainsi jamais disponibles aux difficultés des sociétaires MAIF ?
Question 3 : Pensez-vous qu'une mutuelle et une fondation ont le même statut juridique ?
Question 4 : Pensez-vous que la MAIF actuelle respecte toujours les idées d'Edmond Proust qui luttait dans les tranchées ?
Question 5 : Pensez-vous qu'il n'y a pas de conflit quand les intérêts des sociétaires passent après les nombreux intérêts que la MAIF entretient avec l'extérieur ?
</t>
  </si>
  <si>
    <t>14/10/2018</t>
  </si>
  <si>
    <t>elisabeth-52835</t>
  </si>
  <si>
    <t>Attention : procédés mensongers . je tiens à alerter toute personne qui aurait comme moi été contactée par téléphone et qui reçoit quelques jours plus tard une lettre la remerciant des contrats -auxquels elle aurait adhéré malgrè elle.</t>
  </si>
  <si>
    <t>28/02/2017</t>
  </si>
  <si>
    <t>sebastien-f-131350</t>
  </si>
  <si>
    <t xml:space="preserve">très bon service mais les tarifs sont un peu hauts et augmentent vite en rajoutant les différentes options tels que le véhicule de prêt et l'extension du véhicule de prêt </t>
  </si>
  <si>
    <t>05/09/2021</t>
  </si>
  <si>
    <t>anne-claire-p-109072</t>
  </si>
  <si>
    <t xml:space="preserve">Je ne suis pas satisfaite du service commercial : j'ai choisi direct assurance il y a 3 ans pour les tarifs compétitifs, ce qui n'est plus du tout le cas aujourd'hui. Aucune tentative de meilleure proposition commerciale effectuée par le conseiller, suite à mes échanges ce jour et l'évocation de ma volonté de solliciter d'autres compagnies d'assurance. </t>
  </si>
  <si>
    <t>03/04/2021</t>
  </si>
  <si>
    <t>phoceann-123190</t>
  </si>
  <si>
    <t>Je ne recommande pas cet assureur, 
j'ai perdu mon animal en décembre 20, je leurs ai envoyé une lettre en AR, pour rompre mon contrat qui arrivait a terme le 1mars 21.
ils ont reçu le courrier courant décembre et non pas voulu arrête mon contrat malgré la perte de mon animal.
le service réclamation m'a demandé  le certificat de radiation de l'icad (je ne voulais pas forcement le faire dans l'immediat) ,je l'ai quand meme fait! pour arrêter de payer pour rien!  Une fois document transmis,  ils ne prennent en compte que la date du certificat de l'icad: qui  est du mois de juin 21(6 mois a payé dans le vide). Voila comment se faire de l'argent sur le malheur des gens. ils en ont absolument rien a faire de l'animal! c'est honteux!!!  A FUIR!.</t>
  </si>
  <si>
    <t>ellebazi-57896</t>
  </si>
  <si>
    <t>Profiteurs et totalement irrespectueux.....assurance-vie non versée depuis presque un an malgré TOUS les documents fournis. Des arguments ridicules et totalement faux lorsqu'on téléphone....</t>
  </si>
  <si>
    <t>08/10/2017</t>
  </si>
  <si>
    <t>pierre-99802</t>
  </si>
  <si>
    <t xml:space="preserve">Des garantis pas la hauteur mais un prix relativement intéressant... aujourd'hui je ne regarde pas que le prix mais également le service 
J'ai changé car aujourd'hui j'en ai ras-le-bol des plateformes téléphoniques.
</t>
  </si>
  <si>
    <t>07/11/2020</t>
  </si>
  <si>
    <t>francky-107913</t>
  </si>
  <si>
    <t xml:space="preserve">A fuir, prix qui augmente tout les ans.
Au premier accrochage ils ne veulent plus vous assurer.
Même après 20 ans !!!
Une honte, assurance MAAF = aucune considération pour ces clients </t>
  </si>
  <si>
    <t>eiram-64606</t>
  </si>
  <si>
    <t xml:space="preserve">très déçu par pacifica le 25 Avril 2018 de la réaction qu'ils ont eue à mon égard au téléphone  depuis le 24/Avril j'attend le passage de l'expert sur l'ile de la réunion de la Tempête FAKIR 2018 à ce jour je suis toujour dans l'attente    </t>
  </si>
  <si>
    <t>08/06/2018</t>
  </si>
  <si>
    <t>bevia-a-125570</t>
  </si>
  <si>
    <t>Je rejoins cette nouvrlle assurance moins cher qur la precedente... a voir dans le temps et surtout si il ya un sinistre.. c est la que l on vois si c'est une bonne assurance</t>
  </si>
  <si>
    <t>30/07/2021</t>
  </si>
  <si>
    <t>cecile-57203</t>
  </si>
  <si>
    <t>Bonjour
Je suis victime d'un dégât des eaux par infiltration depuis 18 mois. La plateforme sinistre est délocalisée au Maroc et il n'y a pas de gestionnaire attitré. Ainsi le dossier n'est pas suivi. Depuis 18 mois, l'expert s'acharne à mettre mon dossier hors champ de garantie prétextant d'abord des remontées capillaires, ensuite des infiltrations façade. Axa refuse de faire une recherche de fuite. Après 4 expertises, on me demande maintenant de faire des travaux sur le toit sans savoir si cela a un lien avec les infîltrations. Je n'ai toujours pas d'interlocuteur et je ne sais plus quoi faire. le logement est insalubre (placo retiré, mur saturé d'eau, moisissures, insectes, carrelage qui se décolle, un vrai cauchemar.</t>
  </si>
  <si>
    <t>08/09/2017</t>
  </si>
  <si>
    <t>djedje-n-108340</t>
  </si>
  <si>
    <t>je suis satisfait du service et les prix me conviennent simple et pratique 
je compte parrainer quelqu'un très prochainement et place toute ma confiance</t>
  </si>
  <si>
    <t>29/03/2021</t>
  </si>
  <si>
    <t>otombaka-j-125738</t>
  </si>
  <si>
    <t>Oui je suis satisfait du service ainsi que du prix général de l’abonnement annuel . En espérant que au fur du temp tout iras bien avec l’abonnement . 
Merci</t>
  </si>
  <si>
    <t>kiki-99533</t>
  </si>
  <si>
    <t>Deux  petits sinistres cette année ( 500 € de dédommagement reçu) et hop je reçois une lettre de résiliation de la matmut .
Donc la matmut assure comme elle le dit si bien dans sa pub , mais elle devrait ajouter seulement ceux qui ne déclarent pas de  sinistre !
Une autre façon de ramasser a tout les coups  les cotisations  des assurés  !</t>
  </si>
  <si>
    <t>jethroo-113635</t>
  </si>
  <si>
    <t xml:space="preserve">Mon avis est mitigé à 50% dû au courtier à qui j'ai envoyé mail, sms et qui n'a pas daigner prendre en compte mes remarques, &amp; un problème récurrent d'accès à mon espace personnel informatique qui ne vient seulement d'être réglé par une personne "EMELINE" qui a pris le temps pour me donner satisfaction..! BRAVO pour son professionnalisme &amp; sa gentillesse au téléphone. </t>
  </si>
  <si>
    <t>13/05/2021</t>
  </si>
  <si>
    <t>moi-77834</t>
  </si>
  <si>
    <t>Vraiment de mauvaise foi cette " banque ", il ne réponde jamais au téléphone, au mail. Pour faire simple, un contrat d'une de mes tantes avec clause de versement à mon profit, documents envoyés avec le contrat et la clause. Il veule une déclaration du notaire sur la dévolution successorale!!!!!!!!!!!</t>
  </si>
  <si>
    <t>22/07/2019</t>
  </si>
  <si>
    <t>johan-f-117064</t>
  </si>
  <si>
    <t>RIEN N'A DIRE pour le prix , la communication, la prise en charge pour le sinistre.
C'est pour cela que je suis chez directe assurance pour différents véhicules et de depuis beaucoup d'années.
Pour vue que cela dur</t>
  </si>
  <si>
    <t>15/06/2021</t>
  </si>
  <si>
    <t>mehdy-m-117180</t>
  </si>
  <si>
    <t xml:space="preserve">Parfait tres bon prix pour une assurance scooter, inscription rapide et tres efficace, cela a ete fait en moins de 20 min , je vous remercies beaucoup </t>
  </si>
  <si>
    <t>16/06/2021</t>
  </si>
  <si>
    <t>guy-h-112212</t>
  </si>
  <si>
    <t>sinistre du 18 avril est toujours aucuns contacts de direct assurance 
tres tres decu des assuances en ligne 
pas certain de continué chez vous malgre 2 contrats voitures 
heureusement que ce n'est que des degats materiel et non humain car je crois que j'aurai bcp de soucis a me faire avec le peu de contact de cette assurance 
tant qu'on paie tout va bien</t>
  </si>
  <si>
    <t>pailloncy-o-121143</t>
  </si>
  <si>
    <t>Aucun souci, 
En vous remerciant de votre réactivité et des clauses de mon contrat qui me conviennent parfaitement, 
Je recommanderais votre compagnie 
Cordialement</t>
  </si>
  <si>
    <t>25/06/2021</t>
  </si>
  <si>
    <t>alain-m-107000</t>
  </si>
  <si>
    <t>Bon service facile d'utilisation, rest e avoir comment avoir un contact avec cette assurance. Prix plusque correct et très bien fait. Dommage qu'il n'y a pas de remise si je mets mes trois véhicules chez vous</t>
  </si>
  <si>
    <t>lapendry-j-133992</t>
  </si>
  <si>
    <t>RAS, tout s'est bien passé au niveau de la signature de mon contrat d'assurance auto même si le nom sur le contrat n'est pas le bon par rapport à ce qui a été dit au telephone</t>
  </si>
  <si>
    <t>22/09/2021</t>
  </si>
  <si>
    <t>sophia-75294</t>
  </si>
  <si>
    <t>mon père a souscrit une assurance vie TELLUS de ALLIANZ en 1992. il vient de décéder. ma mère qui est bénéficiaire a reçu le capital. ils ont enlevé 1500 euros de prélèvements sociaux sur ce capital. c'est du vol. on a appelé l'assureur de brest où il a souscrit cette assurance vie, ils nous disent d'appeler Strasbourg. Strasbourg ne nous répond pas non plus. on a eu 4 interlocuteurs, personne pour nous renseigner sur ces 1500 euros de retrait. A FUIR</t>
  </si>
  <si>
    <t>23/04/2019</t>
  </si>
  <si>
    <t>alexandre-63669</t>
  </si>
  <si>
    <t>Bonjour, assurance à fuir !!! expert incompétent 
Ma conjointe étant victime d'une collision par l'arrière, (accident non responsable) à l'arrêt,  
Les dires du sois disant expert ont été : votre véhicule présente des rayures sur le coté du pare choc arrière donc non indemnisable, car sois disant sinistre ! or le hayon présenter 0 dégâts avant sinistre (photo à l'appuie.)</t>
  </si>
  <si>
    <t>30/04/2018</t>
  </si>
  <si>
    <t>claire-121363</t>
  </si>
  <si>
    <t>Humanis est responsable de ma retraite complémentaire ARRCO-AGIRC. 
En juin 2021, j'ai découvert qu'Humanis a retiré de son site internet toute adresse postale qui permettrait d'adresser par voie postale un courrier et des justificatifs permettant à un assuré comme moi de demander la rectification des erreurs dans son relevé de carrière. Pire, lorsque j'ai contacté Humanis par téléphone, l'interlocuteur a refusé de me communiquer la moindre adresse postale sous prétexte qu'Humanis refuserait de traiter ma demande de rectification avant 2022. 
Un assureur qui refuse de communiquer à ses assurés son adresse postale, c'est inacceptable. Les courriers postaux recommandés avec AR ayant une valeur juridique importante en matière d'assurance, il est indispensable de pouvoir écrire à une adresse officielle publique de son assureur.
Pour les assurés qui voudraient écrire à Humanis à propos de leur retraite complémentaire et rencontreraient les mêmes difficultés, je partage ici deux adresses postales que j'ai fini par trouver :
- le siège social d'Humanis :  21 rue Laffitte, 75009 Paris
- une nouvelle adresse depuis le 1er octobre 2020 dont l'intitulé fait croire qu'il ne s'adresse qu'aux retraités et pas aux salariés en activité : 
Allocataires Centre de réception Agirc-Arrco TSA 36661 92621 Gennevilliers Cedex
Pour votre information, depuis sept ans, Humanis répète chaque année la même erreur sur mon relevé de carrière en n'inscrivant aucun points annuels alors que j'ai droit à un nombre significatif de points chaque année. Depuis sept ans, Humanis exige que j'adresse chaque année des justificatifs pour rectifier ses propres erreurs dans mon relevé de carrière. D'où le besoin d'une adresse postale...
Je demande qu'Humanis indique clairement sur son site internet une adresse postale et communique par téléphone une adresse postale pour les salariés en activité qui veulent faire rectifier leur relevé de carrière.</t>
  </si>
  <si>
    <t>27/06/2021</t>
  </si>
  <si>
    <t>franck2510-113919</t>
  </si>
  <si>
    <t xml:space="preserve">Les prix étaient compétitifs mais en augmentation tous les ans
Les nouveaux clients ont des prix plus compétitifs que moi client fidèle depuis plus de 15 ans 
Je laisse plus de 2000 par an je vais les mettre en concurrence </t>
  </si>
  <si>
    <t>christine-f-117550</t>
  </si>
  <si>
    <t xml:space="preserve">bonjour, je tenais à remercier le monsieur qui m'a conseillé lors de notre entretien téléphonique, il s'est mis à ma portée et il a donné des conseils selon mes besoins merci pour tout vos conseils </t>
  </si>
  <si>
    <t>t-cross-93926</t>
  </si>
  <si>
    <t>Bien contente d'avoir assuré ma voiture chez l'Olivier. Un accident vite oublié. Un pare-choc et un pare-brise pris en charge immédiatement par l'assureur.</t>
  </si>
  <si>
    <t>yohan-l-122379</t>
  </si>
  <si>
    <t xml:space="preserve">je suis satisfait de la qualité et la facilité de s'assurer sans avoir à se déplacer merci beaucoup se faut très productif de faire cala par internet </t>
  </si>
  <si>
    <t>05/07/2021</t>
  </si>
  <si>
    <t>laurent-53563</t>
  </si>
  <si>
    <t>bonjour, client n 244222 j'attends après ma carte verte ainsi que la vignette que je n'ai toujours pas reçu comment je fait sachant que mon ancienne assurance a été résiliée le 24/03/2017 j'attends une réponse de votre part merci.</t>
  </si>
  <si>
    <t>24/03/2017</t>
  </si>
  <si>
    <t>karim-b-126267</t>
  </si>
  <si>
    <t>Simple et rapide, à voir si efficace en cas de problème. Je viens de souscrire donc je ne peut pas encore établir d'avis réel. Le prix est très compétitif donc à voir si le service est réactif et compétent.</t>
  </si>
  <si>
    <t>passion103-85590</t>
  </si>
  <si>
    <t xml:space="preserve">Bonjour j attend depuis 2 mois pour un vitrage cassé avec refus de prise en charge </t>
  </si>
  <si>
    <t>07/01/2020</t>
  </si>
  <si>
    <t>sacamounou-107496</t>
  </si>
  <si>
    <t>Je suis assurée à la MAIF depuis une conquantaine d'années . Au début: impeccable. Rapidité, réactivité, amabilité etc...
Depuis 2 ou 3 ans: négligence, je-m'en-foutisme, manque d'amabilité... Ils se prennent pour Berkshire Hathaway.
J'ai chez eux un dossier qui traîne depuis plusieurs mois: des infiltrations de caves au sous-sol de mon immeuble à, Paris  ont provoqué des dégats considérables dans mon appartement ainsi qu'une situation d'insalubrité dangereuse. Après avoir mandaté un "expert" dont je n'ai jamais pu avoir le rapport détaillé, et que je soupçonne donc d'avoir baclé son travail, la conclusion est sans appel: les dégats ont plus de deux ans, je ne suis donc pas assurée. Pas d'assistance juridique. A moi d'engager une procédure auprès du syndic et d'engager un avocat si ma démarche auprès du syndic  - pour non respect de délais de travaux d'assainissement - n'aboutit pas. Commentaire de la personne au téléphone: " et je vous assure que ça risque de  vous coûter cher" Eh oui, c'est pour cela que depuis 50 ans je paie une assurance... Pour ce genre de commentaire aussi grossier qu'inutile. Je me renseigne donc pour mettre fin à tous mes contrats (et il y en a!!...) et trouver une compagnie moins oublieuse de ses obligations.</t>
  </si>
  <si>
    <t>gt-96700</t>
  </si>
  <si>
    <t xml:space="preserve">Une mutuelle qui ne tient pas ses engagements.
Je suis bénéficiaire de la Complémentaire Santé Solidaire chez eux et auparavant client mutuelle santé.
J'ai déménagé et donc envoyé les informations le 02 Août ( vía mon compte adhérent) pour qu'ils mettent à jour la télétransmission ( connexion noémie ) pour pouvoir continuer à bénéficier de mon droit de tiers-payant et ne pas avoir à avancer les frais.
Aujourd'hui nous sommes le 26 août, rien n'a été fais malgré les relances, on me dit de patienter encore 15j minimum..
Sauf que je paye en temps et en heure mais je ne peux pas bénéficier de celà.
Sachant que vendredi 28 août au matin j'ai des examens très importants chez l'ophtalmologue, c'est un rendez-vous que j'ai pris il y a 7 mois, et que je ne pourrais pas honoré car il faut encore attendre indéfiniment pour qu'il traite mon dossier, et je ne peux pas avancer plus de 200€ de consultation et examens alors que je paye un mutuelle qui est censé me prendre en charge...
C'est un scandale cette mutuelle, le corona à bon dos...
( je les aient contacté par téléphone, mail, facebook et espace assuré sans succès) </t>
  </si>
  <si>
    <t>sauron-105596</t>
  </si>
  <si>
    <t>fuyez vite la cnp car si vous avez un problème de santé ça sera le parcoure du combattant pour n'avoir rien au final . elle fera tout pour ne rien vous donner  il manquera toujours un papier</t>
  </si>
  <si>
    <t>05/03/2021</t>
  </si>
  <si>
    <t>gaefrance-60783</t>
  </si>
  <si>
    <t>J'ai souscris à une assurance auto chez allianz le 7 décembre 2017, ils vous retire de votre compte bancaire 196 euros au titre de votre période d'assurance provisoire d'un mois, vous résilie de votre ancienne assurance. Vous font attendre plusieurs semaine et après plusieurs appel service client car sans nouvelle de votre contrat, vous explique que cela ne seras pas possible de vous assurer , mais biens sur la totalité de la somme payée ne sera pas remboursée ...
Bien joué Allianz !!! 
mon avis :fuyez cette assurance .</t>
  </si>
  <si>
    <t>24/01/2018</t>
  </si>
  <si>
    <t>dave36-138298</t>
  </si>
  <si>
    <t>Impossible  de déclarer un sinistre!!!! Ni par mail, ni par l'application et pire au téléphone, un conseiller répond et coupe  sans rappeler. Seulement des informations disant qu'il y a un trop grand nombre d'appel et qu'il faut réessayer. Ça fait 4 jours que je réessaye sur toute les plateformes.  1 année, pas 2 chez Pacifica!!!!!</t>
  </si>
  <si>
    <t>26/10/2021</t>
  </si>
  <si>
    <t>kevinwilfried-88014</t>
  </si>
  <si>
    <t>meilleurs assurances avec une bonne qualité de services,a tous moments ..avec les conseillers experts</t>
  </si>
  <si>
    <t>05/03/2020</t>
  </si>
  <si>
    <t>yannick--p-122479</t>
  </si>
  <si>
    <t xml:space="preserve">Super bon contact téléphonique gracieux et sympathique 
Super bon contact téléphonique gracieux et sympathique 
Super bon contact téléphonique gracieux et sympathique 
</t>
  </si>
  <si>
    <t>06/07/2021</t>
  </si>
  <si>
    <t>joel-v-134256</t>
  </si>
  <si>
    <t xml:space="preserve">transaction en cours pour moi je dois contacter 
Facile Bien dirigé tarifs corrects je conseille c'est assureur autour de moi auto ou moto suivant les cas </t>
  </si>
  <si>
    <t>isa-64203</t>
  </si>
  <si>
    <t>Bonne mutuelle, les remboursements se font rapidement. Franchement je vous recommande cette assurance pour les animaux. leur application en plus est top</t>
  </si>
  <si>
    <t>Solly Azar</t>
  </si>
  <si>
    <t>25/05/2018</t>
  </si>
  <si>
    <t>arnaudnime75-66955</t>
  </si>
  <si>
    <t>Les prix et les remboursements sont parmi les meilleurs du marché de ce que j'ai étudié.</t>
  </si>
  <si>
    <t>Gan</t>
  </si>
  <si>
    <t>19/09/2018</t>
  </si>
  <si>
    <t>pierre-l-127891</t>
  </si>
  <si>
    <t>J’AURAIS PRES FERAIS  M ' inscrire par téléphone. c' est une galère la prochaine fois j’irais mins crire a cote de chez moi      dans une agence  merci</t>
  </si>
  <si>
    <t>13/08/2021</t>
  </si>
  <si>
    <t>robby82-99736</t>
  </si>
  <si>
    <t>Pas facile D'obtenir une communication tel, mais une fois celle-ci établi avec le conseiller Hugo mon problème a été très bien traité. Bon contact. cordialement</t>
  </si>
  <si>
    <t>06/11/2020</t>
  </si>
  <si>
    <t>chrisnes-74590</t>
  </si>
  <si>
    <t xml:space="preserve">plus de 20 ans client avec 50% de bonus et pas de sinistre pas de gestes commerciales </t>
  </si>
  <si>
    <t>29/03/2019</t>
  </si>
  <si>
    <t>ziyed-90644</t>
  </si>
  <si>
    <t>Bonjour, je ne comprend pas pourquoi le prix diffère entre un devis par téléphone et quand je fais le devis seul sur internet.
J’aimerais bien être rappelé afin de reconsidérer mes tarifs</t>
  </si>
  <si>
    <t>13/06/2020</t>
  </si>
  <si>
    <t>idel59200-104127</t>
  </si>
  <si>
    <t xml:space="preserve">passez votre chemin 
Aucun respect du client!!
Manipulation du questionnaire médical afin de ne pas prendre en charge malgré la preuve de la définition ( ex pas de prise en charge pour une ligamentoplastie car repondu non sur une atteinte articulaire 
Car entorse en 2017 hors définition ne parle pas de ligaments !!!!
De plus sans scrupule demande de signer un avenant daté de 1 an ou annulation du contrat 
Un doute qu'il rembourse l'année de cotisation !!!
Résultat étant infirmier liberal decouvert eborme puisque aucune rentrée d'argent depuis 2 mois!!!
</t>
  </si>
  <si>
    <t>13/02/2021</t>
  </si>
  <si>
    <t>01/02/2021</t>
  </si>
  <si>
    <t>jeffouil-77501</t>
  </si>
  <si>
    <t>Désespéré après plusieurs appel pour un problème de résiliation avec mon ancienne mutuel et aujourd'hui je suis tombé sur LA MERVEILLEUSE "Nadège" qui m'a trouvé et aidé dans ma démarche une solution en moins de 15mn ,encore merci mlle Nadège,je crois que je vous adore,lol,je n'y croyais plus.</t>
  </si>
  <si>
    <t>10/07/2019</t>
  </si>
  <si>
    <t>karinette--100899</t>
  </si>
  <si>
    <t xml:space="preserve">Accueil téléphonique chaleureux, conseillers très aimables mais lenteur dans les remboursements et hausse annuelle très excessive. Il faut donc impérativement penser à renégocier son tarif d'adhésion chaque année civile ! </t>
  </si>
  <si>
    <t>03/12/2020</t>
  </si>
  <si>
    <t>babylone-51830</t>
  </si>
  <si>
    <t>Il est très difficile de résilier la MGEN : il m'a fallu non seulement écrire à plusieurs reprises avec des courriers recommandés mais faire une démarche en agence  et exiger qu'on me remette en mains propres l'attestation de résiliation - j'ai dû l'exiger avec force et fracas ! Deux mois après avoir reçu une confirmation de ma résiliation, j'ai la très mauvaise surprise de voir que j'ai été indûment prélevée du montant de ma cotisation en janvier et que je le serai en février , au motif que mettre fin à un précompte prend du temps ! Je recommande donc aux futurs résiliateurs d'être très vigilants et de s'accrocher ...</t>
  </si>
  <si>
    <t>30/01/2017</t>
  </si>
  <si>
    <t>pierre-100150</t>
  </si>
  <si>
    <t>On reconnait la qualité de son assureur lors d'un sinistre. Ma grand-mère a subi un sinistre grêle en juin 2019 et à ce jour son toit n'a toujours pas été réparé. En premier lieu l'expert a mis plusieurs mois à valider un devis car il ne voulait refaire qu'un pan sur 2, j'ai dû le menacer de prendre un avocat pour qu'il valide la réfection complète de la toiture. À cela se sont ajoutés les délais des artisans sur la région (sinistre classé en catastrophe naturelle), le 1er confinement, la crise du covid et à ce jour les travaux n'ont pas été encore réalisés. À la suite d'un délai trop long de la prise en charge du sinistre, les dégâts se sont aggravés et un devis complémentaire de 2 000€ environ vient alourdir la facture. Ce dernier n'est pas pris en compte. Au final, dans le village de ma grand-mère quand tous les autres sinistrés ont vu leur toit refait au bout de 3 mois, au bout d'un an et demi, ma grand a son toit toujours en l'état, pire, encore plus dégradé. L'expert ne souhaite pas valider ce devis complémentaire. Une honte. J'ai honte d'avoir commercialisé ces contrats pendant 10 ans. Pierre MONTAGNON (référence du sinistre: 4878630908).</t>
  </si>
  <si>
    <t>carlier-n-121482</t>
  </si>
  <si>
    <t>Prix très bon par rapport au marché.
Les démarches sont rapides et efficaces.La signature électronique du contrat est un vrais plus.
Je recommande vivement l'Olivier.</t>
  </si>
  <si>
    <t>29/06/2021</t>
  </si>
  <si>
    <t>cannelle-80504</t>
  </si>
  <si>
    <t>Merci Lamia</t>
  </si>
  <si>
    <t>29/10/2019</t>
  </si>
  <si>
    <t>christophe-l-108117</t>
  </si>
  <si>
    <t xml:space="preserve">Prix extrêmement cher par rapport à la concurrence et au vu de l'ancienneté de mon contrat.  Les devis concurrents sont moitié moins chers.
L'espace client en ligne médiocre, on a besoin de se reconnecter en permanence, peu de services..  Et trop orienté vers la rétention des clients, pas vers leur satisfaction.   </t>
  </si>
  <si>
    <t>paquerette-129732</t>
  </si>
  <si>
    <t>A fuir!! Une conseillère ma menti pour que je souscrive chez AG2R me disant que je n'avais pas à présenter sur ma facture d'acupuncteur un numéro Adeli , mais une fois chez eux il me demande ce fameux numéro Adéli..j'ai fais plusieurs réclamations sans retour. Il ont mis 6 mois à mettre en place la télétransmission, il ne fonctionne que par voie postale, donc des délais très long. Après un devis dentaire stipulant un remboursement dans sa totalité, je n'ai toujours rien reçu au bout de 3 semaines sauf un courrier me demandant mon décompte transmis par l'assurance maladie. Vous les appelez, ils disent vous rappelez rapidement dans 15 jours maximum...
Bienvenue au Moyen âge avec cette assurance ou dans le pire de vos cauchemar. j'ai fini par envoyer un courrier au médiateur. j'ai hâte d'en finir avec eux à la fin de l'année, j'ai des soins que j'ai annulé et reporté à l'année prochaine pour être sûr d'être remboursé.</t>
  </si>
  <si>
    <t>france--91088</t>
  </si>
  <si>
    <t xml:space="preserve">Je suis satisfaite des prestations, des tarifs et des conseils des personnes qui nous répondent au téléphone.  J’espère que ça continuera comme ça merci </t>
  </si>
  <si>
    <t>16/06/2020</t>
  </si>
  <si>
    <t>dupervil-r-112501</t>
  </si>
  <si>
    <t>Prix correct, service en ligne simple et pratique.
En espérant ne pas avoir de sinistre, mais c'est à ce moment là qu'on juge la qualité d'un assureur.</t>
  </si>
  <si>
    <t>03/05/2021</t>
  </si>
  <si>
    <t>patrice67-106105</t>
  </si>
  <si>
    <t>Service clientèle catastrophique impossible d'avoir de simple réponses.Délai de paiement prestations,juste déments pratiquement 3 mois de retard.
Je suis désespéré et ne sais plus quoi faire pour avoir ne seait ce qu'une réponse.
Pour un groupe de cette taille ,c'est de l'incompétence au plus au niveau du rarement vu !!!</t>
  </si>
  <si>
    <t>battel-100578</t>
  </si>
  <si>
    <t xml:space="preserve">Bonjour, je quitte cette mutuelle pour les raisons suivantes 
Quand on téléphone , la réponse est toujours votre dossier est en cours , il faut attendre au moins 15j pour avoir une réponse , vous attendez et rien.
Vous envoyez des mails , que cela soit sur le site de la mutuelle ou de votre mail perso, attendez assis les réponses , car elles ne viennent jamais .
Je les ai contacté car j'ai du me faire opérer de la cataracte aux deux yeux, j'avais 400 euros de dépassement d'honoraires par oeil, j'ai téléphoné , il m'a été répondu , qu'il n'y avait pas de soucis car j'etais assuré pour les dépassements, depuis le mois de septembre , je bataille pour avoir ce remboursement , aucune réponses à mes mails, j'ai envoyé des lettres recommandées avec accusé de réception, aucune réponses , si un mail me demandant mon décompte sécu, sachant bien sur que vous avez ce décompte deux mois apres votre opération , je leur ai envoyé , toujours pas de remboursement, ni de réponses , donc fin décembre , je m'en vais , par mon assureur la maaf , je suis mieux assuré et moins cher 
Hier j'ai discutté avec mon opticien, il m a dit que tous les adherent à cette mutuelle avaient des soucis , même eux ont les mêmes problèmes , difficultés pour les avoir au tel et pour avoir leur remboursement , donc si vous pouvez , PARTEZ </t>
  </si>
  <si>
    <t>25/11/2020</t>
  </si>
  <si>
    <t>faten--115637</t>
  </si>
  <si>
    <t xml:space="preserve">Vraiment la pire mutuelle de tous les temps. Devis demandé le 09/04 et toujours aucune réponse à ce jour malgré 4 relances. 
Le conseiller se permet en + de ça de me raccrocher au nez. 
À fuir ... </t>
  </si>
  <si>
    <t>02/06/2021</t>
  </si>
  <si>
    <t>chantal-90684</t>
  </si>
  <si>
    <t>Je suis satisfaite des services en ligne. Il reste à voir à long terme du contrat si c’est vraiment une bonne assurance et le changement en valait la peine</t>
  </si>
  <si>
    <t>ayaovi--k-131674</t>
  </si>
  <si>
    <t>Je suis nouveau client donc aucun avis sur la satisfaction à donner pour le moment.
Le moment venu, je donnerai mon avis en terme de satisfaction du service. 
Je vous remercie</t>
  </si>
  <si>
    <t>07/09/2021</t>
  </si>
  <si>
    <t>jessycac-96172</t>
  </si>
  <si>
    <t>Je me suis fait escroquer dans le cadre de la vente de ma voiture. Etant encore assuré tous risques, avec une plainte pour vol, qualifiée par un officier de police. On vient de me dire que mon dossier serait classé sans suite, car mon contrat « tous risques » ne comprenait pas l’escroquerie dans la garantie pour vol. Notons qu’aucune option n’est proposée en plus lorsqu’on souscrit a un contrat tout risque... 13 000 euro envolé.</t>
  </si>
  <si>
    <t>11/08/2020</t>
  </si>
  <si>
    <t>mbemba-v-117986</t>
  </si>
  <si>
    <t xml:space="preserve">pour l'instant je trouve correct le prix , j'attend de voir la suite sur l'écoute, la prise en charge  et la disponibilité du service client et aussi dans l'accompagnement du client.  </t>
  </si>
  <si>
    <t>23/06/2021</t>
  </si>
  <si>
    <t>steal73-78533</t>
  </si>
  <si>
    <t>Ne prenez absolument pas cette assurance.
C'est quand on sollicite une assurance, que l'on peut la juger. Ce que je viens de faire suite a un accident du travail, bien évidemment mon dossier ne peut avoir une suite favorable, car dans leur closes, sont exclue environ 98 % des cas d'accident lier au travail. Donc si vous n'avais pas un membre arraché ou sectionner aux minimum, ils ne prendront rien en charge et encore, même la je suis sûr qu'ils trouveraient un moyen de ne pas payer.</t>
  </si>
  <si>
    <t>LCL</t>
  </si>
  <si>
    <t>19/08/2019</t>
  </si>
  <si>
    <t>asteria-57839</t>
  </si>
  <si>
    <t xml:space="preserve">Bonjour, Je suis assuré à la Maif depuis plus de 30 ans et quelle triste évolution depuis !...
Suite à un accident VGE non responsable, mon véhicule est pris en charge dans un garage agréé MAIF (et j'insiste sur ce point). La réparation est effectuée, le véhicule est récupéré. Et surprise ! Des pièces prévues n'avaient pas été changées. Encore mieux, des pièces de reconditionnement (sans homologation) ont été posées sur des organes de sécurité, bien sûr sans mon accord, ni celui de l'expert, tout cela facturé comme des pièces neuves de la marque, en plus des pièces de carrosserie adaptables. Ayant de grands doutes sur la qualité des prestations (un bruit étrange est apparu à l'endroit du choc), je demande les factures des pièces que je n'arrive toujours pas à avoir en totalité. Des factures ou BL (bon de livraison) mentionnent "En attente dispo fournisseur". D'où proviennent donc ces pièces ?
Enfin bref, tout pour vous mettre en confiance après un accident. Et je passe la case expertise contradictoire car, nouvelle surprise, l'expert, missionné par la Maif  et censé rester neutre, a déjà pris le parti du garagiste, bien évidemment.
Que du bonheur ! Passez en mode confiance avec la MAIF !!
Voilà les réparations auxquelles vous avez droit.
Le dossier traîne maintenant depuis plus d'un an. Quelle efficacité !
Je n'ai pas repris la conduite de ce véhicule mal réparé, car il ne répond plus aux critères de sécurité du constructeur.
</t>
  </si>
  <si>
    <t>spider010203-86615</t>
  </si>
  <si>
    <t>Bonne compagnie d'assurance. Assure une proximité avec la clientèle. Compétitive de manière générale par rapport à la concurrence</t>
  </si>
  <si>
    <t>luffyonepiece-93129</t>
  </si>
  <si>
    <t>Ils m'ont proposé un bon prix pour mon premier contrat en tant que jeune conducteur, ils ont répondu vite lorsque je les ai appelé pour une question sur mon contrat</t>
  </si>
  <si>
    <t>infamie-63662</t>
  </si>
  <si>
    <t>En relation avec le service MAIF du sud de la France (je suis en région parisienne !). J'ai affaire à un homme qui manque de la plus élémentaire politesse. Mes premiers contacts pas téléphone ont été désagréables. Bien qu'il s'agisse d'un dégât des eaux provenant du toit, ce partenaire me culpabilise, semble douter de ma bonne foi, des devis que je lui envoie. J'ai donc préféré limiter nos contacts à un échange de courriels. Hélas, ce Monsieur me retourne mes mails en "undelivered mail returned to sender gestionsinistre@mail.fr).
Au début, il ne voulait pas s'occuper de mon affaire me disant de le faire moi-même. Je lui ai répondu que les responsables ne bougeaient pas. J'ai donc insisté.
On m'a envoyé un expert qui devait expertiser "en réunion", mais il était seul. Il m'a dit qu'il m'enverrait son estimation des dommages, mais ne l'a pas fait. Par contre, compte tenu de mes réclamations, il m'envoie un nouvel avis de passage pour expertise "en réunion" comme si la première n'avait pas eu lieu contrairement à la loi qui stipule que si les tiers ne se sont pas présentés, les conclusions de l'expert s'imposent.</t>
  </si>
  <si>
    <t>nerovique-g-133289</t>
  </si>
  <si>
    <t>Je suis satisfait du service les prix me convienne simple et efficace je recommande l'olivier assurance  car très polie au téléphone même si les prix son un peu haut</t>
  </si>
  <si>
    <t>17/09/2021</t>
  </si>
  <si>
    <t>dumora-m-114854</t>
  </si>
  <si>
    <t>Tarif correct, en ayant comparé d'autres assurances, celle-ci est la mieux placé rapport qualité prix. Je recommanderai cette assurance auprès de mes voisins et amis</t>
  </si>
  <si>
    <t>26/05/2021</t>
  </si>
  <si>
    <t>rodriguez-m-116062</t>
  </si>
  <si>
    <t>pas pu joindre quelqu'un par téléphone aujourd'hui
prix du devis avait baissé, donc bonne nouvelle !
le site semble facile d'accès
j'espère qu emon espace client aussi</t>
  </si>
  <si>
    <t>05/06/2021</t>
  </si>
  <si>
    <t>romain-l-109126</t>
  </si>
  <si>
    <t xml:space="preserve">je suis satisfait du service 
les prix sont corrects
l'application est fonctionnelle et simple
l’adhésion se fait très rapidement en ligne 
a voir dans le temps </t>
  </si>
  <si>
    <t>04/04/2021</t>
  </si>
  <si>
    <t>daniel-l-108366</t>
  </si>
  <si>
    <t>Je suis satisfait du service les prix me conviennent
Toujours satisfait de Direct Assurances
Que dire de plus , j'aurais bien aimé avoir une remise du fait que pendant l'année 2020 , avec le Coronavirus , j'ai  tout juste fait 2000km ?</t>
  </si>
  <si>
    <t>leou-64613</t>
  </si>
  <si>
    <t>Je suis clientes depuis un moment, ma sœur ma conseiller et j’en suis très contente entre les prix très correcte et l’aimabaliter des conseillés. 
Les prestations sont très vite rembourser....</t>
  </si>
  <si>
    <t>betty-108363</t>
  </si>
  <si>
    <t>Je n'ai pas fait de comparatif avec les autres assurances question prix et prestations.
Les personnes de la mgp que j'ai eu jusqu'à présent sont agréables et de très bon conseils ce qui facilite les choses.</t>
  </si>
  <si>
    <t>pierrot-103898</t>
  </si>
  <si>
    <t>Très bonne relation téléphonique pour divers renseignement avec mon interlocutrice en date du 09/02/2021.
Personnel à l'écoute et compétent.
Je recommande</t>
  </si>
  <si>
    <t>09/02/2021</t>
  </si>
  <si>
    <t>monik-121268</t>
  </si>
  <si>
    <t>Reçu par MARIA qui a répondu avec une totale satisfaction sur les renseignements demandés sa  gentillesse  et aussi sa patience car je suis une personne âgée et pour moi l'ordinateur c'est compliqué</t>
  </si>
  <si>
    <t>26/06/2021</t>
  </si>
  <si>
    <t>beatrice-b-131077</t>
  </si>
  <si>
    <t>Je suis satisfait c'est une don't je suis contente
Je vous recommanderais autour de moi
Je donnerai votre site pour faire les devis et qu'il soit aussi satisfait que moi</t>
  </si>
  <si>
    <t>03/09/2021</t>
  </si>
  <si>
    <t>mchp-68938</t>
  </si>
  <si>
    <t>Quelque soit le changement l'assurance facturera plus, meme lorsqu'il s'agit d'un retour a la situation precedente qui etait donc moins cher. De plus l'assurance facture tout changement 15 euros d'avenant.</t>
  </si>
  <si>
    <t>27/11/2018</t>
  </si>
  <si>
    <t>sunpilot-90209</t>
  </si>
  <si>
    <t>Je prends une assurance parce qu'il m'en faut légalement une. Et certes pas avec l'idée d'avoir un accident. D'où ma recherche du meilleur tarif. Néanmoins lorsqu'il s'agit d'un véhicule neuf comme le cas, j'opte pour la tous risques. Après un accident pointé responsable, et avec une communication déplorable de leur part, je savais alors pourquoi je payais peu cher...</t>
  </si>
  <si>
    <t>04/06/2020</t>
  </si>
  <si>
    <t>mongas-136323</t>
  </si>
  <si>
    <t>Je remercie ABO de m'avoir dirigée pour transférer un document par internet. Très patient, agréable à parler je n'ai pas trouvé le temps long. Ma note est 10/10.</t>
  </si>
  <si>
    <t>06/10/2021</t>
  </si>
  <si>
    <t>adam-a-108646</t>
  </si>
  <si>
    <t xml:space="preserve">Je suis satisfait du service rapide et du prix accessible. Je viens d’assurer mon premier véhicule et je compte assurer mes futurs véhicules ici.     </t>
  </si>
  <si>
    <t>caroline62995-108369</t>
  </si>
  <si>
    <t xml:space="preserve">Je suis satisfaite de ma mutuelle. In peut les joindre facilement à la moindre question. Remboursement rapide, envoi d'un mail et d'un sms. Je ne pense pas changer de si tôt. </t>
  </si>
  <si>
    <t>sophie-s-132515</t>
  </si>
  <si>
    <t>Attestation scolaire reçue en moins de 2 minutes sur mon adresse mail. Super efficace !!!! Le site est ergonomique et facile à comprendre. Rien à ajouter</t>
  </si>
  <si>
    <t>niamor-98871</t>
  </si>
  <si>
    <t>depuis plus de 20ans je suis couvert par une mutuelle (Via santé) tombée dans le giron d'AG2R.J'avais choisi un contrat de moyenne couverture et finalement je n'ai rien changé au cours des  années j'avais peu de frais de  santé et mon épouse non plus .Les tarifications ,pour une couverture plus étendue montant vite "dans les tours" ,m'ont conduit à un calcul sur la durée et je me suis vite aperçu qu'il s'avérait rentable sauf dans le cas de dépassement d'honoraires à répétition, de conserver l'état actuel. Toutefois pour les lunettes par exemple nous savons nous contenter du basique ou de renouvellements peu fréquents, cela n'est qu'un exemple. Alors AG2R me va bien dans ces conditions pour l'instant.</t>
  </si>
  <si>
    <t>17/10/2020</t>
  </si>
  <si>
    <t>ewen-d-113823</t>
  </si>
  <si>
    <t>les prix sont attractifs et le service your drive est encore à tester afin de vous donner un avis plus complet mais le système est intérressant car adapter aux jeunes conducteurs</t>
  </si>
  <si>
    <t>15/05/2021</t>
  </si>
  <si>
    <t>rene-97031</t>
  </si>
  <si>
    <t>À fuir comme la peste 10 interlocuteurs et 10 conseils différent... J'y suis avec mes 2 fils pour 4 contrats auto et un habitation.... Attention c'est juste pour vous avoir qu'ils font un bon prix puis ça augmente en flèche..... J'attends mes nouveaux devis moins chers que chez eux et d'ici 15 jours on oublierai ce nom</t>
  </si>
  <si>
    <t>04/09/2020</t>
  </si>
  <si>
    <t>virginie-s-114963</t>
  </si>
  <si>
    <t>je suis satisfait de vos services, rapide, efficace moyens de paiement clairs prix compétitifs et attractifs, option sympa application facile d'accèes</t>
  </si>
  <si>
    <t>hirtz-p-115328</t>
  </si>
  <si>
    <t>très satisfaite du service client et au niveau prix qui reste raisonnable. Je conseillerai à d'autres personnes sans soucis. Avoir un interlocuteur qui comprenne nos besoins c est important</t>
  </si>
  <si>
    <t>30/05/2021</t>
  </si>
  <si>
    <t>gallard-l-114158</t>
  </si>
  <si>
    <t>Je suis satisfaite de la rapidité, et des contacts téléphonique rapide et clair.
J'ai assuré ma nouvelle voiture en à peine 10 minutes et tout les papiers était fait.</t>
  </si>
  <si>
    <t>18/05/2021</t>
  </si>
  <si>
    <t>rodride-l-115840</t>
  </si>
  <si>
    <t xml:space="preserve">je suis satisfait  prix satisfaisant rapidité pour souscrire je recommande cette assurance qui m'avait déjà été conseillé par des amis des collègues et des connaissances. </t>
  </si>
  <si>
    <t>patrick-d-124702</t>
  </si>
  <si>
    <t>je suis satisfait du service , rapidité , les prix que vous pratiquez , la publicité que vous faites est fondée , je vous conseillerai à d'autres personnes</t>
  </si>
  <si>
    <t>david-54358</t>
  </si>
  <si>
    <t>Refus de résilier le contrat de notre chat suite à son décès hier: ils nous demandent une attestation établie par le vétérinaire, alors que nous l'avons enterré sans consulter le vétérinaire. Nous avons pourtant déclaré son décès sur le répertoire national des puces (ICAD), mais visiblement cela ne leur suffit pas.</t>
  </si>
  <si>
    <t>desbois-n-112592</t>
  </si>
  <si>
    <t xml:space="preserve">Je trouve que c’est une assurance qui est la moins chère et la mieux
Je la conseille à tout mes proches et amis.
Une assurance pour les jeunes conducteurs </t>
  </si>
  <si>
    <t>nakaown-75504</t>
  </si>
  <si>
    <t>Tout est parfait pour moi ! 2 fois que je fais appel au service d'assistance, tout se déroule de manière fluide, et avec des interlocuteurs très aimables.</t>
  </si>
  <si>
    <t>30/04/2019</t>
  </si>
  <si>
    <t>anthony-j-121271</t>
  </si>
  <si>
    <t xml:space="preserve">Je suis satisfait le prix me convient et les services sont très bien et le personnel est très à l'écoute des clients et cliente je recommande vivement </t>
  </si>
  <si>
    <t>afonde6-60331</t>
  </si>
  <si>
    <t xml:space="preserve">      Augmentation abusive de 90% la seconde année bonjour, pire dans mon cas , 90% dalors que je suis passé de 1 a 0,95 en coefficient bonus/Malus
D'autres personnes ont subi tels  desagrements
Peut etre devrions nous signaler  cette fraude à 60 millions de consommateur
A fuir</t>
  </si>
  <si>
    <t>09/01/2018</t>
  </si>
  <si>
    <t>michel-p-127657</t>
  </si>
  <si>
    <t xml:space="preserve">Ok rapide correct j ai trouvé sur le net je recommande vivement le tarif est attractif et correspond à ce que je rechercher merci à votre service cordialement </t>
  </si>
  <si>
    <t>12/08/2021</t>
  </si>
  <si>
    <t>pvigier-57995</t>
  </si>
  <si>
    <t xml:space="preserve">Prélevé en double depuis plus de deux mois et pas d'intervention de Naoassur malgres plusieurs appels téléphonique et toujours rien ne se passe </t>
  </si>
  <si>
    <t>12/10/2017</t>
  </si>
  <si>
    <t>khalil-n-122508</t>
  </si>
  <si>
    <t xml:space="preserve">je suis très satisfaite du service. meilleurs prix sur le marché. je recommande fortement .à voir avec le temps surtour pour résoudre les problèmes en cas de sinistre. </t>
  </si>
  <si>
    <t>sylvia-s-109861</t>
  </si>
  <si>
    <t>Service satisfaisant
Bon accueil
Réactivité pour les réponses aux demandes
Seul bémol: client des DOM ne peuvent pas joindre un service de proximité;;;</t>
  </si>
  <si>
    <t>09/04/2021</t>
  </si>
  <si>
    <t>nadine-s-115007</t>
  </si>
  <si>
    <t>Les prix me conviennent et on verra si au niveau du service si cela reste également top car heureusement mon fils n'a pas eu affaire a une demande concernant un sinistre.</t>
  </si>
  <si>
    <t>27/05/2021</t>
  </si>
  <si>
    <t>sylvie-v-125538</t>
  </si>
  <si>
    <t>Dans l'immédiat je suis très satisfaite de ce service d'assurance sur le net.
Très rapide et simple d'utilisation.
Des prix très corrects, 
Maintenant à voir dans le temps.</t>
  </si>
  <si>
    <t>mhamed-h-135488</t>
  </si>
  <si>
    <t xml:space="preserve">Excellent pour vôtre service rapide efficace et clair je recommande vivement April 
Vos prix sont juste et clair j attend de recevoir mon contrat officiellement </t>
  </si>
  <si>
    <t>pro34-90432</t>
  </si>
  <si>
    <t>Je suis assuré au tiers depuis 01/2020, bonus 50%, j'ai eu un sinistre non responsable le 8 juin 2020 - auto percutée en stationnement sur parking, soit une  peinture éraflée, c'est trois fois rien, case n°1 uniquement coché sur  constat amiable, - le 10 juin 2020 je revends l'auto pour une voiture neuve et plus moyen d'assurer une voiture neuve, au motif curieux qu'un sinistre est en cours, responsabilité 0%, mais plus moyen d'assurer un nouveau véhicule que je viens d'acquérir !</t>
  </si>
  <si>
    <t>11/06/2020</t>
  </si>
  <si>
    <t>laurence-g-107149</t>
  </si>
  <si>
    <t xml:space="preserve">L'augmentation annuelle me parait un peu excessive .
Il doit y avoir plus de 20 ans que je n'ai pas eu le moindre problème avec mes voitures!!!!J'ai dit ce que j'avais à vous dire . Je ne vais pas écrire un roman </t>
  </si>
  <si>
    <t>laurence-u-115095</t>
  </si>
  <si>
    <t>Je suis satisfaite de vos services. Prise en compte immédiate des e-mails ainsi qu'une réponse immédiate aux demandes. Très bonne réactivité et à l'écoute des clients.</t>
  </si>
  <si>
    <t>cindy-w-108270</t>
  </si>
  <si>
    <t>Très satisfaite de l'accueil téléphonique rien a redire merci . Rapide efficace clair ,je recommanderais votre assurance à mes proches en plus on peu parrainé quelq'un et avoir un chèque très appréciable .</t>
  </si>
  <si>
    <t>27/03/2021</t>
  </si>
  <si>
    <t>guellati-f-128666</t>
  </si>
  <si>
    <t>Je suis satisfait de la rapidité de traitement et des prix proposés.. je recommanderai l'olivier assurance sans soucis...merci l'olivier assurance....</t>
  </si>
  <si>
    <t>jean-luc-j-126235</t>
  </si>
  <si>
    <t xml:space="preserve">Je suis satisfait on verra à l’utilisation . Première fois client chez Direct assurance j’attend de voir avant de me prononcer plus . Pouvoir tout faire en ligne est aussi un avantage </t>
  </si>
  <si>
    <t>delie-s-108116</t>
  </si>
  <si>
    <t>je suis satifaite des explications fournies et le devis bien detaillé , les conseillers tres a lecoute, prix a ma convenance je recommande cette assurance</t>
  </si>
  <si>
    <t>gontard-p-125021</t>
  </si>
  <si>
    <t xml:space="preserve">Prix très bien ce n'est pas le moins cher mais les prix sont très corrects en revanche le site Internet est compliqué à utiliser surtout si vous avez comme moi plusieurs adresses mail ! </t>
  </si>
  <si>
    <t>laura-m-92635</t>
  </si>
  <si>
    <t>Je suis satisfait du service, à voir au niveau des garanties pour la suite. Mais cela a l'air intéressant pour l'instant concernant le rapport qualité/prix</t>
  </si>
  <si>
    <t>29/06/2020</t>
  </si>
  <si>
    <t>bigfoot-fr-98299</t>
  </si>
  <si>
    <t>D'autres l'ont déjà dit hélas : A FUIR
frais d'entrée importants , rendements bruts faibles, frais de gestion importants, rendements nets insuffisants.
ajoutez : délais importants pour récupérer son placement.
A l'instant où j'écris cet avis, presque un mois s'est écoulé depuis ma demande initiale. Il est re demandé des pièces déjà fournies dont une actualisation des données client , pour moi inutile, car je m'en vais...
donc si vous n'êtes pas encore clients : N'INVESTISSEZ PAS
et si vous êtes déjà clients: ESSAYEZ DE VOUS SAUVER.</t>
  </si>
  <si>
    <t>SwissLife</t>
  </si>
  <si>
    <t>03/10/2020</t>
  </si>
  <si>
    <t>stephanie2304-108231</t>
  </si>
  <si>
    <t>Augmentation de 100€/an de ma cotisation alors que pas de sinistre... Refus d'un geste commercial. Je trouve exagérer la fidélisation des clients longue date....</t>
  </si>
  <si>
    <t>marco-70565</t>
  </si>
  <si>
    <t>Nous avons eu une conseillère à notre écoute disponible et très réactive. Ce qui n'est pas le cas chez certains assureurs comme axa par exemple. Nous avons été très bien conseillés afin de choisir une offre qui nous correspond. 
Les délais et le suivi de notre offre ont été très rapides. De plus la simplicité de l utilisation de l espace personnel est à la portée de tous. Je recommande et recommanderai cette assurance à tous.</t>
  </si>
  <si>
    <t>24/01/2019</t>
  </si>
  <si>
    <t>someone-99591</t>
  </si>
  <si>
    <t>Mon avis est loin d'être élogieux, une attention particulière lors de votre souscription, qui disparait lorsqu'on résilie, toutes les peines du monde pour être remboursé, et il faut appeler plusieurs fois pour être informé du pourquoi vous n'êtes pas remboursé.
Je n'ai jamais eu de gestion de sinistre, Dieu Merci, mais la gestion des réclamations est plus qu'à désirer</t>
  </si>
  <si>
    <t>fathi-c-126388</t>
  </si>
  <si>
    <t xml:space="preserve">Je suis satisfait des prix des qualités du service merci à direct assurance de son travail au prêt des usages je recommande au gens de passé par direct assurance </t>
  </si>
  <si>
    <t>zidboux-89607</t>
  </si>
  <si>
    <t>attention  faite tres attention a cette assureur je vous conseil sincerement de passer votre chemin 
j ai eu personellement enormement de probleme avec ses gens la.</t>
  </si>
  <si>
    <t>22/01/2021</t>
  </si>
  <si>
    <t>brice-59205</t>
  </si>
  <si>
    <t xml:space="preserve">J'ai la cinquantaine et un CRM à 50% depuis plusieurs années sans jamais d'accident. J'ai assuré ma voiture à la GMF pour la première fois en fevrier 2017 à la faveur d'une promotion. Malheureusement, un jour de forte pluie en juillet une dame freine brusquement je la touche par l'arrière et je me retrouve résilié par la GMF!! C'est la première fois que je suis résilié! 
Conclusion la GMF c'est de bonnes garanties qui ne servent qu'une fois!! Et en plus vous devenez suspects quand vous voulez vous assurer ailleurs car résilié!! Merci la GMF...   </t>
  </si>
  <si>
    <t>28/11/2017</t>
  </si>
  <si>
    <t>djipi952-57563</t>
  </si>
  <si>
    <t>Augmentation du tarif après un an d'assurance chez eux avec un sinistre (pare-brise cassé par une pierre tombé d'un véhicule croisé) bref 16 euros de plus par mois. je fais le nécessaire des demain pour aller voir ailleurs. Ils n'ont même pas pris la peine de me téléphoner pour me parler du nouveau contrat / tarif.</t>
  </si>
  <si>
    <t>24/09/2017</t>
  </si>
  <si>
    <t>francoise-b-106006</t>
  </si>
  <si>
    <t xml:space="preserve">je suis satisfaite du contact que j'ai eu avec une personne très agréable,qui à pris son temps pour bien m’expliquer la marche a suivre pour créer   mon assurance chez vous ,le seul regret que j'ai,vous aurais pu  faire un geste commercial étant donné que je suis revenu vers vous pour assuré ma voiture ,j'avais arrêter mon assurance car j'ai un véhicule de fonction ,et non pour une autre assurance .
</t>
  </si>
  <si>
    <t>laet-56418</t>
  </si>
  <si>
    <t>Je déconseille vivement la Matmut !</t>
  </si>
  <si>
    <t>01/08/2017</t>
  </si>
  <si>
    <t>karl-n-121561</t>
  </si>
  <si>
    <t>LE SERVICE EST BON, LES PRIX AUSSI, DANS L'ENSEMBLE TOUT EST BON, BONNE REACTIVITE, JUSTE UN BEMOL, LORS DE RESILIATION SUITE A UNE VENTE DE MON CONTRACT AUTO, J'AI RECU UNE LETTRE DE RELANCE D4UNE SOCIETE DE RECOUVREMENT QUI ONT FAIT GRIMPER LE MONTANT DE MA DETTE DE QUINZE EUROS, PLUTOT REGRETABLE</t>
  </si>
  <si>
    <t>lenomde-80242</t>
  </si>
  <si>
    <t>Pratiques innovantes à la GMF. Votre contrat est résilié unilatéralement dès le premier sinistre responsable! Et on se demande pourquoi de plus en plus de gens conduisent sans assurance!</t>
  </si>
  <si>
    <t>19/10/2019</t>
  </si>
  <si>
    <t>ana-80031</t>
  </si>
  <si>
    <t>Moyen et cher... faut souvent réclamer les remboursements. .. un retard de paiement entraîne des frais abusifs. .. a deconseiller fortement</t>
  </si>
  <si>
    <t>14/10/2019</t>
  </si>
  <si>
    <t>phil-139623</t>
  </si>
  <si>
    <t>J ai cherche à avoir une explication sur le montant de mon avenant au contrat, la personne au téléphone ne savait pas, son responsable m a donné une version sans que je puisse chercher à comprendre. Bref ils vont faire un courrier qui ne va pas changer grand chose.</t>
  </si>
  <si>
    <t>15/11/2021</t>
  </si>
  <si>
    <t>mangouma-nelson-e-121969</t>
  </si>
  <si>
    <t xml:space="preserve">Prix abordable. 
Satisfait pour le moment. 
Très Bon service client.
Site Pratique et facile à utiliser. 
Espérons que l’avenir nous réserve les meilleur. 
</t>
  </si>
  <si>
    <t>nathalie-v-111025</t>
  </si>
  <si>
    <t>C'est le meilleur des assurances en terme de qualité/prix. Je recommande avec un +++. Déclaration sinistre simple et prise en charge rapide. Que demande de mieux....</t>
  </si>
  <si>
    <t>20/04/2021</t>
  </si>
  <si>
    <t>peter-b-127887</t>
  </si>
  <si>
    <t>Simple et rapide d'utilisation pour l'instant. À voire pour le service client plus tard.
Demander 150 caractères d'avis pour un nouveau client est peut-être un peu trop ;)</t>
  </si>
  <si>
    <t>laetitia39-61254</t>
  </si>
  <si>
    <t>J'ai envoyé 2 LRAR pour signaler un accident non responsable et un complément d'information, sans nouvelles je finis par les appeler : ils ne sont pas au courant de mon sinistre !!! Nous avons 3 voitures chez eux mais non allons songer à chercher un assureur moins "décontracté".</t>
  </si>
  <si>
    <t>08/02/2018</t>
  </si>
  <si>
    <t>korri-72273</t>
  </si>
  <si>
    <t>j'ai demandé un devis habitation au téléphone, la personne l'a immédiatement enregistré comme contrat et mon compte a été aussitôt débité. J'ai trouvé moins cher ailleurs et je ne voulais pas de ce nouveau contrat, C'est de la vente forcée, c'est scandaleux!Je suis client, la Gmf a mes coordonnées bancaires et se sert comme bon lui semble; Malgré mes appels , je n'ai toujours pas été remboursé.Et il est très difficile de les joindre.</t>
  </si>
  <si>
    <t>19/03/2019</t>
  </si>
  <si>
    <t>lili-50779</t>
  </si>
  <si>
    <t xml:space="preserve"> accident de travil  2012 l expertise 30 % en 2015 et une autre en 2016 qui accord toujour 30 % la mgen a changer mon taux a moins de 20 % pour ne pas versé mais indemnité c'est la honte pour la mgen pas de droit pour les handicapés.</t>
  </si>
  <si>
    <t>30/12/2016</t>
  </si>
  <si>
    <t>bcmm80-79099</t>
  </si>
  <si>
    <t>je suis sociétaire MAAF depuis  plus de 30 ans. JSans accidents depuis plus de 20 ans, j'ai eu un bous à vie. Pas suffisant à mon sens comme motivation !e suis assuré pour une auto et une maison.</t>
  </si>
  <si>
    <t>10/09/2019</t>
  </si>
  <si>
    <t>rv-133952</t>
  </si>
  <si>
    <t xml:space="preserve">J'ai eu par téléphone une personne compétente. Je recommande sans souci avec des tarifs très intéressants. Je n'ai rien à ajouter de plus.
Merci beaucoup </t>
  </si>
  <si>
    <t>neonono-38818</t>
  </si>
  <si>
    <t>Si vous ne visez que du low cost et si vous êtes bien armés pour affronté leur usine à gaz de souscription...</t>
  </si>
  <si>
    <t>26/06/2017</t>
  </si>
  <si>
    <t>stephb-100505</t>
  </si>
  <si>
    <t xml:space="preserve">Je vois pas mal d'avis négatif sur Pacifica habitation.
Pour ma part, je suis entièrement satisfait par cette assurance.
A la suite d'un sinistre subi lors d’inondations en 2019 dans le Var, Pacifica a toujours répondu présent des les premiers moments, alors que nous étions dans une situation très précaire.
Déblocage de fonds de première urgence rapidement, payement des loyers d'une maison pour un relogement, car notre maison n'était plus habitable, l'intervention de l'expert s'est effectuée assez rapidement, dédommagement de frais vétérinaires, etc ..!
Il est vrai que parfois c'est un peu compliqué pour les joindre au téléphone et les réponses sont peu êtres un peu longues par mail, mais en situation de crise, il est vrai que nous ne sommes pas les seuls assurés.
En attendant Pacifica a toujours été à nos cotés.
Cet avis peut paraitre un peu dithyrambique, mais quand nous sommes mécontent, il faut le faire savoir, mais a l’inverse, il faut le dire aussi.
Une mention particulière a la personne qui a suivi notre dossier tout au long de la procédure.
Donc je suis pleinement satisfait par cette assurance.  </t>
  </si>
  <si>
    <t>flomrgte23-75689</t>
  </si>
  <si>
    <t>Par quoi commencer... Devoir les relancer X fois pour une remise attribuée par tel mais non visible sur le contrat, se faire raccrocher au tel (en étant courtois) me dire X fois que le pb est traitée alors que non</t>
  </si>
  <si>
    <t>07/05/2019</t>
  </si>
  <si>
    <t>al37-68984</t>
  </si>
  <si>
    <t>Quand il s'agit de donner de l'argent suite a une garantie, ça deviens difficile. Service très long , envois les clients voir un médecin conseil qui est souvent désagréable. Le temps de traitement des dossiers est très très long .</t>
  </si>
  <si>
    <t>28/11/2018</t>
  </si>
  <si>
    <t>marion-p-138647</t>
  </si>
  <si>
    <t>Je viens de souscrire à voir à l'usage... En espérant être satisfaite des sevices de cette mutuelle nous verrons avec le temps ce qu'il en ai... Je lai choisi car mon père l'a également</t>
  </si>
  <si>
    <t>30/10/2021</t>
  </si>
  <si>
    <t>stella-74-63910</t>
  </si>
  <si>
    <t xml:space="preserve">Comme beaucoup d'adhérent et dans d'autres assurances nous payons des cotisations à hauteur de certaines prestations. Hors ils sous-traitent !!!! Mon mari décédé était couvert pour le prêt immobilier à hauteur de 60%.
Ca fait 2 mois qu'on me balade on me dit que le virement est fait alors que la banque ne l'a pas reçu. De plus on m'annonce que je ne suis plus couverte sur le reste du prêt depuis la date du décès. On nous laisse même pas le temps de rebondir.... Du coup si il m'arrive quelque chose mes enfants devront se débrouiller.
</t>
  </si>
  <si>
    <t>04/06/2018</t>
  </si>
  <si>
    <t>sulyvan-h-128985</t>
  </si>
  <si>
    <t xml:space="preserve">Satisfait  et rapide d’avoir assuré ma voiture directement sur le site je recommande largement d’assuré la voiture aussi rapide efficace de là rapidité </t>
  </si>
  <si>
    <t>22/08/2021</t>
  </si>
  <si>
    <t>scalp77-87823</t>
  </si>
  <si>
    <t xml:space="preserve">viré au bout de 32 ans avec un bonus de 65 % Mais etatnt donné que je suis un bon client on me propose de me réassure dans l une de leur filiale avec 150 % d'augmentation de ma prime je vous laisse en juger </t>
  </si>
  <si>
    <t>fabichou-72137</t>
  </si>
  <si>
    <t>A fuir!! Le personnel d'Aviva Bordeaux est lamentable, des menteurs de première qui ont mené ma mère en bateaux depuis des semaines..et le dossier n'est pas encore solutionné.
Ma mère a souhaité retirer tous les fonds confiés à l'afer...mission impossible, les mensonges les plus ehontés sont proférés pour gagner du temps (de l'argent) c'est honteux!
Je ne recommande pas du tout, ni Aviva ni Afer..</t>
  </si>
  <si>
    <t>Afer</t>
  </si>
  <si>
    <t>vivi-63437</t>
  </si>
  <si>
    <t>TRES BIEN:::::::::::::::::::::::::::::::::::::::::::::::::::::</t>
  </si>
  <si>
    <t>20/04/2018</t>
  </si>
  <si>
    <t>jamel-m-134281</t>
  </si>
  <si>
    <t>Je suis satisfais de vos service et de vos prix  .merci merci merci merci merci merci je re viendrai vers vous pour dautres vehicules familliaux je verrai pour mon logement</t>
  </si>
  <si>
    <t>alexandra-d-113671</t>
  </si>
  <si>
    <t>Je suis satisfait du service cependant les prix ont énormément augmenté cette année + 138 euros sur la totalité de mes contrats! je vais revoir mes contrats à mon grand regret car pas de problème jusqu'ici.</t>
  </si>
  <si>
    <t>14/05/2021</t>
  </si>
  <si>
    <t>costil-g-107813</t>
  </si>
  <si>
    <t>bonjour je suis très satisfait de vos tarifs et de votre réactivité je vous joins les documents demandés ce jour, et vous recontacterai pour un autre contrat début avril.  
cordialement</t>
  </si>
  <si>
    <t>bled72-102473</t>
  </si>
  <si>
    <t>Je suis adhérent à la MGP depuis 1999. Depuis ce temps, même si de temps en temps j’ai pu douter sur le prix onéreux de ma cotisation mensuelle, je suis toujours adhérents à cette mutuelle.
Beaucoup trop de personnes pensent vouloir payer une mutuelle à très bas prix (5€) pour être remboursé à 1000 %.
Moi je pense que la cotisation proposée par la MGP reflète clairement le remboursement effectué.
Grâce à la MGP, je n’ai pas de frais à avancer lors de mes consultations chez un médecin ou à la pharmacie.</t>
  </si>
  <si>
    <t>12/01/2021</t>
  </si>
  <si>
    <t>laurent-l-133942</t>
  </si>
  <si>
    <t xml:space="preserve">Très bon conseil et sympathie des interlocuteurs. Rapidité de traitement des dossiers très appréciée, clarté des informations, amplitude horaire de contact très positif également </t>
  </si>
  <si>
    <t>rox-76744</t>
  </si>
  <si>
    <t>Très bonne formulaire, prix avantageux et bon conseil du conseiller</t>
  </si>
  <si>
    <t>13/06/2019</t>
  </si>
  <si>
    <t>nat88-67133</t>
  </si>
  <si>
    <t>Déjà 7 mois que la maison de ma soeur a pris feux  Et toujours rien de passé !!! Même pas capable de payer leurs loyer prévu dans les cas la !!! C'est inadmissible !!!</t>
  </si>
  <si>
    <t>27/09/2018</t>
  </si>
  <si>
    <t>hakim-d-132189</t>
  </si>
  <si>
    <t>A voir ! Récemment inscrit je ne peux me prononcer sur cette entreprise branche d’AXA assurance en ligne. Si il y a le moindre souci je reviendrai vers vous 
Bien cordialement 
Kimo</t>
  </si>
  <si>
    <t>nadine-71992</t>
  </si>
  <si>
    <t xml:space="preserve">Bonjour, J'ai transmis un devis dentaire le 6 novembre 2018 depuis j'attends  une réponse nous sommes le 8 Mars 2019 toujours rien..... J'ai téléphoné plusieurs fois et toujours la même réponse sans résultat "je fais une réclamation" en attendant je peux plus manger correctement. </t>
  </si>
  <si>
    <t>08/03/2019</t>
  </si>
  <si>
    <t>ghosbuster-77030</t>
  </si>
  <si>
    <t>J'ai demandé à déclarer un sinistre suite à une forte intempérie. Réponse : vos fenêtres ne doivent pas être étanches... "Faites passer quelqu'un"... J'ai demandé à ce qu'un expert passe. La réponse a été : "Madame, ça ce ne passe pas comme ça". 
J'ai ensuite envoyé un courrier en recommandé mais pas de réponse. Tout simplement scandaleux !</t>
  </si>
  <si>
    <t>22/06/2019</t>
  </si>
  <si>
    <t>moi-112963</t>
  </si>
  <si>
    <t xml:space="preserve">Vous avez un problème ? Et bien Débrouiller vous seul, les contacter... Sans commentaires et si vous les avez... jamais au courant de rien sauf si vous n avez pas payer et encore... Même pas d accord entre eux, dossiers non à jour et j en passe. </t>
  </si>
  <si>
    <t>paolo-l-112894</t>
  </si>
  <si>
    <t xml:space="preserve">les prix qui étaient compétitifs augmentent régulièrement même sans accident de ma part depuis plus de 10 ans pour mes trois voitures (maintenait elles sont 2 après avoir vendu une) </t>
  </si>
  <si>
    <t>sophie-66928</t>
  </si>
  <si>
    <t xml:space="preserve">Je ne conseillerai plus cette assurance. Sociétaire depuis plus de 30 ans cette assurance est devenue du grand n'importe quoi. Les conseillers de la centrale téléphonique ne sont du tout à la hauteur. Au final devons nous rendre à l'agence qui est à 25 Kms de chez nous. De plus à l'agence aucun geste commercial, sommes traités comme des numéros sans considération des 30 années de sociétaires avec tous les contrats et 2 assurances vie. Nous allons prospecter d'autres assurances. Même si il n'y aura pas plus de considération nous serons nouveaux clients et aurons moins un sentiment de négligence. Un minimum de respect pour la fidélité serait de bon ton. </t>
  </si>
  <si>
    <t>18/09/2018</t>
  </si>
  <si>
    <t>lili-75390</t>
  </si>
  <si>
    <t>Si je pouvais mettre 0 étoile je l'aurais fait car vraiment une assurance telle qu'elle ne devrais même pas exister c'est vraiment se moquer des gens.
Je pars en vacances à 300 km de chez moi un pneu éclaté j'ai de la chance je n'ai heurté aucun autre véhicule je suis seule avec mes trois enfants je dois les mettre en sécurité j'appelle l'assurance qui me dis gentiment qu'un pneu éclaté n'est pas prise en charge que la dépanneuse n'est pas prise en charge non plus et le rapatriement n'est pas prise en charge non plus et qu'une location de voiture ne sera pas prise en charge non plus donc en fait je paye une assurance pour rien du tout rien et prise en charge je vous explique même pas la note salée que j'ai eu vraiment à fuir de plus les personnes sont très malpoli est mal élevé dans ce service à fuir absolument
Le conseiller que j'ai au téléphone ce jour-là lors de notre accident me dit d'appeler les gendarmes et tu me raccroche au nez en me disant vous avez qu'à lire les petites lignes désolé j'ai l'assurance la plus chère chez vous</t>
  </si>
  <si>
    <t>25/04/2019</t>
  </si>
  <si>
    <t>josip-p-122600</t>
  </si>
  <si>
    <t xml:space="preserve">Le prix satisfesant , a voir dans le temps si il n’yas pas possibiliter d’avoir plus de choix en terme de assurance pour le motard en outre bien moin cheres que d’autre assurance ! </t>
  </si>
  <si>
    <t>helln-87733</t>
  </si>
  <si>
    <t>Apres 3 sinistres non responsables (bris de glace et un suraccident dc 2 sinistres d'un coup), la gmf m'a bien fait comprendre que ma présence chez eux devenait gênante. J'ai donc aussi eu droit à l'assurance joker assur qui vous fait payer  50% de plus chaque mois.  Bref, je peux comprendre qu'ils essaient de se protéger lorsqu'un client leur coute plus d'argent qu'il ne leur en apporte. Là où j'ai vraiment douté c'est sur la partie expertise de la voiture. Le cout des réparations étant trop élevé l'expert a jugé plus logique de considérer que ma voiture était "epave". Et il a donc évalué ma voiture à 12500 euros. Je précise quand même que cette voiture avait été achetée neuve 21349 euros 5 mois et 10 jours plus tôt. J'ai une bien maigre expérience des voitures mais je me doute tout de même qu'une voiture ne perd pas presque la moitié de sa valeur en à peine 6 mois. La question est: y a t'il parfois existence d'arrangements entre experts et gmf afin de reduire les remboursements ?</t>
  </si>
  <si>
    <t>28/02/2020</t>
  </si>
  <si>
    <t>ooze-55714</t>
  </si>
  <si>
    <t xml:space="preserve">Totalement satisfaite ! je n'ai rien à redire... tarif top, service client réactif et réponse email rapide. </t>
  </si>
  <si>
    <t>29/06/2017</t>
  </si>
  <si>
    <t>nadia1991-57838</t>
  </si>
  <si>
    <t>Bonjour, 
D'abord il faut savoir que les gens qui mettent des commentaires négatifs ne sont pas tjrs des " insatisfaits de la vie ou des jamais contents' voilà.
Je travaille comme téléconseillère et je sais très bien ce qu'un conseiller doit dire et ne pas dire.
J'ai appelé deux fois pour souscrire à une assurance auto chez eux, la première avant hier et la deuxième et dernière aujourd'hui.
Personnel désagréable,cela m'est rarement arrivé surtout pour un premier contact.
La dame que j'ai eu s'est vite excitée alors que je n'appelais ni pour contester ni pour me plaindre mais bien pour me renseigner et souscrire , j'ai dû lui dire" calmez vous madame " et le monsieur que j'ai eu aujourd'hui était froid, me reprochait limite pour quoi je posais certaines questions.
Dates et heures de mes appels: 
1. 2 Octobre 11h44
2. 5 Octobre 16h30
Vos réponses aux commentaires sont: Oui les conversations sont réécoutées, excusez moi votre personnel est froid et limite méchant donc commencez par revoir votre service client car franchement ça ne donne pas envie.
Je pense que je vais aller voir un peu plus cher et vous éviter.
Merci.</t>
  </si>
  <si>
    <t>peyroche-a-139305</t>
  </si>
  <si>
    <t>Je suis satisfait du prix mais je trouve ça domage que le tarif augmente chaque année mais sinon je suis assez satisfait dans l’ensemble et j’espère avoir des remises vu que tous mes véhicules sont assurés chez vous</t>
  </si>
  <si>
    <t>09/11/2021</t>
  </si>
  <si>
    <t>priscilla-d-130436</t>
  </si>
  <si>
    <t xml:space="preserve">Assurance super très bien renseigné et très rapide je recommande fortement cette assurance  recherche rapide et surtout très efficace pour chaque renseignement </t>
  </si>
  <si>
    <t>silvio-s-124656</t>
  </si>
  <si>
    <t xml:space="preserve">je suis satisfait du service et satisfait du prix 
merci pour votre rapidité et je compte sur vous pour me transmettre la carte verte ou plus vite par courrier merci  </t>
  </si>
  <si>
    <t>hauchecorne-a-139259</t>
  </si>
  <si>
    <t xml:space="preserve">Bonne compréhension merci 
A l’écoute des clients , rappel automatique , très content du service et assurance proposé 
Vous m’avez était recommandé et j’en suis très satisfait </t>
  </si>
  <si>
    <t>calieca-58528</t>
  </si>
  <si>
    <t xml:space="preserve">Nous avons souscrit à la meilleure protection juridique qui couvre jusqu'à 25000€, lors de notre construction, un des fournisseurs nous a donné un mauvais béton, nous sommes donc en procédure judiciaire, à chaque fois que nous avons des frais d'avocats, la maif refuse de nous aider financièrement , nous sommes loin du plafond garantie, sous prétexte qu'on est dans le même cadre de l'expertise, mais l'avocat doit bien être payé, nous venons encore de régler 1440€ et là aucune aide! De fausses excuses sont avancées comme c'est la même facture par exemple alors que le numéro est différent... </t>
  </si>
  <si>
    <t>zarno2f-80307</t>
  </si>
  <si>
    <t>Merci à Lamia pour avoir pris le temps de faire quelques manip avec moi au téléphone et pour ses explications claires et efficaces une pro merci je recommande bonne fin de journée à tous</t>
  </si>
  <si>
    <t>22/10/2019</t>
  </si>
  <si>
    <t>pain-p-121851</t>
  </si>
  <si>
    <t xml:space="preserve">Très bien . 
Accueil téléphonique  tres positive très agréable !!! Interlocuteur à l écoute de nos besoin ! 
Assurance abordable .  
</t>
  </si>
  <si>
    <t>ahmed9-52481</t>
  </si>
  <si>
    <t xml:space="preserve">Bonjour,
Mon conseil fuyez cette mutuelle:
Aujourd'hui cela fait 2 mois et demi que mon fils est né (07 décembre 2016 )et harmonie mutuelle ne veut pas honorer le contrat et verser  la prime de naissance.
Pire encore il ne veulent pas inscrire mon fils dans le contrat.la société où je travaille a résilié le contrat fin 2016.
Du coup il ne veulent plus honorer le contrat qui les lient jusqu'à fin décembre 2016.
Je les ai relancé plusieurs fois.
La résponsable RH les as relancé plusieurs fois en vain.
</t>
  </si>
  <si>
    <t>16/02/2017</t>
  </si>
  <si>
    <t>camille-r-134006</t>
  </si>
  <si>
    <t xml:space="preserve">Rapide et parfait !
C'est la deuxième fois que nous faisons appel à Zen-up, et nous le referons sans hésiter.
Les offres sont bien plus compétitives et bien moins complexe, tout en numérique </t>
  </si>
  <si>
    <t>floriane-l-112338</t>
  </si>
  <si>
    <t xml:space="preserve"> Pas besoin de se déplacer. Service rapide et efficace. Tout se fait en ligne. Économie de 50%.J' ai découvert ZEN'UP par un reportage à la télévision. </t>
  </si>
  <si>
    <t>paula-59693</t>
  </si>
  <si>
    <t>Il faudrait un barème "zéro" étoile pour noter axa :  en l'espace de seulement un an de contrat (assurance auto et compte bancaire), j'ai pu constater la plupart des griefs reprochés à cette compagnie sur les forums : perte de dossier, code d'accès jamais envoyé, échéancier transmis hors délai (ce qui complique le changement d'assureur), contact téléphonique impossible, prélèvement de frais injustifié.... Heureusement, j'ai réussi à fuir axa rapidement. Aujourd'hui, je compatis au sort de ceux qui en sont encore prisonniers.</t>
  </si>
  <si>
    <t>14/12/2017</t>
  </si>
  <si>
    <t>mechara-s-113198</t>
  </si>
  <si>
    <t xml:space="preserve">Simple et efficace, je cherchais une assurance succeptible de m'assurer rapidement et avec efficacité, c'est fait
Seul bémol, les prix sont un peu chers
</t>
  </si>
  <si>
    <t>diane--111863</t>
  </si>
  <si>
    <t>Après 5 semaines toujours pas de remboursement des soins dentaires et pas de réponse au devis dentaire depuis 6 semaines le top pour pouvoir se faire soigner</t>
  </si>
  <si>
    <t>27/04/2021</t>
  </si>
  <si>
    <t>sebb2o-67749</t>
  </si>
  <si>
    <t>EVITEZ! assuré depuis 15 ans sans sinistre déclaré, je retrouve mon véhicule embouti en rentrant du travail sur un parking (en chantier), la maif mandate un expert qui me dit que je mens et que c est moi qui est embouti mon véhicule tout seul!!! (sachant que je suis assuré tout risque et donc couvert également si j emboutis mon vehicule tout seul...) résultat: pas d indemnisation malgres l envoie de mail avec photos du chantier et présence de manitou, palettes etc
De plus aucun renseignement ne m a été transmis pendant la procédure c est toujours moi qui appelait pour le suivi du dossier.
Moi qui comptait rapatrier mon assurance habitation chez eux, et ben c est raté!!
Bref la MAIF est une bonne assurance tant qu il ne vous arrive rien...</t>
  </si>
  <si>
    <t>16/10/2018</t>
  </si>
  <si>
    <t>marcf-95949</t>
  </si>
  <si>
    <t>Excellent rapport qualité prix
Service client irréprochable 
Site internet et espace personnel très pratiques
Très professionnel
Facilité de gestion de contrats
Avantages multi-contrats</t>
  </si>
  <si>
    <t>j'en-ai-pas-138387</t>
  </si>
  <si>
    <t xml:space="preserve">J'ai très bien été reçu téléphoniquement par Aminata, qui m'a , je pense, très bien conseillée suite à une tromperie dont j'ai été victime sans me douter une seule seconde. Je ne peux pas donner de détails sur les prix de l'assurance que j'ai souscrit malgré moi. J'envoie un recommandé à ce jour.
Merci Aminata pour m'avoir donné la marche à suivre pour me sortir de cet imbroglio.
</t>
  </si>
  <si>
    <t>27/10/2021</t>
  </si>
  <si>
    <t>pattsi-50132</t>
  </si>
  <si>
    <t>plateforme téléphonique générale inefficace et attente longue, renseignements contradictoires.</t>
  </si>
  <si>
    <t>10/12/2016</t>
  </si>
  <si>
    <t>mura-c-126052</t>
  </si>
  <si>
    <t>très satisfait du service proposer je recommanderais votre compagnie d assurance a mes amis et famille je vous remercie de votre confiance cordialement mr mura</t>
  </si>
  <si>
    <t>02/08/2021</t>
  </si>
  <si>
    <t>mc-92725</t>
  </si>
  <si>
    <t>Incroyable ment nulle</t>
  </si>
  <si>
    <t>30/06/2020</t>
  </si>
  <si>
    <t>dubois-b-129216</t>
  </si>
  <si>
    <t>J'ai eu beaucoup de mal a faire le dossier qui est compliqué, compliqué aussi de fixer des RDV et d'avoir les infos. Maintenant que tout est fait j'attends depuis des mois que les fonds soient versés sur mon assurance vie et ils sont toujours sur mon compte courant.</t>
  </si>
  <si>
    <t>Carac</t>
  </si>
  <si>
    <t>dpz-86404</t>
  </si>
  <si>
    <t>Service par téléphone : 100/100 satisfait</t>
  </si>
  <si>
    <t>27/01/2020</t>
  </si>
  <si>
    <t>sylvain-l-126898</t>
  </si>
  <si>
    <t>Je suis satisfait du service mais merci de faire le nécessaire Pour arrêter mes anciens contrats  Cela serait bien d'avoir un interlocuteur le week-end pour pouvoir assurer des véhicules</t>
  </si>
  <si>
    <t>06/08/2021</t>
  </si>
  <si>
    <t>antonio-l-109678</t>
  </si>
  <si>
    <t>Le Tarif des options et des packs sont trop variables, en l'espace de peut de temps 2,00 euros supplémentaires pour une même demande sur le Zéro Franchise !!</t>
  </si>
  <si>
    <t>helene-51310</t>
  </si>
  <si>
    <t>Prix défiant la concurrence, rapidité d'exécution au niveau du service client, je recommande vivement.</t>
  </si>
  <si>
    <t>14/01/2017</t>
  </si>
  <si>
    <t>youssef-c-132238</t>
  </si>
  <si>
    <t xml:space="preserve">Souscription rapide et efficace. Je suis satisfait pour le moment et si cela perdure je recommanderais cette assurance à mes proches.
Merci pour mon parrain et pour moi même. 
</t>
  </si>
  <si>
    <t>nat-61052</t>
  </si>
  <si>
    <t xml:space="preserve">Sinistre dû à 1 inondation depuis aout 2017.
Carrelage fissuré... toujours pas de reponse pour la prise en charge après 6 mails envoyés.  Avec photos à l appui.  Ils pnt repondu au début en demandant toujours plus de preuves sans vouloir faire passer d expert. Et aucune reponse à mes 3 derniers mails avec les photos demandées </t>
  </si>
  <si>
    <t>Crédit Mutuel</t>
  </si>
  <si>
    <t>maiite-122726</t>
  </si>
  <si>
    <t xml:space="preserve">je remercie Émeline de son accueil et de son efficacité  concernant mon dossier et de ma demande résolu immédiatement , personne très  professionnelle merci
</t>
  </si>
  <si>
    <t>sid-ali-a-109763</t>
  </si>
  <si>
    <t xml:space="preserve">JE SUIS TRES SATSIFAIT DE VOTRE OFFRE ET JE LES PROPOSER A DES AMIS QUI VEULENT ASSUREE LEURS VEICHULES VOTRE POINT FORT C'EST LES AVANTAGES QUE VOUS FOURNISSIER 
CORDIALEMENT AMOUR </t>
  </si>
  <si>
    <t>seiller-v-139670</t>
  </si>
  <si>
    <t xml:space="preserve">je suis contente de mon tarif mensuel, ainsi que des garanties prises et bon accueil téléphonique auprès des conseillers et ravie de leurs aides et informations. </t>
  </si>
  <si>
    <t>thobie-d-115869</t>
  </si>
  <si>
    <t>Je suis satisfait du service. Le contact téléphone m’a permis d’en apprendre davantage sur les différents contrats que je pouvais obtenir et ainsi souscrire au meilleur.</t>
  </si>
  <si>
    <t>plok510-59399</t>
  </si>
  <si>
    <t xml:space="preserve">Client depuis 20 ans pour 3 véhicules et une moto 125. Jamais de sinistre. Il y a 2ans, ils m'augmentent l'assurance de la moto, en m'imposant une prime de dépannage 0Km qui faisait 45% de l'ensemble. Je leur signale que je n'en veux pas: impossible !! (et très désagréables, en plus).
Bye, bye la GMF, je donne mes 2000 Euros ailleurs (j'ai économisé 300E en passant!). Et je ne regrette rien quand je vois comment ils jettent les clients, même non responsables. </t>
  </si>
  <si>
    <t>05/12/2017</t>
  </si>
  <si>
    <t>famespi59-51145</t>
  </si>
  <si>
    <t xml:space="preserve">Pour être transparente, je travaille à la concurrence mais ai choisi de m'assurer chez Gmf grâce au prix avantageux pour les fonctionnaires (parents de mon conjoint). Je suis plutôt loyale à mon entreprise mais je dois dire  la gestion de mon sinistre avec GMF s'est résolu en moins de temps qu'il ne faut pour dire "ouf !". Le centre de gestion de Clermont-Ferrand à été parfait, patient et m'ont tout bien expliqué même si je connais globalement le fonctionnement. </t>
  </si>
  <si>
    <t>fabien-53358</t>
  </si>
  <si>
    <t>Avec direct assurance on paye juste pour avoir le précieux papier vert qui est obligatoire. N'espérez pas obtenir quoi que ce soit avec le service client, les opérateurs sont bêtes et discipliné et se contenteront de répéter bêtement la même chose plutôt que de vous apporter une solution. Je suis chez cette compagnie uniquement parceque c'est obligatoire d'être assuré .</t>
  </si>
  <si>
    <t>17/03/2017</t>
  </si>
  <si>
    <t>nefertiti75-59554</t>
  </si>
  <si>
    <t>J'ai appelé pour avoir des infos sur Direct Assurance. On m'a promis de m'envoyer un devis par e-mail. Depuis, RIEN !!! La pub est alléchante mais derrière, il n'y a rien !!!!!</t>
  </si>
  <si>
    <t>11/12/2017</t>
  </si>
  <si>
    <t>mafa64-81850</t>
  </si>
  <si>
    <t>Je galere pour récuperer une rente vie depuis 07/2019. Messages sans réponses. Ai contacté service litige qui s'est apercu d'une faille dans leur process . pour dire le manque de sérieux ...à part pour encaisser les cotisations</t>
  </si>
  <si>
    <t>12/12/2019</t>
  </si>
  <si>
    <t>gregory--m-131569</t>
  </si>
  <si>
    <t>Les prix changent selon le site utilisé.Les tarifs sont accessibles à tous les budgets. Je pense que c'est une bonne assurance. J'ai déjà eu un contrat chez eux et tout c'est bien passé.</t>
  </si>
  <si>
    <t>06/09/2021</t>
  </si>
  <si>
    <t>theo-b-134990</t>
  </si>
  <si>
    <t xml:space="preserve">j'ai trouvé l'interface très simple et bien organisé facile d'accès et très intuitif les prix sont correct et le service vraiment très bien je conseil vraiment </t>
  </si>
  <si>
    <t>29/09/2021</t>
  </si>
  <si>
    <t>melanie-26-60152</t>
  </si>
  <si>
    <t>Nous avons assuré un véhicule de camping il y'a 3 ans . A l'époque , nous avions bien précisé que nous souhaitions être assurés contre les vols , car nous avions du matos de camping de grande valeur . Après 2 ans d'assurance sans souci , on nous forcé une portière et dérobé notre matériel , plus de 600€ de perte . Évidemment , la maif ne rembourse rien , malgré la plainte au commissariat pour le vol a la roulotte . 
Payant 927e d'assurance par an , nous comptons changer d'assurance sous peu . Autant payer moins cher si rien n'est remboursé . Quel dommage pour une assurance sois disant militante ...</t>
  </si>
  <si>
    <t>03/01/2018</t>
  </si>
  <si>
    <t>frenzy-98592</t>
  </si>
  <si>
    <t>Bjr a tous,on ma detruit ma toyota prius donc resultat des courses suis pas en tors,suis assurer tous risque,vhl super entretenue recement avec facture a l appuie,un expert de chez eux en carton ma coter ma voiture mdr de 5000eur on est passer a 8500eur pour finir a 8700eur sauf que mon vhl est coter 9100euros est c vhl la sont surcotter donc je leur est lancer une reclamation concernant le prix de mon vhl fo pas deconner avec les victimes de la route,la moindre des chose c de les dedommager corectement financierement je vous t iendrais informer de la suite via les reseaux sociaux mes abonnees seront surpris de la GMF,et au pire je v faire u ne video pour montrer la realite merci a tous bonne journee.</t>
  </si>
  <si>
    <t>10/10/2020</t>
  </si>
  <si>
    <t>kristin-85364</t>
  </si>
  <si>
    <t>Suite a plusieurs recommande apres le 16 aout et plusieurs appel , aucune reponse je n ai aucune reponse alors que mon contrat prevois  une allocation a partir du 1er septembre 2009</t>
  </si>
  <si>
    <t>31/12/2019</t>
  </si>
  <si>
    <t>paul-alexandre-h-123455</t>
  </si>
  <si>
    <t>Abondé par des demandes d'avis je réponds pour avoir la paix Abondé par des demandes d'avis je réponds pour avoir la paix Abondé par des demandes d'avis je réponds pour avoir la paix Abondé par des demandes d'avis je réponds pour avoir la paix</t>
  </si>
  <si>
    <t>15/07/2021</t>
  </si>
  <si>
    <t>stephane-e-139326</t>
  </si>
  <si>
    <t>etant deja passé par april moto pour un autre deux roues j’ai ete agreablement surpris par leur professionalisme. 
merci encore et bonne continuation.</t>
  </si>
  <si>
    <t>10/11/2021</t>
  </si>
  <si>
    <t>sophie-c-129381</t>
  </si>
  <si>
    <t>simple et rapide, pratique pour prendre une assurance auto. bonne ergonomie du site et bonne compréhension du contenu. Je recommanderai ce site à des amis.</t>
  </si>
  <si>
    <t>25/08/2021</t>
  </si>
  <si>
    <t>doraphe-121409</t>
  </si>
  <si>
    <t>Je déconseille fortement, l'assurance pour les animaux. Elle ne couvre quasiment rien si vous prenez le contrat le plus économique. 
Je n'ai pas reçu de lettre pour le renouvellement de mes contrats à la date anniversaire. Et lorsque je m'en suis aperçue il était trop tard !
Ma demande de résiliation a été refusée car le délais était dépassé. 
En cas de demande de résiliation anticipée, aucun arrangement possible. Ils préfèrent garder un client mécontent engagé à nouveau pour une année supplémentaire, sachant qu'il partira certainement après !</t>
  </si>
  <si>
    <t>emile-80275</t>
  </si>
  <si>
    <t>A déconseiller, ce sont des vendeurs de rêve!! Très fort pour encaisser les cotisations et raconter des histoires de polichinelle pour nous faire signer des contrats. Mais après un sinistre, il y a plus personne. Ça joue sur des mots et des dates. A éviter mes chers amis professionnels.</t>
  </si>
  <si>
    <t>Mapa</t>
  </si>
  <si>
    <t>multirisque-professionnelle</t>
  </si>
  <si>
    <t>21/10/2019</t>
  </si>
  <si>
    <t>nicolas-p-113417</t>
  </si>
  <si>
    <t>Pour l'instant tout va bien, nous verrons si problème se pose en cas de besoin, l'accueil téléphonique très bien passé et les renseignements sont complets</t>
  </si>
  <si>
    <t>alban-l-133490</t>
  </si>
  <si>
    <t>Je suis satisfait du service proposé. La souscription est simple et rapide et les prix me conviennent. Je recommanderai direct assurances à mon entourage</t>
  </si>
  <si>
    <t>19/09/2021</t>
  </si>
  <si>
    <t>pissarel-106335</t>
  </si>
  <si>
    <t>J’ai envoyé 3 demandes de remboursement (le 19 janvier, le 27 janvier et le le 01 février 2021),
et je n'ai toujours pas eu de remboursement. De ce fait j.ai envoyé une demande de résiliation le 19 février par mail et le 11 mars 2021 par courrier. Plus aucune réponse via internet. J’ai tout de même réussi à avoir quelqu’un au téléphone qui m’a donné une autre adresse mail mais sans aucun effet. J’ai l’impression que cette société est en difficulté financière.
En tout état de cause les délais de remboursement sont beaucoup trop longs et de surcroît il n’est pratiquement plus possible d’avoir des échanges par mail car nous n’obtenons aucune réponse.
Je vais prospecter ailleurs.</t>
  </si>
  <si>
    <t>12/03/2021</t>
  </si>
  <si>
    <t>monette-111876</t>
  </si>
  <si>
    <t xml:space="preserve">sociétaire Maif depuis 50 ans, pour tous nos contrats, habitation, véhicules etc, attachée à l'esprit mutualiste, je suis tellement déçue par la manière dont vient d'être traité un dossier de sinistre, par le manque d'écoute, que j'envisage de changer de mutuelle.
Les conclusions du cabinet d'expert pour un dégâts des eaux sont tellement rigides, fondées sur des définitions sujettes à caution, utilisées jusqu'au comble de l'absurde pour rejeter une prise en charge.
Le montant du sinistre n'est pas important, 4200 euros, mais j'en fais aujourd'hui une affaire de principe. 
En effet, j'estime que la Maif a perdu son esprit mutualiste. 
Je ne trouve plus l'écoute, la bienveillance que j'ai connues.
Je vais essayer de contacter d'autres mutuelles, afin de comparer les montant de leurs contrats d'assurances (et leur  transmettre  les éléments du dossier dégât des eaux afin d'avoir leur avis sur la manière dont il est traité par la Maif.)
 </t>
  </si>
  <si>
    <t>jesyvalth-61832</t>
  </si>
  <si>
    <t xml:space="preserve">Plus de 2 mois que on me fait tourner en rond pour un rachat partiel. personne me tiens informé et quand j'appelle on me demande toujours des nouveau papiers. après soit disant que le virement avais été fait !! 15 jours après toujours rien je rappelle et on me dit que il faut un RIB de la société alors que le contrat est à mon nom !! entre temps j'ai engagé des depenses et suis dans le rouge a cause de swisslife. jai envoyé le nouveau RIB mais toujours rien à ce jour. j'avais eu un problème similaire il y à 2 ans suite à une succession. profondément déçu.  </t>
  </si>
  <si>
    <t>19/03/2018</t>
  </si>
  <si>
    <t>annick-67347</t>
  </si>
  <si>
    <t>je suis cliente chez neoliane depuis plusieursannee aintenantet je suis sastifaite du service suivi client absolument et de l ensembbe  sutout sur la  le professionlisme l ecoute et la comprhention</t>
  </si>
  <si>
    <t>bigoud-jms-109839</t>
  </si>
  <si>
    <t>A fuir absolument, communication totalement inexistante, aucune réponse aux mails, incompétence totale du service commercial, mon dossier n'est pas traité depuis novembre 2020 malgré mes appels téléphoniques. Et pourtant, il ne s'agit que d'un changement de bénéficiaire mal enregistré suite à erreur du commercial qui ne répond  plus non plus !
C'est lamentable ! Si j'avais le choix, je ne mettrai aucune étoile !</t>
  </si>
  <si>
    <t>proussel-62133</t>
  </si>
  <si>
    <t>Voiture volée, procédure assez simple jusqu'à ce que je reçoive la VRADE de "l'expert". Prix ridiculement bas (envoyé à peine 1h après qu'on m'annonce que ça sera fait et basé sur 8 annonces le bon coin qui n'étaient même avec la même finition), je demande à négocier, là ça devient le calvaire. ils ne sont jamais disponible au téléphone, ne répondent pas aux mails. L'expert doit rappeler mais il n'appelle jamais. j'envoie un dossier exhaustif et claire montrant clairement que la VRADE est en dessous du marché, après des jours de galère pour obtenir une réponse claire on me dit juste "non, nous n'allons pas réestimer la VRADE". On m'encourage alors à faire une contre expertise. Ils assument que la plupart des gens ne se lancerons pas dans ces démarches longues et coûteuses et sont sur de gagner de l'argent statistiquement... Pratiques commerciales abusives, aucune écoute, aucun dialogue, remboursement ridicule</t>
  </si>
  <si>
    <t>08/03/2018</t>
  </si>
  <si>
    <t>dominique-m-122243</t>
  </si>
  <si>
    <t xml:space="preserve">Satisfait des services , oui .
Je regrette quand même qu'il n'y ai pas une petite récompense pour les clients fidèles, de plus , qui regroupe un max de contrats chez vous ( 2 assurances voitures , contrat habit. , contrat famille .. ).
Et sans sinistre depuis très longtemps ;) 
Cordialement Mr Maillard
</t>
  </si>
  <si>
    <t>03/07/2021</t>
  </si>
  <si>
    <t>jean-louis-g-106410</t>
  </si>
  <si>
    <t>Pour l'instant je ne peu n'être que satisfait du prix. Pour l'assurance je verrais à l'usage et quoiqu'il en soit après le 01 Avril 2021.
Par contre votre demande d'avis est, pour moi déplacé puisque j'en suis seulement à la souscription. Je peu ajouter que l'hôtesse STEPHANIE a été agréable et sympathique.</t>
  </si>
  <si>
    <t>vincemar-70768</t>
  </si>
  <si>
    <t>Bonjour !
Je tente de poster mon avis sur la MACIF ici, puisque je vois à la lecture des autres avis, qu'il semble y avoir une activité et réponse de la MACIF.
Au mois de juillet 2018, mon véhicule a été fortement endommagé à cause de l'incendie complet d'un véhicule qui était garé à coté du mien. Le véhicule qui a brulé a été identifier (photos) et j'ai donc porté plainte + fait une demande de prise en charge de ce sinistre.
Après une gestion calamiteuse du dossier pour la remise en état de mon véhicule, je suis toujours en attente du remboursement de la franchise de 700 euros.
Après de nombreux appels téléphoniques qui sont restés sans aucune volonté de réponse de la MACIF, je leur ai écris 2 courriers en recommandé avec AR pour faire ma réclamation.
A ce jour, je n'ai toujours AUCUNE REPONSE.
Qu'en pensez-vous ?</t>
  </si>
  <si>
    <t>30/01/2019</t>
  </si>
  <si>
    <t>thierry-76540-101156</t>
  </si>
  <si>
    <t>bonjour ayant vendu ma moto le jour mème je le déclare a l assurance pour arréter le contrat !
3 mois après je m aperçois qu ils continuait a prélever ! j ai bloqué le prélèvement automatique et réclamé le remboursement des 3 mois !
5 mois aprés je n était toujours pas remboursé mais en plus ils me réclamaient les paiements depuis que j ai bloqué les prélèvements !! j ai téléphoné au siège de AXA pour expliqué mon mécontentement de l agence de AXA cany barville !!!
le résultat ne c est pas fait attendre car ils ont du prendre une soufflante du siège de AXA  1 jour plus tard l agence AXA de cany barville ma téléphoné en me précisant que dans 48 h je recevrais le remboursement que effectivement que j ai bien reçu 48H après avec une lettre qui accompagné me résilliant mes deux autres voiture surement en représaille  de m avoir plaint au siège !!! suivant un un code des assurance leur permètant  de résilier  un client sans motifs !!! je ne vous dit pas quand vous voulez vous assurer après la difficulté de trouver une assurance ou il est marqué sur la fiche d information résilier par l assureur !!! il faut fuire cette enseigne !!!</t>
  </si>
  <si>
    <t>09/12/2020</t>
  </si>
  <si>
    <t>stemalex-49544</t>
  </si>
  <si>
    <t>gros problème avec indemnisation après accident....4 ans déjà et 4 expertises apres et mon assurance LA MACIF laisse traîné..je suis victime et assuré chez eux...pas une mutuelle...une société avec des actionnaires qui ne pensent qu'a encaissé votre argent et se foutent bien de votre problème..</t>
  </si>
  <si>
    <t>25/11/2016</t>
  </si>
  <si>
    <t>01/11/2016</t>
  </si>
  <si>
    <t>richard77-132583</t>
  </si>
  <si>
    <t xml:space="preserve">(Contrat Madelin)
La rentabilité n'est pas celle indiquée lors de la souscription du contrat et l'adhérent n'a pas les détails sur le capital et le taux de rentabilité annuel durant les années de versement.
Au moment de la rente un prélèvement de 23% est pratiqué sans explication 
alors que les rentabilités annuelles tournent au alentour de 1,5% lors des versements.
AG2R communique beaucoup, mais les conseils sont orientés vers les intérêts de AG2R (exemple loi SAPIN 2 non appliquée bien que l'assuré soit informé) au terme du contrat les rentes avec la dévaluation ne couvrent pas les dépôts sauf si l'adhérent à une vie supérieure de 20 ans au départ de sa retraite. </t>
  </si>
  <si>
    <t>waltercoulede-67820</t>
  </si>
  <si>
    <t>Vous croyez être assuré mais au premier sinistre votre assureur refuse de le prendre en charge.</t>
  </si>
  <si>
    <t>17/10/2018</t>
  </si>
  <si>
    <t>cc11-57790</t>
  </si>
  <si>
    <t xml:space="preserve">Toujours en attente de règlement pour la période de janvier 2014  à juillet 2017. Mon employeur vous adressé les documents nécessaires à plusieurs reprises mais vous dites n'avoir rien reçu. Vous ne vous rendez pas compte dans quelle situation vous mettez vos assurés .... </t>
  </si>
  <si>
    <t>philippe-r-122106</t>
  </si>
  <si>
    <t xml:space="preserve">je suis très satisfait du service .accueil trés agréable lors des rendez vous .
Demande de renseignements fournis avec précision et célerité .
Avec mes remerciements </t>
  </si>
  <si>
    <t>anthony-t-132368</t>
  </si>
  <si>
    <t>Je suis satisfait du prix, j’attend de voir la qualité du service. Je cherchais simplement à réduire ma facture assurance. J’espère que le relation client sera au rendez-vous.</t>
  </si>
  <si>
    <t>11/09/2021</t>
  </si>
  <si>
    <t>martin-54981</t>
  </si>
  <si>
    <t>J'ai demandé le rachat total de mes 2 contrats d'assurance vie chez Generali pour les sommes de 15000 et 250000 €. Or ils m'en refusent le remboursement tant que je ne peux pas produire la main levée sur un avis à tiers détenteur pour =273 €=, émis il y a 10 ans.
Les impôts disent qu'ils ont envoyé la main levée; eux disent qu'ils ne l'ont pas reçue.
Que faire ? Aucune écoute, aucune empathie, autant parler à un robot;</t>
  </si>
  <si>
    <t>29/05/2017</t>
  </si>
  <si>
    <t>basket-77538</t>
  </si>
  <si>
    <t xml:space="preserve">sincèrement super ,très très bonne écoute des conseillères ,des réponses rapides ,et une très grande compétence de leurs métiers pas d'attente telephonique pour avoir un conseiller ,tres aimable et montant adhésion compétitif </t>
  </si>
  <si>
    <t>11/07/2019</t>
  </si>
  <si>
    <t>fernand-a-110708</t>
  </si>
  <si>
    <t xml:space="preserve">Je suis satisfait de votre assurance en espérant que tout ce passe bien avec les condition que vous me proposez et que je puisse être toujours satisfait </t>
  </si>
  <si>
    <t>balou974-72396</t>
  </si>
  <si>
    <t>ça fait un an que j'ai engagé un constat de dégâts des eaux chez eux. Ils ne font que m'envoyer des prestataire afin de trouver un devis qui pour eux ne serait pas trop cher. En revanche quand on dit que le niveau d'humidité est à 98% minimum et qu'ils répondent que ce sont les aléas de la vie...</t>
  </si>
  <si>
    <t>22/03/2019</t>
  </si>
  <si>
    <t>clodo-135615</t>
  </si>
  <si>
    <t>je suis très contente des services rendus. Mon mari a un sérieux problème actuellement, j'ai appelé et mes questions ont été entendues et Georges m'a répondu très clairement sur mes questions posées. Merci à lui pour toutes ses réponses et explications.</t>
  </si>
  <si>
    <t>02/10/2021</t>
  </si>
  <si>
    <t>dieu0-61464</t>
  </si>
  <si>
    <t>J'ai été sous contrat pendant 1 an chez HM suite à un changement d'employeur. Les couvertures sont bonnes, le tarif acceptable en revanche aucune rigueur de leur part ...
Ils sont incapable de mettre en place le lien NOEMI avec la Sécurité Sociale en près d'une année, ils vous demandent sans cesse des documents que vous avez déjà envoyés, les délais de remboursements sont à rallonges, les chargé de clientèle ne sont pas ceux qui traitent les dossiers. 
Pire lorsque vous déposez des documents vous n'avez aucune preuve de dépôt juste un mail vous donnant le nom des documents. Ce qui est très arrangeant pour eux car vous ne pouvez prouver que le document envoyé est bien celui qui était demandé.
A fuir ...</t>
  </si>
  <si>
    <t>15/02/2018</t>
  </si>
  <si>
    <t>daria-68722</t>
  </si>
  <si>
    <t>Après problèmes avec un courtier peu délicat qui pratiquait ce qui s'apparente à de la vente forcée d'un contrat Neoliane, ces derniers ont accepté de procéder rapidement à l'annulation de cette adhésion. Jusqu'à plus ample informé, c'est en tout cas ce que laisse entendre le mail que je viens de recevoir.</t>
  </si>
  <si>
    <t>19/11/2018</t>
  </si>
  <si>
    <t>kastillon-60741</t>
  </si>
  <si>
    <t>La Maif a bien changé en 20 ans et se raccroche à son passé mutualiste comme à une bannière qui ferait écran. Mon cas n'est pas catastrophique mais témoigne bien de la nouvelle mentalité Maif.
Je tombe en panne à 30 km de mon garagiste habituel avec un forfait de 180 euros de dépannage. Je demande donc à ce que mon véhicule soit remorqué chez mon garagiste, quitte à payer le dépassement de forfait.
Pas plus de 15 km de remorquage, me dit l'assistance Maif ! Je fais remarquer que rien dans mon contrat ne stipule une telle limite, la seule limite contractuelle est financière : 180 euros maximum.
Réponse de la Maif : "Certes, ce n'est pas écrit dans votre contrat mais c'est la pratique habituelle. Désolé."
La Maif au dessus du droit contractuel ! Enfin, pas envie de me lancer dans une procédure juridique avec cet assureur "militant". Je change d'assureur dès la semaine prochaine. Après 31 ans de cotisations.</t>
  </si>
  <si>
    <t>23/01/2018</t>
  </si>
  <si>
    <t>claudine-m-138882</t>
  </si>
  <si>
    <t>Je suis ravis du devis en ligne de la rapidité et de souscris en ligne espérant que je sois contente des que je aurait des remboursements je vous tiens au courant merci</t>
  </si>
  <si>
    <t>03/11/2021</t>
  </si>
  <si>
    <t>valou--138562</t>
  </si>
  <si>
    <t xml:space="preserve">Je suis bien renseigné et bien aidé par cet assureur cela ne fait pas longtemps que je suis assuré chez eux mais je verrai bien par la suite pour le moment ça ce passe plutôt bien voilà </t>
  </si>
  <si>
    <t>29/10/2021</t>
  </si>
  <si>
    <t>patrice-c-129931</t>
  </si>
  <si>
    <t xml:space="preserve">Satisfait, rapide, efficace et très correct en prix rien à dire d'autre pour l'instant nous verrons par la suite si le service client reste correct et si le site est bien fait </t>
  </si>
  <si>
    <t>28/08/2021</t>
  </si>
  <si>
    <t>terumo-88042</t>
  </si>
  <si>
    <t xml:space="preserve">Service réactif aimable bien conseillé rapide dans la gestion des avenants et traitement des sinistres personnel compréhensible au niveau de la linguistique c'est un plus sur une plateforme de traitement  et surtout aimable en touts circonstances. </t>
  </si>
  <si>
    <t>06/03/2020</t>
  </si>
  <si>
    <t>lebrigui-m-138028</t>
  </si>
  <si>
    <t xml:space="preserve">Le prix entre le devis et le contrat est différent de 5 e en plus mais l’ensemble reste correct je recommande Olivier assurance merci à bientôt bonne journée </t>
  </si>
  <si>
    <t>choukri26-64878</t>
  </si>
  <si>
    <t>Assuré depuis longtemps et je n'ai jamais reçu ma carte verte ont a beau les apeller ils nous disent quils vont lenvoyer mais toujours rien recu a croire qu'ils ont pas d'imprimante pour carte verte</t>
  </si>
  <si>
    <t>19/06/2018</t>
  </si>
  <si>
    <t>maralex-96262</t>
  </si>
  <si>
    <t xml:space="preserve">Assurance qui ne devrait pas exercer suite à deux sinistre rapprochés à la suite de deux malaise  d origines médicale ma fille etant été radié de son assurance ç est inscrite chez l Olivier malheureusement car après plus d'un an sans sinistre un tiers faisant marche arrière de façon intempestive dans le sens inverse de circulation indiqué par une flèche au sol percuté ma fille qui quitte normalement sa place de parking l Olivier a considéré à tord 50 50 et à radié ma fille alors que la déclaration en accord avec le tiers a été annulée compte tenu du peu de dégâts de plus ma fille qui avait signalé le changement d adresse  n à pas reçu le recommandé sans ar et donc à roule 3 mois sans assurance ce sont des incompétent irresponsable fuyez </t>
  </si>
  <si>
    <t>13/08/2020</t>
  </si>
  <si>
    <t>sylvain-b-126903</t>
  </si>
  <si>
    <t>La personne au téléphone pendant ma pause de midi .... super !
Ce soir, je complète le dossier, demain je suis assuré et dimanche je récupère le nouveau bébé ^^
Merci.</t>
  </si>
  <si>
    <t>mimi-76853</t>
  </si>
  <si>
    <t xml:space="preserve">simple,rapide,efficace et satisfait. Tout nouveau client et satisfait qui j'espère dura .Disponibilité des conseillers de clientèle très agréable. Tarif compétitif sur mon assurance tous risques  </t>
  </si>
  <si>
    <t>17/06/2019</t>
  </si>
  <si>
    <t>zanbra-99177</t>
  </si>
  <si>
    <t xml:space="preserve">DIRECT ASSURANCE PEU CHERE AU DEBUT ,TROP CHER PAR LA SUITE. Ils sont persuade du contraire ,la done a changé, il ya la concurrence, vous ne voulez pas vous aligner sur mon devis, je pars voir ailleurs. 
</t>
  </si>
  <si>
    <t>30/12/2020</t>
  </si>
  <si>
    <t>diwan-89158</t>
  </si>
  <si>
    <t xml:space="preserve">Pas de soucis relationnels et de prise en compte des remboursements jusqu aux derniers soins et décès de mon Border Collie, Diwan, partis à l age de 11ans et 10 mois dans des conditiondms lamentables, assuré depuis ses 2 mois et demi chez Santé Vet. Décédé le 4 Mars 2020, je suis marquée à vie pour ce depart précipité en 5 jours, et indigne du respect de l animal pour sa sensibilité et ses émotions. Concernant les remboursements, ils ont ete crédités sur mon compte apres de multiples demarches telephoniques et mails, et des echanges qui ont plus que laissé a desirer, indignes et irrespectueux. Les delais de remboursements contractuels sont tres longs, q3 semaines, sauf sous dérogation en 48h, et c est la que ca ne fonctionne pas du tout. Le tarif a augmenté de plus de 120 % en 10 ans et demi et ce malgré l annulation d une augmentation, a ma demande une année. J ai dû changer de formule pour revenir a un tarif quelque peu "acceptable" si je puis dire. Si j ai un futur animal, il est très peu probable qu il soit assuré chez eux !!! Une honte de leur part, ce qu il ont rajouté aux douleurs du départ de Diwan, qui ne méritait ni une vie pareil, et dont je ne méritais pas moi meme tous les soucis financiers qu ils m ont crée, en plus de la souffrance de son depart et ses conditions de fin de vie. </t>
  </si>
  <si>
    <t>SantéVet</t>
  </si>
  <si>
    <t>26/04/2020</t>
  </si>
  <si>
    <t>hms-87597</t>
  </si>
  <si>
    <t xml:space="preserve">Cambriolé il y a  plus d'un an il me rembourse 600 e pour 5000 e de préjudice preuve à l'appui Gmf ne sont pas a là hauteur de leurs engagements ils ont mis plus d'un an a géré mon dossier leurs services par tel est pas du tous compétent ils nous fond attendre 30 min puis te raccroche au nez. Je change d'assurance </t>
  </si>
  <si>
    <t>25/02/2020</t>
  </si>
  <si>
    <t>julien-70406</t>
  </si>
  <si>
    <t>Il s'agit d'une Assurance Fantôme. J'ai souscris et ensuite aucune nouvelle, aucune vignette réceptionnée, aucune explication. J'ai maintenant du mal à me désengager. Je ne conseillerais jamais cette assurance à un ami.</t>
  </si>
  <si>
    <t>21/01/2019</t>
  </si>
  <si>
    <t>renelo-81485</t>
  </si>
  <si>
    <t>résiliation abusive,car cela évite de se bouger pour défendre son assuré ce qui est pourtant le rôle de l'assureur,mais c'est tellement plus facile</t>
  </si>
  <si>
    <t>29/11/2019</t>
  </si>
  <si>
    <t>luc-f-107209</t>
  </si>
  <si>
    <t>TRES SIMPLE RAPIDE ET SANS CONCURRENCE POSSIBLE. je recommande ce système de souscription avec une telle facilité pour remplir les dossiers et obtenir un devis clair et précis.</t>
  </si>
  <si>
    <t>25/09/2021</t>
  </si>
  <si>
    <t>doonies-57461</t>
  </si>
  <si>
    <t>Intervention supprimée à la demande de l'internaute.</t>
  </si>
  <si>
    <t>19/09/2017</t>
  </si>
  <si>
    <t>ollivier-m-111264</t>
  </si>
  <si>
    <t>Site internet à améliorer encore, mais service téléphonique satisfaisant, a voir avec le temps, espérant que les tarifications n'augmente pas l'année prochaine, sinon le bonus sera limite inutile.</t>
  </si>
  <si>
    <t>melbourne-64194</t>
  </si>
  <si>
    <t>Tant qu'on verse de l'argent, pas de problème. Le jour où l'on veut retirer de l'argent, silence total. Ca fait plus de quatre mois que j'essaye de récupérer mon argent et rien à faire. Impossible de les joindre par téléphone et ils ne répondent pas aux courriers.
Surtout ne les faites pas travailler</t>
  </si>
  <si>
    <t>ouchaoua-n-135011</t>
  </si>
  <si>
    <t xml:space="preserve">je suis satisfait de service , suscription facile en quelques minutes c est réglé  , conseiller a l écoute  très professionnelle . je recommande olivier assurance .  </t>
  </si>
  <si>
    <t>catia-m-105491</t>
  </si>
  <si>
    <t>OK C'est pas mal au niveau des tarifs mais bon  en faisant plusieurs devis sur des sites différents ca donne plusieurs tarifs a croire que c est a la tete du clients</t>
  </si>
  <si>
    <t>goulain-j-134449</t>
  </si>
  <si>
    <t>Les prix me conviennent mais les franchises sont élevés . C est dommage . Les garanties en cas de dommages ne sont pas non plus suffisamment élevé. Tout dépend du véhicule que l on souhaite assure .</t>
  </si>
  <si>
    <t>nicolas-c-135749</t>
  </si>
  <si>
    <t>Je viens de souscrire et je n'ai donc encore aucun recul pour le moment.
 Je pourrai donner mon avis dans quelques temps, en tous cas la souscription et le choix de l'offre sont rapides et faciles.</t>
  </si>
  <si>
    <t>03/10/2021</t>
  </si>
  <si>
    <t>dim--99181</t>
  </si>
  <si>
    <t>Ils vous proposent un devis à 1 tarif intéressant et ensuite lisez bien vos contrats car ils augmentent le montant annuel !  Moi personnellement je viens de déposer une plainte pour qu'il me rembourse ce que j'ai versé !</t>
  </si>
  <si>
    <t>violette50-121428</t>
  </si>
  <si>
    <t xml:space="preserve">Je suis victime d'un sinistre dans mon logement, constaté 2 fois par un expert Axa, nouveau RDV pour une 3ème expertise, Axa ne propose aucune proposition de réparation, sinistre de plus de 2 ans.
  Je ne suis pas responsable de ce sinistre.
  Je ne recommande absolument pas cette assurance.
  </t>
  </si>
  <si>
    <t>30/09/2021</t>
  </si>
  <si>
    <t>stef71-60487</t>
  </si>
  <si>
    <t>Très bonne assurance</t>
  </si>
  <si>
    <t>titi44-56973</t>
  </si>
  <si>
    <t xml:space="preserve">Très Très déçue de la MAAF, je suis cliente depuis plus de 10 ans pour mes 2 autos et mon habitation. Aucun accident signalé. Malheureusement j'ai été victime de 2 vols mineurs (pneus en 2014 et porte coffre en 2016) et la je reçois un appel de mon conseillé qui me dit que le siège ne veut pas reconduire mon contrat l'année prochaine et qu'il ne peut rien faire!!!!! 
Conclusion : Dès q'un pepin nous tombe dessus, la Maaf nous abandonne ! Vive le service au client!!! 
 </t>
  </si>
  <si>
    <t>30/08/2017</t>
  </si>
  <si>
    <t xml:space="preserve">Mon mari est décédé en mars dernier. J'ai pris rdv à l'agence macif de pontault pour déclaré le décès tout les contrats ont immédiatement été mis à mon nom. Dès que j'ai aborda question DD la prévoyance on m'a clairement dit que je n'avais rien compris au contrat. Quelque jours plus tard j'ai u e personne de la macif de la plate-forme au sujet de mon échéancier qui me certifie que j'ai le droit à 3500€piur les frais obsèques et un capital. Cette dame me do ne l'a liste des pièces à fournir et l'adresse où l'envoyer. Dossier monté et envoyé en LRAR. Pas de nouvelles après avoir pris contact le dossier n'est jamais arruau service concerné !!! O  me dit qu'on m'envoie un mail pour ouvrir le dossier. Mail jamais reçu !!! Mais de qui se moque t on ? Le respect dans tout ça. </t>
  </si>
  <si>
    <t>11/05/2018</t>
  </si>
  <si>
    <t>des-ages-98481</t>
  </si>
  <si>
    <t xml:space="preserve">1 Sinistre dégat des eaux et la GMF a préféré cloturé mon contart 
 MT de la réparations a ma charge 770.00 euros
J'ai aussitot cloturé mes 2 contrats voiture et celui de mes enfants ainsi que leur contrats habitation
</t>
  </si>
  <si>
    <t>pozy-68380</t>
  </si>
  <si>
    <t>remboursement rapide, explications très claires, prises en charge correctes</t>
  </si>
  <si>
    <t>06/11/2018</t>
  </si>
  <si>
    <t>frederic-d-107453</t>
  </si>
  <si>
    <t>Suite à mon accrochage, j'ai été pris en charge rapidement au téléphone avec conseils sur les éléments du constat à remplir et ne pas oublier jusqu'à la réparation.</t>
  </si>
  <si>
    <t>babette-90649</t>
  </si>
  <si>
    <t xml:space="preserve">Que dire.... Metlife ne répond à aucun mails que ce soit avant pendant après le confinement.
On doit me restituer un document depuis des mois!! Aucun retour aux mails aucun retour aux appels téléphoniques.
Il faut un mental d'acier pour tenir. Y a t'il des humains dans cette société ? Pour répondre à nos demandes...
</t>
  </si>
  <si>
    <t>MetLife</t>
  </si>
  <si>
    <t>dans-mon-boul-114617</t>
  </si>
  <si>
    <t>j'ai eu un sinistre cause par la foudre ma tv a griller j'ai déclaré le sinistre au pres de mon assurance mais celle ci ne veux pas me rembourser la tv car je peux pas prouver que c'est bien la foudre qui me la griller .
que faire ?
a part changer d'assurance au plus vite !!!!</t>
  </si>
  <si>
    <t>23/05/2021</t>
  </si>
  <si>
    <t>isabellebab-72161</t>
  </si>
  <si>
    <t>une rente survie handicape</t>
  </si>
  <si>
    <t>14/03/2019</t>
  </si>
  <si>
    <t>jmk-78-79237</t>
  </si>
  <si>
    <t>très lent pour traiter un dossier, service client très difficile à joindre, délai de réponse (par courrier seulement) en 7 jours...</t>
  </si>
  <si>
    <t>16/09/2019</t>
  </si>
  <si>
    <t>sadi-n-129478</t>
  </si>
  <si>
    <t>Je suis satisfait du service client très réactif. Contrat auto et habitation chez eux jamais eu le moindre soucis. Prix correct. Site super facile à utiliser.</t>
  </si>
  <si>
    <t>niki28-99025</t>
  </si>
  <si>
    <t>Très bon rapport qualité prix. Très rapide pour souscrire, on peut envoyer tous les documents sur l'espace perso, demander des papiers, faire des changements de situation très facilement. 
J'ai contacté une fois le service client et très bien aussi. 
C'est rare mais je recommande</t>
  </si>
  <si>
    <t>gege-99124</t>
  </si>
  <si>
    <t>Cette société est pas sérieuse dû tout de plus on arrive jamais à les contacter par téléphone sûr tout le courtier il et là juste pour vous faire un contrat après adieux</t>
  </si>
  <si>
    <t>23/10/2020</t>
  </si>
  <si>
    <t>samira33270-94131</t>
  </si>
  <si>
    <t xml:space="preserve">La macif nous a laissé avec nos 4 enfants en galère à 450 km de notre domicile pour une franchise de 350 euros que nous ne pouvions pas régler dans l'immédiat et le garage ne voulait pas nous remettre le véhicule et malgré nos demandes a la macif pour annuler la franchise exceptionnelle et leur rembourser en fin de mois, nous avons eu des refus.
C'est écœurant et après la macif se dit avoir des valeurs ! 
Foutaises ! Aucune différence avec d'autres groupes d'assurance.
Avant d'aller verser des millions d'euros à des associations ils feraient mieux de s'occuper avant tout de leur sociétaire </t>
  </si>
  <si>
    <t>anna-m-112287</t>
  </si>
  <si>
    <t>Je suis satisfaite de l'accueil telephonique rapide ainsi que de l'amabilité et professionalisme du personnel. Je conseillerai direct assurance à mes amis et proches</t>
  </si>
  <si>
    <t>sergio1975-60332</t>
  </si>
  <si>
    <t>Bonjour,
Ayant reçu mon échéancier au mois de novembre 2017, alors qu'il a été écrit en octobre 2017 mais envoyé en tarif ultra économique, j'envoie ma demande de résiliation à la date anniversaire du contrat soit en mars 2018. Le 23 décembre 2017 soit un mois après ma demande de résiliation je reçois une lettre me disant qu'ils n'en tiendront pas compte car la résiliation en cours d'année, ils ne font pas et qu'il faut que je leur renvoie une nouvelle lettre leur précisant que c'est au 31 décembre que je dois indiquer. Alors ils ont l'art et la manière de jouer la montre ça c'est sûr. Et ils doivent penser que je suis en vacances et que je n'aurais pas l'occasion de le faire... Ben détrompez-vous... ça a été fait le jour même c'est à dire hier, même si visiblement cela n'a servi à rien. Par contre je n'oublierai pas et ne pardonnerai pas. Ah oui, dernière précision, inutile de me renvoyer le lien sur facebook pour faire penser aux autres internautes que vous êtes réactifs et proche de vos clients. Ce n'est vraiment pas le cas ! C'est la première fois que j'ai à faire à des gens pareils.  
Résiliation extrêmement difficile voire impossible. Jouent la montre et sont trop procéduriés.</t>
  </si>
  <si>
    <t>10/01/2018</t>
  </si>
  <si>
    <t>mome67-58635</t>
  </si>
  <si>
    <t>Bonjour j'ai perdus mon papa et maman et mon frere un rescaper grave dans un accident de la route en 03/08/2017 . La MAAF c'est l'enfer j'ai rien recue il ont laisser ma famille mourrir le blesse dans la morgue au maroc il a fallue attendre plus de 6 jours pour avoir un dialogue puis rien c'est assurance logement de papa la MACIF qui a sauve le blesse dans le coma c'est HONTEU</t>
  </si>
  <si>
    <t>06/11/2017</t>
  </si>
  <si>
    <t>reneandco-49514</t>
  </si>
  <si>
    <t>En 3ans 3 sinistres, un cailloux sue le pare prise, un enfant qui saute sur le capot et une catastrophe naturelle. Dans les 3, cas je ne suis pas responsable. Résultat, courier en AR ils mettent un terme au contrat. Tant que tout va bien, restez chez eux, sinon...</t>
  </si>
  <si>
    <t>24/11/2016</t>
  </si>
  <si>
    <t>tilly40-54266</t>
  </si>
  <si>
    <t>Héritage de 2 contrats d'assurances vies et 1 prevoyance décès chez AXA, tous documents transmis et validé par notaire, 6 mois après toujours aucun versement ni remise des contrats souscrits par le défunt... qu'ils auraient soit disant perdus !!! Scandaleux, minable, malversation !</t>
  </si>
  <si>
    <t>25/04/2017</t>
  </si>
  <si>
    <t>sweet-90192</t>
  </si>
  <si>
    <t xml:space="preserve">Incite à souscrire en vous promettant des avantages qui n'existent pas 
Lisez bien entre les lignes avant de vous faire avoir </t>
  </si>
  <si>
    <t>chall62-96280</t>
  </si>
  <si>
    <t>Assureur à fuir ,  . 
Déjà , Attendre un mois pour avoir l'info concernant la garantie du sinistre  suite à un coup de vent sur la portail , celui ci a arraché  la fixation moteur .
la personne à l'accueil me réclame un document spécifiant les dégats dans la commune .
( moi en temps que particulier ,je ne vais pas en mairie déclaré mes sinistres )  la mairie ne sait pas fournir de documents . 
ils sont conscients qu'ils y a eu un coup de vent ce 23  mai , mais bon ... je pense que tout est bon pour ne pas garantir les dégats .
Aprés plusieurs relance à l'agence AXA , cette personne reste sur sa position , donc je pense que l'on aboutira à rien , c'est regrettable , aprés plus 30 ans d'assurance à cette marque avec 4 contrats , j'engage aujourd'hui  les démarches  pour quitter cette Assurance . 
je pense que AXA n'est pas une assurance de confiance , ( du moins certaines personnes dans cette agence ) les on dit me confirme mes dires , 
Beaucoup de mes connaissances ont quittées cette agence et moi pour ma part , j'inviterai mes connaissances et famille à se tenir éloigner de cette agence et société .
Dans la note , je mets 1 parce que je peux pas mettre - 0</t>
  </si>
  <si>
    <t>marie-64635</t>
  </si>
  <si>
    <t>je suis la tutrice de Clement Ramadier ADHERENT 21085767/21 en date du 25/5/2018 CLEMENT RAMADIER VOUS AS TRANSMIS UNE LETTRE AR POUR SE RETRACTER ET ET APRES X TEL  0666460510 SANS REPONSE DE VOTRE PART ET A MA  GRANDE STUPEFACTION M CLEMENT RAMADIER A ETE PRELEVE SANS AVOIR SIGNE DE PRELEVEMENT SEPA ET JE SOUHAITERAIS CONNAITRE COMMENT VOUS AVEZ EUT LES RENSEIGNEMENTS BANCAIRE. DES LUNDI JE VAIS ME RENDRE AVEC LES DOCUMENTS A LA MAISON DE LA JUSTICE ET PREVENIR LE PROCUREUR DE LA REPUBLIQUE DE VOTRE NON RESPECT DES DEMANDES</t>
  </si>
  <si>
    <t>09/06/2018</t>
  </si>
  <si>
    <t>francois-f-122769</t>
  </si>
  <si>
    <t>Prix presque le double de ce que je peux avoir ailleurs. J'attends l'obtention du nouveau bonus pour changer d'assureur car il ne faut pas abuser non plus, ça me fera économiser près de 400 euro sur l'année ET POUR DE MEILLEURS GARANTIES!!</t>
  </si>
  <si>
    <t>08/07/2021</t>
  </si>
  <si>
    <t>alexandre-t-127284</t>
  </si>
  <si>
    <t xml:space="preserve">Pour le moment j'espère ne pas être dessus ont m'a promis que je devrais donné une certaine somme si cella augment sans que je soit au courant et sans raison je partirais. </t>
  </si>
  <si>
    <t>khchai-z-135023</t>
  </si>
  <si>
    <t xml:space="preserve">Expérience au top ! 
C'est rapide, vraiment facile de choisir et de comprendre les différentes options et propositions. 
Je suis satisfait de ce service efficace. 
</t>
  </si>
  <si>
    <t>aldeb-1734</t>
  </si>
  <si>
    <t>Choix initiale d'une assurance minimale (exclusivement hospitalisation); cependant la hausse lors du renouvellement au 1er janvier de chaque année a été particulièrement importante en janvier 2019 et janvier 2020 (précisément de 8,17 % et de 9,72 %) !
Je crois utile de préciser que je n'ai jamais sollicité l'assureur pour le moindre remboursement...</t>
  </si>
  <si>
    <t>nanaamb-67921</t>
  </si>
  <si>
    <t>je suis depuis des années à la Macif aujourd'hui vous êtes la honte de tous les organismes d'assurances sur le marché !!</t>
  </si>
  <si>
    <t>31/10/2018</t>
  </si>
  <si>
    <t>mulane85-89414</t>
  </si>
  <si>
    <t>Je suis satisfait de la gmf. je désire surtout que les conseillers gmf nous appellent au moins une fois par an afin de connaître nos attentes, et pour les bons clients, négocier les tarifs.</t>
  </si>
  <si>
    <t>cess-64116</t>
  </si>
  <si>
    <t>Depuis Novembre 2016 en invalidité 2, je ne peux malheureusement plus travailler. 
Cela fait donc 18 mois que l'assurance a connaissance de ma situation... rien ne se passe...
Je les contacte chaque jour par telephone ou mail..
Aujourd hui je me retrouve donc dans une situation financière délicate! 
J ai donc confié mon dossier à un avocat car sinon je ne sais pas combien de mois il faut attendre.. Ce n est vraiment pas sérieux</t>
  </si>
  <si>
    <t>bernard-c-117926</t>
  </si>
  <si>
    <t>impossible d'avoir un conseiller par téléphone ou mail pour un conseil et orientation. On tourne en rond sur le site sans obtenir qui que ce soit. C'est inadmissible!</t>
  </si>
  <si>
    <t>guillaume-b-131251</t>
  </si>
  <si>
    <t>Etant une cliente depuis plus de 15 ans, j'espérais avoir une réduction supplémentaire, mais bon ça n'a pas l'air de fonctionner comme cela chez vous.</t>
  </si>
  <si>
    <t>annnne-81035</t>
  </si>
  <si>
    <t>Ras le bol, impossible de les joindre pour un sinistre déclaré. 35 min en attente au téléphone et personne ne me réponds... j'ai fini par raccrocher car je travaille !!!! On peut soi-disant les joindre que du lundi au vendredi de 9h à 17h !!! Et quand on bosse on fait comment ???? Sur l'espace en ligne, aucune info compréhensible. Pour mon sinistre j'ai seulement eu le droit à un SMS !!!! Qui n'explique rien. Heureusement que mon sinistre n'est pas trop grave sinon je n'imagine même pas les conséquences. Ras le bol je crois que je vais changer d'assurance.</t>
  </si>
  <si>
    <t>15/11/2019</t>
  </si>
  <si>
    <t>ad54710-132699</t>
  </si>
  <si>
    <t xml:space="preserve">Appel ce jour pour un problème de contrat optique, j’ai été très bien accueillie par Émeline et bien renseignée, j’ai reçu les informations nécessaires </t>
  </si>
  <si>
    <t>fauche-k-128616</t>
  </si>
  <si>
    <t>Je suis satisfait du produit et des tarifs attractifs. La conseillère au téléphone m'a parfaitement renseigné et guidé vers ce dont j'avais besoin. Super</t>
  </si>
  <si>
    <t>benkal-97953</t>
  </si>
  <si>
    <t>zéro assurances vraiment NUL vraiment Nul ils ce foute du clients sur les contrat d,assurance ils mettent ce qui les arrange et les clients ils pas toujours les contrat faite Attention je me suis avoir parce que je n,ais pas mon contrat d,assurances alors Méfiez vous de la Macif</t>
  </si>
  <si>
    <t>29/09/2020</t>
  </si>
  <si>
    <t>mini-77705</t>
  </si>
  <si>
    <t>Client MAIF depuis 20 ans je suis désabusé car à chaque demande de prise en charge cela ne fait pas partie des garanties,..malgré la souscription Sérénité.Je vais me renseigner auprés d'autres compagnies .</t>
  </si>
  <si>
    <t>17/07/2019</t>
  </si>
  <si>
    <t>rod-107770</t>
  </si>
  <si>
    <t>Tarifs compétitifs, l'envoi et la souscription se font par e-mail; donc super pratique. Interlocuteurs très pro. Site très clair. 
L'envoi de la carte verte est très rapide que ce soit la provisoire ou la définitive (qui est en fonction de la vitesse à laquelle on envoi les justificatifs demandés).
Je conseille.</t>
  </si>
  <si>
    <t>gilles7513-57363</t>
  </si>
  <si>
    <t xml:space="preserve">Assureur désastreux et injoignable
Ne respecte aucunement les assurés y compris dans certains écrits
Très grave surtout si vous faites face à un sinistre important 
Aucun échange direct au téléphone pour mes sinistres matériels et corporels
Ne pas hésiter à saisir le médiateur en cas de problèmes multiples </t>
  </si>
  <si>
    <t>15/09/2017</t>
  </si>
  <si>
    <t>nabile-b-126072</t>
  </si>
  <si>
    <t xml:space="preserve">tarif avantageux et service semble sérieux, le site est clair en espérant ne pas être déçu je recommande. le petit plus la résiliation de votre ancien contrat  </t>
  </si>
  <si>
    <t>esteban-l-122906</t>
  </si>
  <si>
    <t xml:space="preserve">Je suis satisfait du prix et de la simplicité du cite.
Par contre un opérateur m'a contacté par téléphone, pour les mêmes conditions que sur le site, il me proposé un tarif plus chère ??? </t>
  </si>
  <si>
    <t>miouwai-96597</t>
  </si>
  <si>
    <t>Ils n’ont pas voulu resilier mon contrat alors que j’avais quitté le logement. 
Jai du payer 3 mois de cotisations pour rien. 
N’allez surtout pas la-bas.</t>
  </si>
  <si>
    <t>24/08/2020</t>
  </si>
  <si>
    <t>marie73-102453</t>
  </si>
  <si>
    <t>depuis le 1 er janvier j'ai fait mon adhesion,il on pas fait la transmission a la sécurité sociale et mon prélevé ma premiére mensualité,je vous remercie de me répondre rapidement</t>
  </si>
  <si>
    <t>jipeve-61388</t>
  </si>
  <si>
    <t>Assurés, attention aux remboursements des dépassements d'honoraires.
Depuis la mise en place du CAS (à présent option OPTAM), les remboursements des dépassements d'honoraires des médecins non-adhérents à ce système sont inférieurs de 20 % à ceux identiques des médecins adhérents.
Mutuelle Harmonie semble avoir buggé sur cette question, et rembourse tous les dépassements au taux inférieur !
D'où l'obligation, pour l'assuré, non seulement de vérifier leurs décomptes (ui sont pour le moins obscurs) mais en outre de déposer une réclamation .... qui mettra queleuqs semaines à être traitée, sans évidemment aucun e excuse de la part de l'assureur</t>
  </si>
  <si>
    <t>13/02/2018</t>
  </si>
  <si>
    <t>jolyrouge-53915</t>
  </si>
  <si>
    <t>Bonjour, j'ai été démarché l'année dernière par téléphone par Néoliane qui m'a vendu un contrat de prévoyance décès me demandant de valider mon inscription par SMS. Après avoir réfléchi et dans le  délai légal, j'ai envoyé une demande de résiliation, résiliation qui a été acceptée ... enfin pas totalement  car pour eux car leur contrat comprenait 2 lignes et que d'après eux il s'agissait de 2 contrats différents et que seul l'un des deux (par hasard le moins cher) était résilié. Tous mes courriers y compris recommandés à cet organisme sont restés lettre morte. Lorsqu'on tente de les joindre on est renvoyé du cabinet FAUVEL à Paris à Muta gestion à Toulouse voire à Neoliane sante à Nice sans n'avoir bien sûr aucun interlocuteur "pouvant répondre à mes questions". j'ai donc fait opposition à leur prélèvement. ils continuent à me harceler et viennent même de lâcher une société de recouvrement à mes basques.
ces pratiques sont plus que déloyales et qu'ils ont abusé de mon ignorance. Le plus pesant est, je pense, ce dédain manifeste qu'ils opposent à mes courriers.
En bref méfiez vous de Néoliane, ils ptratiquent des méthodes commerciales agressives et tendancieuses</t>
  </si>
  <si>
    <t>07/04/2017</t>
  </si>
  <si>
    <t>emilie-49922</t>
  </si>
  <si>
    <t>Nous faisons bâtir, nous avons fait faire le gros oeuvre par des artisans, Lors du prêt  nous avons souscrit à une assurance sensée  nous "protéger" surtout contre le vol. ( Sur conseils de la conseillère bien sûr). Nous lui avons fait confiance.La maison est fermée ( murs , toiture, fenêtres ) malheureusement j'arrive un matin et plus de fenêtres ni de porte d'entrée. Quelle horreur!!!! mais heureusement nous avons pris l 'assurance!!! eh BEN NON grosse déception. Le vol de l'immobilier ne fait pas parti du contrat. 13 500€ de vol, 2 880€ remboursé!!!! HONTEUX. J'ai un contrat habitation (mobilier, bijoux....) pour une maison en construction!! ya pas comme un problème???? Le traitement du dossier était long! toujours une réponse différente et incohérente quand on se renseigne sur l'avancée.MANQUEMENT AU DEVOIR DE RENSEIGNEMENT ET CONTRAT INADAPTE.</t>
  </si>
  <si>
    <t>cedric--131732</t>
  </si>
  <si>
    <t xml:space="preserve">J'ai été très content par l'olivier assurance pendant plusieurs années mais aujourd'hui je suis tombé sur quelqu'un de vraiment très désagréable au point d'enlever tous véhicules.
Très déçu. </t>
  </si>
  <si>
    <t>ml-97453</t>
  </si>
  <si>
    <t>Nous avons souscrit un contrat avec Harmonie il y a quelques mois et nous attendons avec hâte de pouvoir le résilier. Harmonie n'a pas respecté les termes du contrat sur le prélèvement puis a finalement prélevé plusieurs mois en une seule fois! Pas de remboursements pour un des enfants que la mutuelle n'a pas affilié malgré une présence sur le contrat et sur l'attestation CPAM. Demande à plusieurs reprises des attestations CPAM, du RIB alors que notre dossier est complet et a été validé par la conseillère lors de la souscription. Envoi d'un recommandé avec mise en demeure de payer alors que nous avions opté pour le prélèvement automatique (voilà entre autre où passent nos frais de gestion). Cette mutuelle c'est beaucoup de soucis et une relation client digne de la bureaucratie soviétique. Bref fuyons et rien ne nous fera changer d'avis.</t>
  </si>
  <si>
    <t>16/09/2020</t>
  </si>
  <si>
    <t>bryan-a-132531</t>
  </si>
  <si>
    <t xml:space="preserve">Je suis satisfait du service, il est abordable et très rapidement accessible. Je recommande le service April pour la qualité et réactivité des équipes </t>
  </si>
  <si>
    <t>aimen-c-132696</t>
  </si>
  <si>
    <t>Je suis satisfait de l'offre. Le prix est convenable. L'ergonomie du site est pas mal. L'inscription est facile. Les conditions et les garanties sont expliquées clairement.</t>
  </si>
  <si>
    <t>alain-59765</t>
  </si>
  <si>
    <t xml:space="preserve">Pas de conseiller attitré. Du coup lors d'un sinistre, j'ai eu un conseiller qui m'a dit que mon cas était couvert (bris de glace sur un véhicule en cours de vente) ce qui fait j'ai payé les réparations chez un réparateur non partenaire (moins cher que les partenaires agréés et remboursant la franchise). Après réception de mon dossier on me dit que finalement ce sinistre ne pouvait pas être pris en charge. Du coup, double peine : non seulement j'ai payé moi-même les réparations mais en plus j'ai un sinistre déclaré dans mon historique alors qu'il n'a pas été pris en charge (et que c'était lors d'un essai pour la vendre) ! Étrangement aucune trace de ce que m'a dit le 1er conseiller dans mon dossier de sinistre. C'est donc ma faute ! Si on m'avait dit dès le départ que le sinistre n'était pas pris en charge, j'aurai vu avec l'acheteur plutôt que de déclarer un sinistre.
Je comprends mieux en lisant les avis des autres internautes. Clairement je vais résilier avant de repartir sur une 2ème année. </t>
  </si>
  <si>
    <t>18/12/2017</t>
  </si>
  <si>
    <t>line21-54408</t>
  </si>
  <si>
    <t>Une incompétence, un abus dans la demande de documents, un manque de respect de leurs clients. 
Depuis plus de 3 mois j'essaye de racheter mon assurance vie.
Dans un premier temps j'ai été confronté à l'incompétence des salariés qui m'ont certifiés qu'aucun document interne n’était nécessaire. Juste une lettre de rachat, pcs d'identité, confirmation de domicile, .....
N'ayant pas de nouvelle après 3 semaines, j'ai contacté le service gestion qui m'a demandé une fiche complémentaire.
Puis deux semaines plus tard toujours rien, j'ai donc rappelé le service client qui m'ont informé que le document 5000 était nécessaire dans mon cas. (Résidents étranger). Ce document était très compliqué a obtenir dans ma situation.
J'ai donc contacté le centre des impôts en France qui m'a certifié que ce document n'était pas nécessaire, et m'a parlé des pratiques abusives des assurances/banques. (Sachez que j'ai clôturé 2 autres assurances vie MACSF, VALVI de la BRED, et qu'aucune ne m'a demandé ce document). 
L'assurance ne voulant pas en démordre, j'ai du prendre un avocat pour me le procurer le fameux document 5000 qui ne reprenait aucune autres informations déjà connu par leur service.
En date du  2/04/2017 l'ensemble des documents étaient en leur possession, 2 semaines plus tard n'ayant toujours rien, j'ai rappelé l'assurance qui m'a informé attendre l'aval de mon gestionnaire contacté par mail depuis 1 semaine. Il se trouve que nous étions le 20/04/2017 soit 4 jours avant la date butoirs. J'appelle donc le gestionnaire en urgence qui me certifie ne rien avoir reçu et faire le nécessaire dans la journée. Il me confirme donc dans la journée que son accord a bien été donné, et qu'il a rappelé le caractère urgent de ma demande et envoyer les fonds dans la journée. Il me précise que SwissLife avait envoyé le document a une mauvaise adresse et qu'il ne risquait pas de le recevoir. 
Aujourd'hui le 13/05/2017 soit 6 semaines après ma demande complète de rachat, 4 semaines depuis l'aval du gestionnaire, 3 mois depuis ma demande initiale, et malgré plusieurs relances, je n'ai toujours pas l'argent sur mon compte. J'ai pourtant informé l'assurance à plusieurs reprise du caractère urgent et butoir (24/04/2017) de ma demande  et toujours rien. C'est juste inadmissible. 
Attention a l'assurance que vous choisissez, car de mon vivant je n'arrive pas a récupérer mes fonds, alors je n'ose imaginer après  mon décès, quelle devrait être le parcours de mes enfants pour obtenir leur du.
Vu l'incompétence des conseillés, et l'abus de documents qu'ils demandent se n'est pas gagné.
Je déconseille a tout le monde de prendre un contrat dans cette assurance même si le placement semble alléchant.</t>
  </si>
  <si>
    <t>13/05/2017</t>
  </si>
  <si>
    <t>stephanie-64379</t>
  </si>
  <si>
    <t>Je suis inscrite depuis 2013. Très confiante de ma mutuelle.</t>
  </si>
  <si>
    <t>martin-a-122798</t>
  </si>
  <si>
    <t>Rien à signaler, bon accueil et gentillesse des intervenants, un peu déçue par la non prise en charge des dégâts fait au portail, et pas de véhicule de remplacement</t>
  </si>
  <si>
    <t>djeste59-114498</t>
  </si>
  <si>
    <t>Avis d'échéance transmis à quelques jours du terme et du prélèvement, avec une augmentation de prime inexpliquée de 13%.  Au regard du délai de prévenance, non règlementaire car trop court, et de l'augmentation significative et déconnectée de tout motif conjoncturel, du moins non justifié, je déconseille très vivement le renouvellement automatique annuel !</t>
  </si>
  <si>
    <t>christine-50847</t>
  </si>
  <si>
    <t>il fait se battre pour obtenir des réponses; le conseil juridique, pourtant prévu dans le contrat, ne répond pas</t>
  </si>
  <si>
    <t>02/01/2017</t>
  </si>
  <si>
    <t>kuhntresbien-70161</t>
  </si>
  <si>
    <t xml:space="preserve">J'ai un contrat  assurance  vie souscrit mi 2016  qui devait  progresser de 3 à 4% brut an, or il s'avère que je perds de l'argent: 10 % des sommes  versées à ce jour!!  </t>
  </si>
  <si>
    <t>12/01/2019</t>
  </si>
  <si>
    <t>loic-100921</t>
  </si>
  <si>
    <t>Très bonne assurance qu’on paie biencur comme toutes mutuelles mais bien content de l’avoir quand un accident ou une maladie touche nos animaux je la conseille vivement à tout ceux qui aiment leurs animaux</t>
  </si>
  <si>
    <t>jean-henri-g-134055</t>
  </si>
  <si>
    <t>Je suis content vraiment très content voir merveilleusement heureux et contente direct assurance bravo c'est super vraiment super.
Je pense en parler au tour de moi.</t>
  </si>
  <si>
    <t>youssef-b-129775</t>
  </si>
  <si>
    <t>malgrés les années d'ancienneté chez vous, je ne benefiecie d'aucune reduction de tarif sur mon assurance moto "Ducati" malgré l'installation d'un tracer coyote...</t>
  </si>
  <si>
    <t>kergad-76736</t>
  </si>
  <si>
    <t>Très très mauvaise expérience avec cette assurance qui ce permet de vous résilier sans AUCUNES raisons valable. Mon contrat était valide et en bon uniforme et j'aprends que mon contrat est résilié pour manque de la copie de ma carte grise à mon dossier. Ceci est totalement faux car il fut communiqué lors de l'inscription.
Après plusieurs tentatives de contact, la réponsable "Marie" essaie de trouver toutes autres raisons pour confirmer la résiliation, toutes les raisons évoquées sont fausses et ils ne veulent rien entendre. 
Je n'ose même pas imaginer ce qu'il se passerait lors d'un sinistre. J'espère pourvoir le mettre un procès au ***
Assurance a fuire!</t>
  </si>
  <si>
    <t>mdz-26451</t>
  </si>
  <si>
    <t>Passez votre chemin !!!!
Suite à l'achat d'un nouveau scooter je souscris une assurance chez april. C'est pas la moins chère mais leurs documentations faisait sérieuse.
La première étapes se passe très bien en 5 min vous avez une assurance provisoire d'un mois et vous avez payez (c'est le seul truc qui marche ...). C'est après que cela ce gâte. 
Le site internet pour télécharger les documents ne fonctionnement pas correctement. Vous téléchargez vos documents et il vous indiques que vous ne l'avez pas fait et vous pouvez recommencer 10 fois rien n'y fait !!!!
En désespoir vous envoyez plusieurs mails avec vos documents mais vous n'avez jamais de réponse( sauf l'accusé de réception). Vous appelez mais impossible d'avoir quelqu'un donc vous laissez un message sur le répondeur et là c'est pareil vous n'avez jamais de retour.
Au final 10 jours avant la fin de mon assurance provisoire je reçois un courrier AR qui m'indique que des documents sont manquants et que je suis résilié sous 10 jours !!!!
Tout mon dossier était complet et même si la conseillère que j'ai finis par avoir au téléphone me dit que c'est une erreur et qu'il on du retard. 2 jours avant la fin de mes 2 mois d'assurance provisoire réglementaire je n'ai toujours rien.
Le plus drôle c'est que si je vais voir une autre  assurance ce jour il faudra justifier la résiliation et là bon courage ....
En conclusion, c'est une assurance au même tarif que les autres avec un service client déplorable alors il vaut mieux aller voir ailleurs.
De plus si c'est aussi compliqué pour avoir sa carte verte je vous laisse imaginer si un jour vous avez besoin d'eux suite à un sinistre .....</t>
  </si>
  <si>
    <t>12/11/2019</t>
  </si>
  <si>
    <t>guerin-x-134649</t>
  </si>
  <si>
    <t xml:space="preserve">Très bien et rapide pour avoir un devis * conseiller très avenant, efficace et aimable * pannel de choix de tarification très intéressant et attractif </t>
  </si>
  <si>
    <t>27/09/2021</t>
  </si>
  <si>
    <t>rabu86-61363</t>
  </si>
  <si>
    <t>taux du fonds euro faible; service client inexistant : je viens de passer 2 fois 20 minutes au tél.sans que personne décroche...contrat  A FUIR</t>
  </si>
  <si>
    <t>12/02/2018</t>
  </si>
  <si>
    <t>stella-97541</t>
  </si>
  <si>
    <t>Surtout n'ayez pas de sinistres et de litiges et tout se passera bien...aucune aide, aucun soutien et bien sûr des prélèvements en temps et en heure!
Pour le reste vouez vous au bon dieu, lui vous écoutera peut-être.. ??</t>
  </si>
  <si>
    <t>17/09/2020</t>
  </si>
  <si>
    <t>sophia-i-130959</t>
  </si>
  <si>
    <t>Je suis satisfaite, jles prix sont beaucoup moins que chez les autres assurances . Je vais certainement faire un devis pour l’assurance habitation. Merci</t>
  </si>
  <si>
    <t>02/09/2021</t>
  </si>
  <si>
    <t>mathieu-b-134885</t>
  </si>
  <si>
    <t>Rapide, efficace et bon rapport qualité prix.
Je recommande AMV à tout nouveau motard qui cherche une assurance de qualité faite pour les motards et autre conducteur de 2 roues</t>
  </si>
  <si>
    <t>emmanuel-c-110702</t>
  </si>
  <si>
    <t>Je suis satisfait du service . Simple et rapide très bon rapport qualité prix 
C’est mon premier 2 roues le site est très bien fait je suis agréablement surpris des tarifs</t>
  </si>
  <si>
    <t>laurengine-75436</t>
  </si>
  <si>
    <t xml:space="preserve">Début de l'année 2018 j'ai pris une assurance auto chez AXA, on me propose une offre si je prends une assurance habitation + auto j'aurais 6 mois gratuit pour l'habitation... donc je souscris au 2 assurances, je paye mon assurance habitation pour 1 an en attendant le remboursement des 6 mois... je retourne chez l'assureur, au cour de l'année 2018 pour savoir où en est mon remboursement, première fois il faut attendre 6 mois, deuxième fois c'est 9 mois maintenant !!!! Mars 2019 je reçois l'avis déchéance pour cette année... toujours pas remboursement, je retourne chez mon assureur, ce coup-ci c'est un BUG !!!! et pour finir je reçois un mail de chez AXA : 
" Je me permets de revenir vers vous concernant la demande de remboursement concernant l'offre de l'année dernière,
En effet pour pouvoir bénéficier de cette offre il fallait que le mode de paiement soit en prélèvement automatique,
Hors votre mode d'encaissement est direct, nous sommes navrés de vous apprendre que vous ne rentrez pas dans les critères d'éligibilité..." 
Mon agent AXA ne m'a jamais de ces critères de paiement, je lui ai fait confiance... conclusion pour payer pas de problème aucun critère, mais pour ce faire rembourser !!!!!!! c'est Cool Chez AXADébut de l'année 2018 j'ai pris une assurance auto chez AXA, on me propose une offre si je prends une assurance habitation + auto j'aurais 6 mois gratuit pour l'habitation... donc je souscris au 2 assurances, je paye mon assurance habitation pour 1 an en attendant le remboursement des 6 mois... je retourne chez l'assureur, au cour de l'année 2018 pour savoir où en est mon remboursement, première fois il faut attendre 6 mois, deuxième fois c'est 9 mois maintenant !!!! Mars 2019 je reçois l'avis déchéance pour cette année... toujours pas remboursement, je retourne chez mon assureur, ce coup-ci c'est un BUG !!!! et pour finir je reçois un mail de chez AXA : 
" Je me permets de revenir vers vous concernant la demande de remboursement concernant l'offre de l'année dernière,
En effet pour pouvoir bénéficier de cette offre il fallait que le mode de paiement soit en prélèvement automatique,
Hors votre mode d'encaissement est direct, nous sommes navrés de vous apprendre que vous ne rentrez pas dans les critères d'éligibilité..." 
Mon agent AXA ne m'a jamais de ces critères de paiement, je lui ai fait confiance... conclusion pour payer pas de problème aucun critère, mais pour ce faire rembourser !!!!!!!
Début de l'année 2018 j'ai pris une assurance auto chez AXA, on me propose une offre si je prends une assurance habitation + auto j'aurais 6 mois gratuit pour l'habitation... donc je souscris au 2 assurances, je paye mon assurance habitation pour 1 an en attendant le remboursement des 6 mois... je retourne chez l'assureur, au cour de l'année 2018 pour savoir où en est mon remboursement, première fois il faut attendre 6 mois, deuxième fois c'est 9 mois maintenant !!!! Mars 2019 je reçois l'avis déchéance pour cette année... toujours pas remboursement, je retourne chez mon assureur, ce coup-ci c'est un BUG !!!! et pour finir je reçois un mail de chez AXA : 
" Je me permets de revenir vers vous concernant la demande de remboursement concernant l'offre de l'année dernière,
En effet pour pouvoir bénéficier de cette offre il fallait que le mode de paiement soit en prélèvement automatique,
Hors votre mode d'encaissement est direct, nous sommes navrés de vous apprendre que vous ne rentrez pas dans les critères d'éligibilité..." 
Mon agent AXA ne m'a jamais de ces critères de paiement, je lui ai fait confiance... conclusion pour payer pas de problème aucun critère, mais pour ce faire rembourser !!!!!!!
 </t>
  </si>
  <si>
    <t>27/04/2019</t>
  </si>
  <si>
    <t>samy-139426</t>
  </si>
  <si>
    <t>Bonjour, après une demande de renseignements sur une prise en charge, on me répond prise en charge totale. Or sur 69€ mon remboursement mutuelle n'a été que de 7€. 3 Réclamations successives, 2 en lignes et une écrite. On me répond en ligne complètement hors sujet et par écrit pas de retour. La mutuelle n'assume pas son erreur de mauvaise information, au contraire, ils répondent "remboursement conforme". Inadmissible. Et bien évidemment, aucun retour suite à ma réclamation par écrit. Un groupe de cette taille se doit de répondre aux réclamation  à ses adhérents avec un discernement et surtout avec de la conformité en cohérence avec la demande du sociétaire.Je ne recommande pas.</t>
  </si>
  <si>
    <t>11/11/2021</t>
  </si>
  <si>
    <t>prisca-76522</t>
  </si>
  <si>
    <t>Service client facile à joindre mais les tarifs sont onéreux notamment pour la voiture bien que je sois cliente depuis de très nombreuses années et que je possède 4 contrats chez GMF.</t>
  </si>
  <si>
    <t>05/06/2019</t>
  </si>
  <si>
    <t>pierre-m-125005</t>
  </si>
  <si>
    <t xml:space="preserve">Bonjour
Juste le regret de ne pouvoir transférer mon compte existant étant déjà client
Mais parfait pour le reste
Merci.................... 
Cordialement </t>
  </si>
  <si>
    <t>jg-72108</t>
  </si>
  <si>
    <t>Accrochage : l'adversaire refuse de remplir le constat.
Direct assurance envoie 2 lettres à son assurance en 2 mois et si pas de réponses, tout est à ma charge : nous ne sommes pas la police : pas de courrier recommandé, pas de mise en demeure : démerdez-vous</t>
  </si>
  <si>
    <t>patrick-p-130438</t>
  </si>
  <si>
    <t>Aucun problème à ce jour, réponse aux questions rapides et conformes à mes attentes. Très bon service client, compétent. Prestations ayant un très bon rapport qualité/prix</t>
  </si>
  <si>
    <t>ludo-54894</t>
  </si>
  <si>
    <t>bon prix, mais le moindre problème, plus personne, sachant que pour ma part ,ce sont eux qui ont provoqué le problème , moi ca  fini  chez que choisir ,emission de julien courbet  et mon avocat</t>
  </si>
  <si>
    <t>24/05/2017</t>
  </si>
  <si>
    <t>nazim-a-117186</t>
  </si>
  <si>
    <t>Je suis moyennement satisfait, j'esperais avoir un prix plus avantageux que les autres vu que j'ai deja assuré chez vous, surtout que les prix ont augmenté en 10 minutes de temps, ceux proposé intiallement etait moins cher j'ai rafraichis la page et les prix ont augmenté</t>
  </si>
  <si>
    <t>brehelin-m-127351</t>
  </si>
  <si>
    <t xml:space="preserve">Je suis satisfait du service les prix sont très raisonnables je remercie l’olivier assurances pour leur conseil et leur bonne humeur passer une agréable journée </t>
  </si>
  <si>
    <t>10/08/2021</t>
  </si>
  <si>
    <t>floflo73-50931</t>
  </si>
  <si>
    <t>Bonjour, je me bat aujourd hui depuis 2 mois et demis pour recuperer mon capital de 4000 euros . Apres un courrier pour le rachat total je devais sois disant le toucher au bout de 3 semaines et quand j appelle tous les interlocuteurs me répondent ben on sait pas pourquoi . Je n ai plus aucun retour car je suis passee par le responsable etc . Je n ai pas pu acheter de cadeaux pour mes enfants et je dois quitter mon appartement pour non payement de mes loyer depuis 3 mois suite à la vente de mon restaurant n ayant plus aucune ressources à cause d'eux de mon argent qu on ne veut pas me rendre ! C est inadmissible je hais cette assurance mensongère on nous mène en bateau tout le temps et on joue avec notre argent en laissant bien les gens dans la panade !!!!! j ai honte pour eux !!!! Et la cerise sur le gateau je recois un texto pour une bonne année !!!</t>
  </si>
  <si>
    <t>04/01/2017</t>
  </si>
  <si>
    <t>mcnobel-90702</t>
  </si>
  <si>
    <t>Aimerai bien avoir un rabais vu que c'est mon 3 véhicule que je vais assurer chez vous.
Service simple 
Satisfait dans l'ensemble.
J'espère avoir un geste commercial de votre part</t>
  </si>
  <si>
    <t>dudu43-88749</t>
  </si>
  <si>
    <t xml:space="preserve">In joignable que ce soit par mail ou par téléphone. Relances permanentes obligatoires pour espérer le versement des prestations. </t>
  </si>
  <si>
    <t>daktari-114391</t>
  </si>
  <si>
    <t xml:space="preserve">l assurance championne de la mauvaise foi !!!!!
en litige avec eux suite à un sinistre causé par une de leur assurée  et responsable à 100%
accident de janvier géré  par GROUPAMA toujours pas indemniser !
il leur manque toujours un document pour clore l affaire
il va falloir passer par un avocat
un pantalon à  40EUROS EST TROP CHER POUR EUX
et pourtant les assurances font partie de ceux qui s enrichissent suite au covid
je n irais jamais chez eux 
</t>
  </si>
  <si>
    <t>73-92518</t>
  </si>
  <si>
    <t xml:space="preserve">Je suis satisfait du site internet il est fluide et facile a comprendre. 
Pas mal a voir après souscription j'aimerais avoir une personne au tel
Cordialement 
Mickaël </t>
  </si>
  <si>
    <t>28/06/2020</t>
  </si>
  <si>
    <t>julien-130288</t>
  </si>
  <si>
    <t>Une bonne rupture du tendon d’Achille. Assuré Maif depuis des années (25 ans) avec tous les contrats possibles (confirmé un jour par un conseiller)….et aucune prise en charge. Un accident de la vie (rupture d’un tendon sans signe avant coureur) n’est pas prise en charge par le contrat accident de la vie. 
Pour info, j’ai appelé la GMF pour savoir si dans mon cas, j’aurais été accompagné. Et bien oui …. 
Je quitte donc la Maif en fermant la totalité des contrats y compris assurance vie et assurance prêt immobilier.
En discutant avec des amis, je ne suis pas le seul à trouver que la Maif a changé…. De solidaire on est à passé à solitaire ….</t>
  </si>
  <si>
    <t>michel-f-129738</t>
  </si>
  <si>
    <t xml:space="preserve">Simple, et rapide, pratique, bon prix...
Je regrette toutefois avoir du saisir à nouveau tous les détails me concernant pour un second véhicule alors que j'ai déjà un compte... </t>
  </si>
  <si>
    <t>lakisic-a-107600</t>
  </si>
  <si>
    <t>Je suis satisfait pour le moment, vous avez étaient rapide et efficace. Si les cotisations n'augmentent pas, l'année prochaine, je resterai chez vous!</t>
  </si>
  <si>
    <t>23/03/2021</t>
  </si>
  <si>
    <t>fatalys-68357</t>
  </si>
  <si>
    <t>J'ai pris un contrat auto axa pour ma nouvelle voiture et je n'est pas reçu le macaron vert donc j'ai résilier moins de 14 jours après la signature du contrat. Il me demande encore de payé</t>
  </si>
  <si>
    <t>05/11/2018</t>
  </si>
  <si>
    <t>zozo-72232</t>
  </si>
  <si>
    <t xml:space="preserve">ecxellent assureur ,j'était a la poste avant et je ne regrette pas d'avoir changer pour allianz pour un prix inférieur et de de meilleurs protections ,au moins eux ont les as toute suite au téléphone ,le personnel est aimable ,et les dossiers sinistre sont traiter rapidement </t>
  </si>
  <si>
    <t>nicolas-138351</t>
  </si>
  <si>
    <t>Cela fait 20 ans que je suis à la MAIF je ne leur ai jamais rien demandé. J'ai perdu mes clés semaine dernière je voulais tout simplement faire marcher l'assurance. Évidemment c'est le seul assureur qui ne rembourse pas l'intervention d'un serrurier. Cela fait 20 ans que j'ai entendu dire que mon contrat raqvam est-ce qu'il y a de mieux sur le marché que j'aurais tort de partir. J'ai la sensation de me faire rouler dans la farine que l'on m'ait menti et qui se présente comme une mutuelle En aucune manière je recommande cette assureur</t>
  </si>
  <si>
    <t>delphine-b-132516</t>
  </si>
  <si>
    <t>Je suis satisfaite du service,  simple et rapide.
Efficace et rapide, je vous remercie. 
Nous nous tenons au courant pour la suite des démarche à suivre</t>
  </si>
  <si>
    <t>remus62-72400</t>
  </si>
  <si>
    <t>Suite à un sinistre, Direct Assurance m'a orienté vers un garage partenaire qui se trouve définitivement fermé. Cela fait 15 jours que j'essaie d'appeler le service Sinistre par l'application sans résultat et mes mails ne sont pas traités. Très en colère !!!</t>
  </si>
  <si>
    <t>gini-63373</t>
  </si>
  <si>
    <t xml:space="preserve">Assurée depuis quelques années, maison, voiture (tout risque et en plus bonus maximum), enfants (civile).en juillet, dégât des eaux peu important (coupure d'électricité due aux orages, réfrigérateur arrêté = dégât des eaux). L'expert passe et constate que la valeur mon mobilier est plus important que sur mon contrat et que mon salon est grand donc une pièce de plus à mon contrat. La MACIF prend en charge les frais mais me menace par courrier que la prochaine fois je ne serais pas remboursée car mon contrat n'était pas correct. S'agissant d'une construction, il est bien évident que 4 ans auparavant mes meubles ont été rachetés et que la valeur a donc augmentée et lors de la mise au point du contrat, ils demandent le nombre de pièces et le nombre de mètres carré total de la maison. Deuxième point : Ma voiture assurée tout risque a été vandalisée en décembre 2017, sur tout le côté gauche. On m'annonce 500 euros de franchise et porter plainte au commissariat. Chose faite. La police fait le tout de la voiture et constate que le côté droit a aussi été touché. Ils le signalent dans le procès-verbal. L'expert passe, ne tient pas compte du procès-verbal de la police. Juste des notes que la MACIF a prises lors de mon premier appel téléphonique. C'est à dire, côté gauche point barre ! J'ai donc payé 500 euros pour une rayure sur l'aile avant gauche, et les deux portières côté gauche ... ils n'ont même pas été jusqu'à l'aile arrière gauche. Le côté droit est donc resté rayé ... troisième chose : il y a un mois, mon fils de 13 ans est sorti du collège en courant et à bousculer une fille. Elle a fait tomber son portable et ce dernier est cassé. J'ai appelé la MACIF de suite. Il m'annonce que l'assurance civile ne prend pas en compte ce genre d'incident car cela s'est passé devant le collège et non dedans. Très étonnée, je pose des questions et ne trouve pas cela normal puisque chaque année, la MACIF envoie des attestations d'assurance scolaire. Et bien pour couronner le tout, ils m'annoncent que j'avais bien une assurance extra-scolaire pour mes enfants à 0,70 centimes par mois par enfant mais que j'ai appelé la MACIF pour l'arrêter. Je leur dis que non, ils insistent. Je leur demande donc les dates de mon "soit disant" contrat. Et bien, je suis tellement stupide "à leurs yeux" que j'ai pris une assurance en août 2014 et que je n'ai pas renouvelé en 2015 donc arrêt d'office. Juste pour info, mes enfants sont nés en 2000 et 2004. Si j'avais dû prendre une extra-scolaire, je l'aurais prise en 1ère année de maternelle de chacun de mes garçons. Surtout pour le centre aéré, les sorties scolaires, les colonies de vacances. Et non à l'âge de 14 et 10 ans. De plus, suivant jugement de 2007, je n'ai jamais eu mes enfants en août car ils sont en vacances chez leur père. J'ai donc autre chose à faire en août que d'appeler mon assurance pour souscrire n'importe quel contrat. Bref, je suis très déçue et cette semaine, si tout cela n'est pas régularisé, je change d'assureur. Bonne journée
</t>
  </si>
  <si>
    <t>18/04/2018</t>
  </si>
  <si>
    <t>meone-89530</t>
  </si>
  <si>
    <t>ne souscrivez surtout pas auprès de cette compagnie</t>
  </si>
  <si>
    <t>11/05/2020</t>
  </si>
  <si>
    <t>amel-s-114456</t>
  </si>
  <si>
    <t>Satisfait e du service et du prix tout est simple et rapide pas de prises de tête on est rapidement mise en service et pas de blabla pour rien super contente</t>
  </si>
  <si>
    <t>francisco-d-125269</t>
  </si>
  <si>
    <t>Pour donner les renseignements c'est très long à remplir mais c'est assez simple vers la fin et le prix est intéressant merci à vous  bien cordialement</t>
  </si>
  <si>
    <t>28/07/2021</t>
  </si>
  <si>
    <t>odeyer-a-123234</t>
  </si>
  <si>
    <t xml:space="preserve">Service bon personnel agréable  mais le prix trop élève pour un trier  mais pas le choix si le prix serais moin élève je vous conseillé a mais proche </t>
  </si>
  <si>
    <t>jorge-d-114091</t>
  </si>
  <si>
    <t>Direct assurance n'est à l'écoute ni au service de ses clients. Il faut faire le travail de direct assurance pour être indemnisé de ses droits. 
Aucune aide pour résoudre un sinistre, la réponse est : c'est le code des assurances/</t>
  </si>
  <si>
    <t>youyoune-53275</t>
  </si>
  <si>
    <t xml:space="preserve">pas de déception service haut de gamme écoute conseil au top j'ai eu un sinistre et j'ai reçu le virement le lendemain </t>
  </si>
  <si>
    <t>14/03/2017</t>
  </si>
  <si>
    <t>manon1409-124236</t>
  </si>
  <si>
    <t>les remboursements sont tres tres longs soit ils n'ont pas reçus les documents  pour les remboursements? Leur tactique est qui n'ont aucun document sur le remboursement demandé Donc soit les renvoyés soit par la poste soit par internet même en recommandés avec AR ils seront capable de vous dire qu'ils n'ont pas les documents  La sécurité Sociale rembourse assez rapidement (  48h ) mais eux c'est 48 jours voir plus et encore Je me demande s'ils ne remboursent qu'une seule fois par mois ???  Je n'ai qu'une envie c'est de quitter cette mutuelle malheureusement je suis obligé d'attendre la fin de la première année du contrat. Leu bénéfice doit être important !!!!! sur le dos des clients</t>
  </si>
  <si>
    <t>christian-55579</t>
  </si>
  <si>
    <t>j ai eu mon premier contrat chez allianz pour un changement d auto le 26/06/2014! la premiére année le service etait correct la seconde année mon tarif a augmenté lors de ma demande de renseignement m ont répondu que cela était normal!tout a dérapé a partir du moment ou j ai été victime de deux choc sur mon véhicule en stationnement dont le second ou il y avaitquatre véhicule en cause ! donc j etais pas responsable ceci arrivant pour moi un 31/12/2016 a 8h30 donc véhicule remorqué ! déclaré irréparable economiquement! donc lenteur pour etre indemnisé malgrés avoir suivis le protocole allianz pour les garage partenaire! donc je remplace le véhicule le 17/01/2017 donc avenant de contrat avec nouveau tarif vu que je prend en charge un garage individuel pour la sécurité ettrois mois apres allianz me fait un avenant de contrat sans m en avertir avec une augmentation de tarif de 262euros pour l année sans augmenter les garantie!donc n ayant pas pu avoir une réponse de leur part que ce sois au niveau de l agent général que du service client allianz a paris ne répondent ni au mails et ni par courrier papiers postal! donc selon la loi hamon j ai résilié mon contrat! j ai jamais rencontré de tell difficulté de communication avec un assureur en 27anneés d assurances!</t>
  </si>
  <si>
    <t>22/06/2017</t>
  </si>
  <si>
    <t>cocolabe-97551</t>
  </si>
  <si>
    <t>Les démarches pour souscrire cette assurance se sont entièrement faites par téléphone et mail. Un service technologique à la pointe et une réactivité très appréciable de la part des divers services concernés.j envoie mes demandes par mail et au même temps j appel mon conseil attitré qui me confirme la réception d mail et que j aurai une réponse dans 2 jours et c est toujours le cas Bravo et merci !</t>
  </si>
  <si>
    <t>louloutedu98-66469</t>
  </si>
  <si>
    <t>tres étonnée de laccueil et vraiment satisfaite pourl instant une dame m a conseillé une formule que je connaissai pas et j'en suis bien</t>
  </si>
  <si>
    <t>29/08/2018</t>
  </si>
  <si>
    <t>pedoux-k-124292</t>
  </si>
  <si>
    <t>Satisfais de l'assurance et des tarifs , tres bonne communications avec mon interlocuteur , c'est mon deuxième contrat et je pense que les prochains véhicules seront assuré a l'olivier assurance</t>
  </si>
  <si>
    <t>heugue-n-135462</t>
  </si>
  <si>
    <t xml:space="preserve">Simple, rapide , je pense avoir reçu un bon conseil en écoutant mon mari qui à insisté pour que je vous contacte. Reste à compléter les derniers documents. </t>
  </si>
  <si>
    <t>alexandre-l-132309</t>
  </si>
  <si>
    <t>1ERE ADHESION..  EN ATTENTE D INFOS SUR LA MENSUALISATION. APRES LONGUE ATTENTE TELEPHONE, ABANDON, DONC AVIS DECALE A VOIR ULTERIEUREMENT.PRIX MALGRE TOUT ATTRACTIF.</t>
  </si>
  <si>
    <t>djamel-b-126139</t>
  </si>
  <si>
    <t xml:space="preserve">Satisfait deuxièmes contrat chez direct assurance
Satisfait deuxièmes contrat chez direct assurance
Satisfait deuxièmes contrat chez direct assurance
</t>
  </si>
  <si>
    <t>baudry-m-128484</t>
  </si>
  <si>
    <t xml:space="preserve">Conseiller au top ! 
Compréhensible, à l’écoute, et malgré mon malus une assurance qui prend le temps de faire le point sur le dossier.
Merci à vous ! </t>
  </si>
  <si>
    <t>vaillant-l-122175</t>
  </si>
  <si>
    <t>satisfaite du service, prix attractifs surtout pour un nouveau permis. Service client disponible et consciencieux. Rapidité de création du contrat et bons conseils</t>
  </si>
  <si>
    <t>zephir-66708</t>
  </si>
  <si>
    <t>Suite au passage d'un expert, l'assurance requalifie un couloir en pièce à vivre. la MACIF cite le code des assurances, qui indique ne pas tenir compte des meubles pour définir une pièce principale, mais la MACIF retient qu'il y ait des meubles pour en changer la nature. Le conseiller clientèle à qui j'indique qu'occasionnellement nous mangeons dans cette pièce me reproche de jouer sur les mots!!</t>
  </si>
  <si>
    <t>14/09/2018</t>
  </si>
  <si>
    <t>ag-114352</t>
  </si>
  <si>
    <t>Je suis assurée pour mon véhicule depuis 42 ans tout de suite après avoir eu mon permis de conduire J'ai bénéficié des conditions "bon conducteur" bonus à 50 Très peu de sinistres en 42 ans Et là, mal chance mon véhicule pillé de ses optiques arrières sur le parking du personnel  de mon lieu de travail soit le CHU Afin d'éviter de me re-faire vandaliser mon véhicule je l'ai garé dans un endroit moins visible sur ce parking  et de ce fait moins facilement accessible Par mal chance j'ai heurté un pilier pour manoeuvrer au mieux Donc effectivement deux sinistres rapprochés De victime de vandalisme, je me retrouve coupable aux yeux de mon assureur. La MAAF ne renouvelle pas mon contrat d'assurance pour 2022 Je suis scandalisée....Même le Directeur de l'agence locale de la MAAF trouve cette sanction trop sévère et soit disant "irrévocable"...J'ai un profond sentiment d'injustice et de malveillance de la part de la MAAF c'est SCANDALEUX
Leurs fichiers ne tiennent pas compte de la raison des sinistres ni ne fait un lissage de la frequence des sinistres sur la longévité des contrats  et aucune différence n'est fait entre un gros délinquant de la route et un conducteur sérieux.</t>
  </si>
  <si>
    <t>20/05/2021</t>
  </si>
  <si>
    <t>anne--charlotte--n-115139</t>
  </si>
  <si>
    <t>Satisfaite du du  service mais l'assurance a augmenté encore cette année alors que je n'ai eu aucun accident.
sinon rien à signaler sur vos services..</t>
  </si>
  <si>
    <t>jean-christian-f-107621</t>
  </si>
  <si>
    <t>RAS 
Je n'ai pas eu besoin de vos service pour l'instant, aussi je donnerai un avis plus précis le cas échéant, si je suis satisfait ou insatisfait. Je trouve dommage que pour un changement d'adresse on soit obligé de renseigner à nouveau les références du compte bancaire. Quel intérêt ?</t>
  </si>
  <si>
    <t>gmflol-323-57155</t>
  </si>
  <si>
    <t>Une demi-douzaine de contrats chez eux depuis plus de 10 ans. Un accrochage responsable avec quelques centaines d'euros de frais de carrosserie. Résultat la GMF m'augmente ma cotisation annuelle auto de 800€?! Quel est l'intérêt d'une assurance dans ce cas? Je vais à la concurrence avec les contrats auto, maison, accident/familles etc et découragerait mes proches de rester chez eux. Bref quelques milliers d'euros en moins pour eux grâce à leur politique pitoyable</t>
  </si>
  <si>
    <t>06/09/2017</t>
  </si>
  <si>
    <t>elsa-f-134388</t>
  </si>
  <si>
    <t>satisfaite le prix est top j'ai comparé avec mon ancienne assurance et il y a 200 euro de différence avec mon ancienne voiture, et sur la nouvelle 100 euro de différence sur les devis, les garantie sont un peu plus élevé chez l'autre assurance mais le prix c'est le plus important</t>
  </si>
  <si>
    <t>ct-116362</t>
  </si>
  <si>
    <t>je pense payer très cher ma mutuelle par rapport aux autres avec semble t-il les mêmes prestations si ce n'est que le capital décès au profit de ma famille.
En option, il serait très souhaitable d’inclure les médicaments de confort beaucoup plus sain pour la santé. C'est je crois le minimum que je puisse vous demander vu la somme importante payée chaque mois.</t>
  </si>
  <si>
    <t>malicia-100641</t>
  </si>
  <si>
    <t xml:space="preserve">A fuir l'une des pire mutuelle de santé qui existe.
Viasante ne rembourse que lorsque ce sont des petits montants.
Aucun serieux sauf pour les prélèvements.
Chère pour rien.
Si vous me lisez je vous déconseille fortement autant ne pas prendre de mutuelle.
</t>
  </si>
  <si>
    <t>font14-77431</t>
  </si>
  <si>
    <t>Bonjour vraiment une assurance a déconseiller suite à une prévoyance prise au 1 aout 2018 avec une carence de 3 mois d accord comme dans toutes les assurances , mais à ce jour on me refuse toute indemnisation pour un jeu de mots parce ce que j 'ai consulté le spécialiste en octobre 2018 et cela était dans les 3 mois de carence.Alors aucune opération de prévu mais en mai 2019 je dois me faire opéré et on me refuse l 'indemnisation parce que j 'ai consulté dans les 3 premiers mois.j aurai regardé tous ses commentaires avant cela aurait déterminé mon choix vers une prévoyance .Quel regret!!!Vivement la date anniversaire .</t>
  </si>
  <si>
    <t>08/07/2019</t>
  </si>
  <si>
    <t>alexandra-w-134364</t>
  </si>
  <si>
    <t xml:space="preserve">Je suis satisfaite, je recommande votre application a mes proches elle est très bien faite et très didactique 
Je vous recommande pour un futur contrat ou un renouvellement </t>
  </si>
  <si>
    <t>philippe-82004</t>
  </si>
  <si>
    <t>Suite au  décès de mon  père  et la demande de pièces justificatives au 30/09 il a fallu les relancer pour l'envoi des pièces justificatives à fournir. Le dossier complet a été expédié le 30/09 en AR,non versement du capital assurance vie dans le délai légal d'1 mois au 2/12. Nous passons par notre association de défense consommateurs la  CLCV avec envoi d'un courrier le 6/12. Voici les articles de loi du Code des assurances qui s'appliquent dans le cadre des assurances vie: Art L132-23-1 Code des Assurances +loi Eckert L132-5.Le capital non versé produit de plein droit des intérêts au double du taux légal 6.52 pendant 2 mois , puis au triple..si non versé dans les délais et le capital produit des intérêts  à partir de la date du décès.</t>
  </si>
  <si>
    <t>17/12/2019</t>
  </si>
  <si>
    <t>djonksny-102145</t>
  </si>
  <si>
    <t xml:space="preserve">1 an de cotisation versé en trop car ils ne prennent pas en compte le certificat de cession... Inadmissible... On ne my reprendra plus !! À fuir. Je ne recommande pas du tout </t>
  </si>
  <si>
    <t>Euro-Assurance</t>
  </si>
  <si>
    <t>djidji89-63329</t>
  </si>
  <si>
    <t xml:space="preserve">etant sur la mutuelle depuis 2012 jesuis tres sensible a avoir ete contacte par vos service spour une rmise a jour denmon contrat  celui ci etant un peu caduque par rapport aux nouvelles conventions et aux nouveaux tarifs mis en place par vos soins la personne qui m a contactee etant tres aimable et competante je vous remarcie de vos services </t>
  </si>
  <si>
    <t>17/04/2018</t>
  </si>
  <si>
    <t>nadege-c-108895</t>
  </si>
  <si>
    <t xml:space="preserve">utilisation Simple et pratique, souscription rapide et efficace.
Formalité simplifié
Je recommande la souscription en ligne pour votre assurance scooter.
</t>
  </si>
  <si>
    <t>seiller-z-134495</t>
  </si>
  <si>
    <t>Satisfait des échanges téléphoniques avec le service client.
Peu de temps d'attente au téléphone.
Personne agréable.
Rapidité de gestion du dossier.
Tarif non abusif</t>
  </si>
  <si>
    <t>getald-d-135169</t>
  </si>
  <si>
    <t xml:space="preserve">Je satisfait réponse rapide et assure rapidement les tarifs sont abordable
Et je compte en parle autour de mois merci de n avoir accepte comme nouveau client
</t>
  </si>
  <si>
    <t>nicolasbolea--126176</t>
  </si>
  <si>
    <t xml:space="preserve">Le service après sinistre laisse vraiment à désiré au vu du montant de cotisation mensuel en tous risques …
J’ai le sentiment que l’assurance  aborde le dossier en se servant de chaque biais possible pour ne pas payer le montant des réparations, la discussion n’est pas possible. Je suis un client de longue date très déçu de la façon dont il a été traité et recommande à quelqu’un qui cherche à souscrire à une assurance, de s’orienter vers une compagnie dont la politique commerciale est plus orientée « client ». 
</t>
  </si>
  <si>
    <t>karim-e-129981</t>
  </si>
  <si>
    <t xml:space="preserve">Je suis satisfait pour le prix j attends de voir comment est cette assurance dans le futur pour voir comment se comporte le service client si il a un accident ou autre demande </t>
  </si>
  <si>
    <t>yannick-a-108454</t>
  </si>
  <si>
    <t>Nul ! Contact commercial et attitude commerciale nuls ! Je ne recommanderai jamais direct assurance à qui que ce soit ! Bien au contraire ! Pas de réponse aux demandes faites et envoi de mises en demeure et menace de tribunal sans que le client sache pourquoi ! Déplorable !</t>
  </si>
  <si>
    <t>30/03/2021</t>
  </si>
  <si>
    <t>fleury-c-112591</t>
  </si>
  <si>
    <t>Une heure au téléphone pour me redemander TOUTES mes informations. Et la je dois renvoyer toutes mes informations alors que vous avez TOUT. J'avais justement mis en pause mon ancien contrat dans l'attente d'un rachat d'une voiture....</t>
  </si>
  <si>
    <t>alyzee60-100419</t>
  </si>
  <si>
    <t xml:space="preserve">Très Très Très mécontent du traitement par le service prestations dépendance autonomie
Délai très long, car apparemment personne ne suit ou instruit le dossier de demande de rente. Alors sous effectif, désorganisation, ou volonté de ne pas redistribuer les fonds collectés ??? dans un climat national de suspicion , rien de tel pour en rajouter NON ?
Donc il faut les contacter régulièrement toutes les 4semaines par téléphone pour s'informer de l'évolution, qui au final n'a pas avancer du tout.... c'est que l'on vous répond !!!! 
Puis leur faire un mail pour retranscrire la conversation et leur signifier le mécontentement, le sentiment d'abandon ou de désintérêt vis à vis de leur clientèle, le sentiment de leur inefficacité, ou de leur incompétence ? c'est pas élogieux, c'est désagréable de leur signifier ce constat.
Et surtout leur rappeler que pendant ce temps les prélèvements des versements mensuels continuent, alors qu'on attend une aide financière !!! oui et que eux contribue par leur retard et inaction à vous mettre en état de difficultés. Un comble pour un cntrat de dépendance censé vous venir en aide le moment venu
</t>
  </si>
  <si>
    <t>21/11/2020</t>
  </si>
  <si>
    <t>loc88-85965</t>
  </si>
  <si>
    <t>Assurance au top, super tarif, super conseillers, très satisfait de l ensemble des services. Assureur réactif!</t>
  </si>
  <si>
    <t>lam-guillaume-p-126131</t>
  </si>
  <si>
    <t xml:space="preserve">Heureusement que vous priposez des packs complementaires sunon je n aurais pas souscrit à votre contrat. J ose espérer que les services seront à la hauteur le cas échéant. </t>
  </si>
  <si>
    <t>gaetanjesus-75446</t>
  </si>
  <si>
    <t>SantéVet respecte le contrat. Ils ne rechignent jamais à rembourser, remboursement très rapide en 48 et 96h, je recommande +++</t>
  </si>
  <si>
    <t>didier-b-123572</t>
  </si>
  <si>
    <t>Je suis à bientot 300 €, en 6 annnées 70 € d'augentation je trouves que c'est beaucoup. Lors d'un contact il y a 2 ans on m'avait assuré que les tarifs allaient se stabiliser, je constate que ce n'est pas le cas. Cordialement</t>
  </si>
  <si>
    <t>tarruella-a-116201</t>
  </si>
  <si>
    <t>AUCUN PROBLEME ,facile est assez simple .je n ai eu aucun problèmes pour remplir les documents demandés. assez rapide est assez clair .je vais aller sur mon compte voir si je peu imprimer mon assurance .si oui alors je serai pleinement satisfait.</t>
  </si>
  <si>
    <t>07/06/2021</t>
  </si>
  <si>
    <t>toulousain-65584</t>
  </si>
  <si>
    <t>Ayant été à la MAIF toute ma vie, tout se passait bien jusqu'à ce que j'ai besoin d'eux! Suite à un orage accompagné de vents violents, une porte a claqué très violemment dans mon appartement, se détruisant ainsi que son montant et le mur lui même! Etant assuré contre les intempéries, il est normal que la MAIF me rembourse les réparations. Réponse du service client : je ne suis pas assuré contre les courants d'air ! Je leur ai envoyé des photos de mon mur et des articles de journaux sur ledit "courant d'air", et n'ai pas obtenu de réponse. Aujourd'hui, je quitte cette assurance qui ne respecte pas ses clients!</t>
  </si>
  <si>
    <t>mm-53953</t>
  </si>
  <si>
    <t xml:space="preserve">LABORIEUX !!
3 mois 1/2 pour m entendre dire à chacun de mes appels que je dois patienter pour que mon arrêt de travail soit enfin traité. Aucune réponse par mail, et au téléphone, à chaque fois une info différente avec souvent froideur et désinvolture. </t>
  </si>
  <si>
    <t>princy1-117043</t>
  </si>
  <si>
    <t>La mutuelle de mon maris j'en peux déjà plus.
Déjà à l epoque je leur envoi un devis, ils me disent que c'est une facture.
La secrétaire du taff de mon maris leur envoi papier ou s'est indiquer prel mensuelle et un rib.
Ils nous disent paiement en 3 fois.
Puis mon maris les appelle à 2 reprises pour avoir un sepa, moi 2 mails via le compte de la mutuelle pas de réponse.
Il envoi par mail le sepa. Et la je reçois un courrier dater du 04/06 (on est le 14/06)  ou il faut remplir le sepa et envoyer un rib.
Je fais quoi je pleur ou je ris</t>
  </si>
  <si>
    <t>14/06/2021</t>
  </si>
  <si>
    <t>jrkt06-64114</t>
  </si>
  <si>
    <t xml:space="preserve">Délai de traitement dés dossier trop long , j attend mon complément de salaire depuis février , toujours un soucis dans les papiers. Ils ont énormément de retard dans le traitement dés dossier , il faut attendre minimum 3 semaine pour qu il vous traite votre dossier , et si par malheur il manque un document il faut encore attendre minimum 2 semaine . J ai cette prévoyance par mon travail , mais je la déconseille fortement . Comment voulez-vous vous soigner si on vous paye pas ? </t>
  </si>
  <si>
    <t>21/05/2018</t>
  </si>
  <si>
    <t>rey-p-135225</t>
  </si>
  <si>
    <t xml:space="preserve">Cest un peu cher mais les remboursement sont bon 
je suis nouvelle cliente donc je ne peux dire je suis vraiment satisfaite des service de votre mutuelle </t>
  </si>
  <si>
    <t>tony-64521</t>
  </si>
  <si>
    <t>Très bureaucratique. Les courtiers ne transmettent pas toujours les demandes des clients au siège d'AFER. J'avais demandé une sécurisation des gains en juillet 2018. Le courtier vient de s'apercevoir qu'il n'avait pas transmis le document. Je ne suis pas du tout rassuré et je n'envisage plus d'acheter des unités de compte. Je n'ai plus confiance dans le courtier. Je suis à AFER depuis 1991.....</t>
  </si>
  <si>
    <t>14/01/2019</t>
  </si>
  <si>
    <t>lazoule-97235</t>
  </si>
  <si>
    <t xml:space="preserve">relativement pas bon marché ,mais une qualité de service irréprochable ,
remboursement des réparations ultra-rapide,
plate forme de contact très disponible et rapide </t>
  </si>
  <si>
    <t>10/09/2020</t>
  </si>
  <si>
    <t>nicolas-m-129189</t>
  </si>
  <si>
    <t xml:space="preserve">Je suis satisfait de ma demande de devis par téléphone et par le rapport qualite prix. Je tâcherai de parler de cette meme assurance a mes connaissances qui vont acquérir un nouveau véhicule </t>
  </si>
  <si>
    <t>jess-85634</t>
  </si>
  <si>
    <t>Bonjour j'ai eu un souci pour créer mon compte je suis tombé sur une personne dont le prénom est gwendal c'est une personne très agréable qui connaît entièrement son métier et qui a pu intervenir pour que je puisse accéder à mon compte au niveau de la mutuelle et je la remercie encore c'est une très bonne personne cordialement Mademoiselle Succo</t>
  </si>
  <si>
    <t>08/01/2020</t>
  </si>
  <si>
    <t>raboliot-81263</t>
  </si>
  <si>
    <t>Suite à une chute violente durant ma vie privée, en 2015 j ai été expertisé par un médecin conseil d allianz et résultat aucune indemnités. Aujourd'hui en 2019 la sécurité sociale m'a classé invalide niveau 2.Le plus difficile pour moi c'est d'avoir travaillé de nombreuses années   pour cette compagnie et d'avoir vendu ce produit a mes clients qui me faisaient confiance.</t>
  </si>
  <si>
    <t>22/11/2019</t>
  </si>
  <si>
    <t>nicolas-115730</t>
  </si>
  <si>
    <t xml:space="preserve">Satisfait des contacts téléphoniques avec une seule et même personne compréhensive et compétente.                                                       </t>
  </si>
  <si>
    <t>crikop-96261</t>
  </si>
  <si>
    <t xml:space="preserve">assurance à éviter ! après contact téléphonique ou par mail ,  ils vous font très rapidement adhérer à un contrat santé avec signature électronique ! dans ce contrat santé , ils englobent d'autres contrats additionnels dont ils se gardent bien de vous parler , à savoir accident et hospitalisation ! quand vous demandez à résilier , la réponse se fait bien sur attendre ( même par lettre recommandé avec AR ) et s'ils finissent par vous résilier le contrat santé , on continue à vous prélever de facon abusive les sommes correspondantes des deux contrats accident et hospitalisation ! et lorque vous sollicitez la résiliation , on vous informe que le délai est de 1 mois ! je dénonce donc les méthodes de vente employées par génération assurances cocoon , ainsi que le manque d'information sur ces contrats supplémentaires qu'on vous glisse habilement et qu'on continue à vous prélever ! ce sont des pratiques abusives et indignes contre lesquelles on doit lutter avec acharnement ! </t>
  </si>
  <si>
    <t>marina-60760</t>
  </si>
  <si>
    <t>Je mets 1 étoile pour qualité du service client et satisfaction car je ne peux pas mettre moins. Fuyez cet assureur, il trompe ses clients sur les fins de contrat en donnant des mauvais renseignement sur comment résilier et ne clôt pas les contrats. Résultat votre dossier se retrouve chez huissier et vous n'avez aucune voie de recours à par payer. Il y a des assureurs plus compétents et honnête sur le marché.</t>
  </si>
  <si>
    <t>david-g--115525</t>
  </si>
  <si>
    <t xml:space="preserve">Contect téléphonique avec l'assistante commerciale Maria, pour le suivi d'une demande. Accueil chaleureux, bonne compréhension de mes questions et réponses adaptées pour la résolution d'un des problèmes (activation de l'espace service). En revanche, à posteriori, information partiellement inexacte ou incomplète sur la possibilité de faire la simulation en ligne d'un ajout de bénéficiaire. Dans le complexe, satisfaisant </t>
  </si>
  <si>
    <t>vali-76951</t>
  </si>
  <si>
    <t>Je déconseille très fortement cette mutuelle les délais sont très long et des fautes des fautes sont commises. Si je pouvais ce serait 0 étoile… C'est une mutuelle à fuir. Mutuelle obligatoire au travail, si je pouvais je changerai.</t>
  </si>
  <si>
    <t>20/06/2019</t>
  </si>
  <si>
    <t>fafa-66911</t>
  </si>
  <si>
    <t xml:space="preserve">Bon soir j était cliente chez La maif suite a Degats d eaux il mon résilié mon contra habitation et voiture mon habitation à était reconnue inhabitable en juillet 2017 depuis plus de nouvelles de La maif malgré plus contra d habitation que jnavais prie il mon loge moi et mes enfants dans un hotel pendants 7jour apre plus rien je bat pour le renbourses de mes meuble jbai touts perdu dans ce Degats d eaux je battue pendant 1mois pour que La société d HLM me relonge depui je vie dans appartement avec un bail précaire quand touts moment jenoeu me retrouve dehort avec mes enfants mon appartement et pas mebleu faut de moyen vue l assurances ma toujour pas indemnisé nous dormons aras le sol avec mes enfants donc tourjour pas de nouvelle j apel la maif mes on me balade de bureau en bureau La justice et vraiment que pour les riches </t>
  </si>
  <si>
    <t>renaud-g-110759</t>
  </si>
  <si>
    <t>C'est simple et pratique. 
Un petit point, en entarnt le code postal 80100 de la banque celle-ci n'apparaissait pas dans la liste
Nota: je n'ai pas vu apparaitre la date de début du contrat d'assurance</t>
  </si>
  <si>
    <t>17/04/2021</t>
  </si>
  <si>
    <t>wa-85774</t>
  </si>
  <si>
    <t xml:space="preserve">Pour l'othodontie de mon fils la MGP m'a conseille d augmenter les garanties soit environ 40 euros de plus par mois. Pour un enfant de 14 ans payer plus de 65 euros par mois c'est déjà dur mais bon, c'est pour son bien. Or, belle surprise sur le remboursement. En résumé j'ai payé une majoration d'environ 480 euros à l'année pour une prise en charge de...400 euros par la mutuelle. On s'approcherait presque de l'escr. . . 
car oui, la MGP avait le devis donc le conseil qui m'a été fait l'a été en connaissance de cause. Mais évidemment la MGP m'avait menti sur le remboursement de la sécu et la prise en charge de leur part. Effectivement je ne devais rien débourser mais aujourd'hui il me reste 80 euros à charge. J'aurais été gagnant en fin de compte de mettre 40 euros de cote par mois...bref, vous comprendrez donc que je ne la recommande pas. </t>
  </si>
  <si>
    <t>11/01/2020</t>
  </si>
  <si>
    <t>azursoleil-64141</t>
  </si>
  <si>
    <t>BONJOUR. J  aurai préféré pas avoir un accident et des malus toute ma vie..ms hélas l accident sans tiers est arrivé. J appelle l assurance ..on me dit que je suis pas indemnisé mais je ss bien assuré</t>
  </si>
  <si>
    <t>23/05/2018</t>
  </si>
  <si>
    <t>gnose5757-86709</t>
  </si>
  <si>
    <t xml:space="preserve">Gwendal , Interlocuteur efficace et précis  dans sur les explications de la télétransmission . Ce qui n'est pas le cas d'autres mutuelles </t>
  </si>
  <si>
    <t>04/02/2020</t>
  </si>
  <si>
    <t>lefebvre001-63124</t>
  </si>
  <si>
    <t>bon renseignemants bien detaiilles politessede votre hotesse impecable</t>
  </si>
  <si>
    <t>10/04/2018</t>
  </si>
  <si>
    <t>mylene-s-104062</t>
  </si>
  <si>
    <t>Bonjour,
La GMF est la pire assurance à laquelle j ai eu affaire. Notre maison en location à été incendiée (défaut électrique lié au propriétaire) le 24 novembre 2020. Nous sommes le 12 février 2021 et malgré des relances constantes nous ne sommes toujours pas indemnisés. Nous sommes une famille de 6 personnes dont 4 enfants en bas âge.
 Le service sinistre est au mieux incompétent et inutile et au pire hautain et irrespectueux. A fuir !!!</t>
  </si>
  <si>
    <t>12/02/2021</t>
  </si>
  <si>
    <t>jessica-71556</t>
  </si>
  <si>
    <t xml:space="preserve">La CNP fait tout pour ralentir voire annuler ma demande de rachat d'assurance vie (contractée avec la banque postale)! Leur service client est incompétent et leur délais de traitement sont scandaleux! </t>
  </si>
  <si>
    <t>22/02/2019</t>
  </si>
  <si>
    <t>saga-57321</t>
  </si>
  <si>
    <t>430e non remboursé par Mercer soit disant déjà réglé et pourtant rien sur le compte, lorsqu'on leur demande un justificatif de paiement ils font les morts pas de réponse depuis plus d'un mois malrgé nos relances.
Dommage qu'on ne puisse pas mettre les étoiles en negatif une c'est encore trop</t>
  </si>
  <si>
    <t>14/09/2017</t>
  </si>
  <si>
    <t>benjamin--d-131608</t>
  </si>
  <si>
    <t xml:space="preserve">Il apparaît que l’assurance scolaire ne respecte pas les obligations scolaires (sur la protection individuelle) àsouscrire en plus…
Je trouve cela ubuesque
</t>
  </si>
  <si>
    <t>cyril-d-124705</t>
  </si>
  <si>
    <t xml:space="preserve">Satisfait dans l ensemble aussi bien pour les prix que par les prestations questionnaire un peut long a mon gout mais nécessaire je pense pour avoir une prestation au plus juste </t>
  </si>
  <si>
    <t>anthony-d-112087</t>
  </si>
  <si>
    <t>Ma première expérience avec direct assurance fut avec la conseillère au téléphone. Cet échange s'est très bien passé, très serviable et disponible, malgré toutes mes questions.</t>
  </si>
  <si>
    <t>joel-56193</t>
  </si>
  <si>
    <t>En 5 ans d'assurance : 2 accidents non responsables + 1 accident responsable. Viré sans ménagements. Solution proposée : nouvelle assurance 2 fois + chère.
Je pense que GMF se débarrasse des clients à un certain âge (j'ai 67 ans).
Pas de conciliation possible... Ils font trainer les choses pour vous fournir leur assurance de remplacement. Fuyez cet assureur indélicat !!!!!!</t>
  </si>
  <si>
    <t>23/07/2017</t>
  </si>
  <si>
    <t>laurent-97920</t>
  </si>
  <si>
    <t>Je viens d'avoir une personne de Génération au téléphone pour une prise en charge hospitalière :
Réponse rapide
Très bonne écoute 
Très bon service client</t>
  </si>
  <si>
    <t>francisco-s-111948</t>
  </si>
  <si>
    <t>Je suis client depuis longtemps, je ne pense pas devoir donner plus d'explications ! Cependant je regrette de ne pouvoir pour le moment assurer mon habitation chez vous.</t>
  </si>
  <si>
    <t>28/04/2021</t>
  </si>
  <si>
    <t>charlie57-67767</t>
  </si>
  <si>
    <t xml:space="preserve">Bonjour à tous
pour le moment je suis encore client au Crédit Mutuel et cela depuis plus de 30 ans avec une assurance habitation corail 3000 sans franchise; Seulement voilà que je déclare 3 petits sinistres successifs , lunettes cassées  devis plus de 350 euros facture pour 140 euros ; centrale d'alarme valeur plus de 1000 euros pour tout changer trouvé la centrale pour 120 euros et appareil photo environ 1000 euros trouvé pour 635 euros donc j' ai fait de sorte que l'assurance rembourse le moins possible. Toute la peine que je me suis donné pour diminuer les montants on m'impose une franchise de 150 euros c' est ça le remerciement une autre personne ne se serait pas donné la peine pour le faire.
</t>
  </si>
  <si>
    <t>cha-16-122063</t>
  </si>
  <si>
    <t>A FUIR ! Deux possibilités : ou bien Allianz n'a pas besoin de nouveaux clients, ou bien leur système d'assurance en ligne n'est pas du tout au point. Dans les deux cas, autant fermer le formulaire de souscriptions en ligne car il ne sert à rien à part nous ponctionner 137 euros pour un mois d'assurance.
Je souscrit une assurance auto sur le site Internet Allianz le 04/06/2021 et je reçois un contrat temporaire d'un mois, en attendant de pouvoir leur envoyer toutes les pièces justificatives, dont la carte grise du véhicule que je viens d'acheter, pour obtenir mon contrat annuel. Jusque là, tout est normal. J'envoie tous les documents le 11/06/2021. Une semaine plus tard, aucune nouvelle, mais un message de rappel, me demandant cette fois d'envoyer mes documents à une autre adresse mail que la première (!!??) Bon, un problème technique, ça arrive, je m'exécute. Le 25/06, toujours aucune nouvelle d'Allianz, alors que mon contrat temporaire prend fin le 04/07. ça devient inquiétant. La messagerie en ligne ne donne rien. Je les contacte sur le réseau social Twitter, une conseillère transmet mon message au service client. Magie, je reçois immédiatement mon contrat annuel... avec une erreur ! Je la leur signale par retour de mail. Ils font à nouveau les morts. Quelques jours plus tard, je recontacte donc la conseillère de Twitter, qui me dit qu'elle re-transmet ma demande. Les jours suivants, toujours rien. Je téléphone donc au numéro indiqué sur leur site : j'ai au bout du fil un conseiller qui ne peut rien faire d'autre qu'écrire un mail de rappel au service client ; impossible de les joindre par moi-même ! 24 heures après, toujours rien. Je les re-contacte donc sur Twitter. On est le 01/07, il ne me reste plus que trois jours avant de ne plus être assurée et d'être dans l'illégalité à cause de l'incompétence d'Allianz. Je menace cette fois d'annuler mon contrat chez Allianz si je ne reçois pas le document dans la journée. On me répète qu'on comprend mon désarroi et que la situation va être débloquée. Fin de la journée, je n'ai toujours pas reçu mon contrat.
A croire que chez Allianz, on ne veut pas de nouveaux clients ! Vous qui êtes à la recherche d'un assureur, prêts à envoyer tous vos documents personnels et à signer un mandat de prélèvement, inutile de vous adresser à Allianz, ils vous ignoreront royalement. Tant mieux pour leurs concurrents !</t>
  </si>
  <si>
    <t>pascal-r-105093</t>
  </si>
  <si>
    <t>je suis s'attifer du service bonne prix et rapide dans la prestation
relation clientèle  amiable 
contact téléphonique rapide avec des explication clerc et simple</t>
  </si>
  <si>
    <t>02/03/2021</t>
  </si>
  <si>
    <t>meree-56085</t>
  </si>
  <si>
    <t>service rapide et efficace. ils ont accepté de transférer mon bonus auto (sans être conducteur principal) pour la souscription moto. à la fin de l'appel j'avais la vignette temporaire (pour 1 mois) par mail</t>
  </si>
  <si>
    <t>18/07/2017</t>
  </si>
  <si>
    <t>raphaelbf-106057</t>
  </si>
  <si>
    <t>Scandaleux ! 
Apres avoir souscrit un contrat, j'ai demandé de pouvoir résilier ce dernier via la faculté de rétractation qui est possible selon les conditions générales dans le délais imparti.
L'olivier assurance m'a remboursé que de la moitié de la somme (50€ sur 100€) et ne répond désormais plus ni à mes mails ni à mes appels.
Je ne recommande pas du tout cet assureur !
A fuir !
Raphael</t>
  </si>
  <si>
    <t>mourad-137261</t>
  </si>
  <si>
    <t>Assurance toujours à l écoute et trouve des solutions a chaque fois. Je suis tombé en panne sur l autoroute un weekend et je voyais la grosse galère ! Ils ont été formidable pour la prise en charge du problème du début à la fin. Un grand merci à votre équipe</t>
  </si>
  <si>
    <t>13/10/2021</t>
  </si>
  <si>
    <t>badre-z-135025</t>
  </si>
  <si>
    <t xml:space="preserve">Je suis satisfait de la compagnie et du tarif de ce contrat. Je recommande la compagne à ma famille et mes amis. La gestion du personnel service est agréable et satisfaisant. 
Merci </t>
  </si>
  <si>
    <t>brian-c-108348</t>
  </si>
  <si>
    <t xml:space="preserve">Un sinistre qui coûte 300€ de réparation je dois payer une franchise de 400€.... 
J'ai pourtant pris une formule "tout risque" que je paie 2000€ l'année mais encore une fois direct assurance s'avère être inutile car c'est encore à moi de payer lors d'un sinistre. </t>
  </si>
  <si>
    <t>ingrid-b-115889</t>
  </si>
  <si>
    <t>Je suis satisfaite des services, de la qualité d'accueil et d'écoute ainsi que des prix. Nous sommes adhérents de longue date et comptons le rester aussi longtemps que possible.</t>
  </si>
  <si>
    <t>talbourdet-k-108345</t>
  </si>
  <si>
    <t xml:space="preserve">Je suis satisfait du service, les prix me conviennent. Le site et les appels téléphoniques sont simples...  rapides... mais efficace... et pratique... </t>
  </si>
  <si>
    <t>lesgazelles74-64266</t>
  </si>
  <si>
    <t>bon service client très accessible et charmant bonne explication contact agréable</t>
  </si>
  <si>
    <t>29/05/2018</t>
  </si>
  <si>
    <t>alexandre-k-107557</t>
  </si>
  <si>
    <t>Je trouve le prix assez élevé pour le nombre d'années en étant chez vous alors que je n'ai jamais eu d'accident ni aucun souci, J'attends toujours un appel qui devait mettre à jour mon contract auto.</t>
  </si>
  <si>
    <t>juriste1-1710</t>
  </si>
  <si>
    <t>Services telephoniques DEPLORABLES. Tant que vous n avez pas besoin d eux tout va bien. Dans le cas inverse, A fuir !!!!</t>
  </si>
  <si>
    <t>soum-l-114069</t>
  </si>
  <si>
    <t xml:space="preserve">Je suis satisfaite de ma souscription, l'accueil est agréable,le tarif est très attractif. J'espère que les indemnisations en cas de sinistre le seront tout autant. </t>
  </si>
  <si>
    <t>elo-103238</t>
  </si>
  <si>
    <t xml:space="preserve">Bonjour, 
Intérimaire, j'ai été en congé maternité depuis fin janvier 2020 jusqu'en mai 2020. A ce jour, je n'ai reçu aucune prise en charge ce qui m'a valu des soucis financiers et un gros stress a gérer au moment même ou j'accueillais mon 1er bébé. Mon conjoint est infirmier et je comprends très bien les problématiques concernant cette période sanitaire difficile. Cependant, les prestations attendues par les cotisants de cette assurance sont de l'ordre de la survit pour certains qui sont déjà dans une précarité absolue. 
Quand je lis l'ensemble des messages je m'interroge sur la possibilité de créer un collectif, d'avertir la presse, et de saisir la justice afin que la lumière soit faite sur cet organisme ponctionnant les cotisations avec précision, régularité et rigueur sans pour autant remplir sa part du contrat, c'est à dire, indemniser ses cotisants. Après plusieurs relances mails et téléphoniques j'ai appris que mon dossier n'avais même pas encore été ouvert dans leur base de traitement, or, cela fait des mois qu'ils ont l'ensemble des documents en leur possession. Je n'ai pas eu le choix de cette complémentaire mais si vous l'avez surtout FUYEZ!!!!! Ma vraie note "0" (ne pouvant pas mettre moins d'une étoile sur le site)
</t>
  </si>
  <si>
    <t>frederic-l-121475</t>
  </si>
  <si>
    <t>Bon service. Les prix sont corrects.
Bon service téléphonique avec assez peu d'attente lorsqu'on a besoin d'eux. A l'écoute rapidement en cas de problème d'ordre administratif ou pécunier.</t>
  </si>
  <si>
    <t>gigi2017-52814</t>
  </si>
  <si>
    <t xml:space="preserve">Des conseillers et service abominable,
J'ai souscris à cette assurance le mois de décembre 2016. J'ai été appâtée par la gentillesse de la conseillère qui m'a assurée qu'elle s'occuperait de la résiliation de mon ancien contrat et de la demande des relevés d'information me concernant et concernant mon mari. je fais transmettre donc les pièces dont elle avait besoin (carte grise, permis, contrat signé, etc)
Quelques semaine après, on me demande ces fameux RI que j'envoie de suite. encore quelques semaines, on me demande qu'elles soient de moins de deux mois, et ça commence à devenir lourd mais je renvoie quand même alors que je dois appeler 5 assurances pour avoir ceux de mon mari et les miens (pour les 36 mois). J'attends et j'attends, pour être sûre que tout ok, j'appelle le service client et je me fais remballer par une certaine conseillère qui aboie au téléphone que je dois attendre comme tout le monde....
ça fait trois mois que je renvoie des documents qui ne sont pas traités, je ne fais que recevoir des mails de "il manque ceci et cela". Je n'ai jamais vu une assurance aussi lente et non professionnelle.
J'ai demandé de résilier et aller chez la concurrence mais en vain!!!
</t>
  </si>
  <si>
    <t>27/02/2017</t>
  </si>
  <si>
    <t>pakool-46463</t>
  </si>
  <si>
    <t>Assuré depuis 2009 pour une habitation en location avec option loyers impayés et protection juridique, c’est en 2016 lors d’une laborieuse déclaration de sinistre au bout de 1 mois d’appels infructueux à Constatel nous avons appris que l’assurance ne fonctionnait pas car le bien immobilier est en gestion locative à une agence immobilière. Nous pensions que le fait de faire gérer notre bien immobilier n’aggrave pas les risques comme stipulé dans l’Article L113-2 du code des assurances au contraire. Mais malheureusement c’est inscrit dans les nouvelles conditions particulières/générales que nous avions signés en 2015 mais pas dans celles de 2009. Conclusion: Lisez bien tous ce que vous signez. Pour nous malgré 30 années de Crédit Mutuel et plusieurs assurances, comptes, crédits dans diverses agences, le crédit Mutuel est dans son droit. Nous avons payés les cotisations durant plusieurs années pour qu’aujourd’hui nous ayons à supporter des loyers impayés, des frais de justices, des remises en état d’un logement déclaré insalubre par un huissier. Cela représente quand même le prix d’une petite voiture.</t>
  </si>
  <si>
    <t>19/04/2018</t>
  </si>
  <si>
    <t>davidd-50464</t>
  </si>
  <si>
    <t>Je suis très déçu par la Maif, j'ai enfoncé le pare-choc de ma C5, ou peut-être un autre véhicule sur un parking, puisque je n'ai pas connaissance d'avoir heurté un mur Bref la maif n'a pas voulu rembourser cet réparation bien que je sois assurer tout risque. Bref 900 € de réparation à mes frais. Bravo la Maif ! Nous sommes assuré pourquoi ?
Nous sommes des clients pour payer seulement !</t>
  </si>
  <si>
    <t>03/01/2017</t>
  </si>
  <si>
    <t>bendjeffal-y-116032</t>
  </si>
  <si>
    <t xml:space="preserve">Je suis satisfait du service et les tarifs son assez avantageux . Assurer à la minute et carte verte provisoire reçu et 24h merci à l Olivier assurance </t>
  </si>
  <si>
    <t>loic86-102732</t>
  </si>
  <si>
    <t>Vraiment le pire service client mutuelle client juste en dessous de tout qui dit au client juste ce qu'il a envie d'entendre il faut multiplier les demandes à la fois par courrier recommandé et depuis son espace client pour espérer une prise en charge !!! Je lutte désespérément depuis le 4 décembre pour une prise en charge pour une prestation de 1442, 38 € . J'attends toujours qu'on réponde à mes multiples réclamations pour d'autres demandes y compris du mois de novembre alors que nous sommes le 15 janvier !!! On finit par me mettre en relation soi-disant avec des responsables plateau on me fait croire que la demande passe en prioritaire on me dit que je vais recevoir un mail confirmant la prise en charge.. la liste est vraiment sans fin ça me fait même croire qu'on apportera une réponse un samedi alors que le service est fermé... Un conseiller à cette juste le silence des pauvres victimes de clients histoire que l'appel soit fini vite !!! ton dossier est censé être passer en urgence mais on m'a fait comprendre que pour une prestation du 4 décembre je ne pourrai pas prétendre à un remboursement avant le 15 février.
compte les victimes qui sont clients de cette mutuelle je les encourage à se rapprocher comme moi des service consommateur de leur assurance juridique afin de demander des dommages auquel on peut prétendre y compris auprès du médiateur pour le retard au titre contractuel de délai de remboursement non respecté.
ton dossier a également été transmis auprès de l'émission ça peut vous arriver de Julien Courbet. J'invite  tous les clients qui subissent les excuses de la covid de se manifester. je finis quand même par avoir un conseiller qui reconnaît que le délai de traitement habituel et déjà hors délai contractuel soit environ 3 semaines pour un remboursement après réception et qu'il y a plus d'un mois de retard de prise en charge il faut donc compter minimum un mois et demi avant de prétendre à un remboursement par contre vous êtes dans l'obligation de tenir vos engagements pour que les prélèvements soient bien validée.
on ne sait jamais au cas où un réel responsable voudrais bien prendre en charge ma demande pour que je stoppe toutes mes démarches ycompris judiciaires.
et enfin j'allais oublier on tombe également très souvent sur le Portugal qui ne maîtrise pas la langue française si on ecorche votre nom à quatre reprises je connais comme réponse que on a le droit de se tromper...
Surtout surtout ne souscrivez pas à cette mutuelle elle est vraiment pitoyable il faut souvent attendre plus de 30 minutes pour joindre un conseiller.
Cordialement</t>
  </si>
  <si>
    <t>15/01/2021</t>
  </si>
  <si>
    <t>sorel-90202</t>
  </si>
  <si>
    <t xml:space="preserve">Bonjour, Je suis client depuis peu mais j'ai assez vu pour comprendre que le moins cher peut être très cher.
Impossible de les joindre à 17h un jeudi ! J'avais déjà eu des alertes pendant mon engagement avec un traitement médiocre du dossier. J'ai du renvoyé plusieurs fois les mêmes documents, j'ai refait plusieurs fois la même procédure. J'ai également une incohérence sur le montant initial payé et les quittances que je retrouve sur mon espace (Une des 2 raisons de mon appel).
Assuré depuis plusieurs années sur plusieurs assurances et en allant lire les autres avis (j'aurais dû le faire avant :-/), C'est évident que ce n'est pas le fait du hasard ou le fait d'être impatient. Incompétence ! Vivement la fin d'année en croisant les doigts de ne pas avoir de souci et je repars payer plus cher...Ca va être long !
Bonjour et au revoir </t>
  </si>
  <si>
    <t>myriam-s-109448</t>
  </si>
  <si>
    <t>Je suis très satisfaire de vos services, service très professionnel.
Réactif très bon accueil à l'écoute du client, rapidité de réponse et d'exécution des tâches administratives</t>
  </si>
  <si>
    <t>rhule-r-112752</t>
  </si>
  <si>
    <t xml:space="preserve">Satisfait de la proposition et du tarif propose, du service et de la simplicité du simulateur de devis.
Conforme à la proposition, attestation rapide par mail  </t>
  </si>
  <si>
    <t>jeanjean-57477</t>
  </si>
  <si>
    <t xml:space="preserve">depuis des années client de direct assurance tout allais bien on vous répondais au téléphone de suite, maintenant c'est la galère pour les avoir en 2008 on m'a résilié une assurance sans lettre recommandé sans justificatif maintenant la vrai galère, à la fin de mes contrats je vais tout résilié j'ai vu en faisant d'autre simulation que l'on pouvais avoir le même tarif avec un interlocuteur en boutique !!! </t>
  </si>
  <si>
    <t>20/09/2017</t>
  </si>
  <si>
    <t>mouchreq--99775</t>
  </si>
  <si>
    <t xml:space="preserve">Bonsoir je ne suis pas satisfait de mon assureur MACIF car j'ai assuré chez elle depuis 3ans est toujours le même prix  d'assurance pendant les 3ans est qui ce n'est pas juste. </t>
  </si>
  <si>
    <t>sebastien-f-127005</t>
  </si>
  <si>
    <t>Première adhésion à une assurance par internet. bonne première impression, à voir dans l'avenir.
Prix intéressant, voir la prestation et le SAV éventuellement.</t>
  </si>
  <si>
    <t>chris33140-104620</t>
  </si>
  <si>
    <t xml:space="preserve">je viens de les contacter pour leur demander comment c'était possible que depuis trois ans, les cotisations des contrats assurances voitures augmentés au lieu de diminuer un peu ? 
il me paraît logique que lorsque l'on a aucun accidents ou sinistres et que notre voiture décote notre assurance devrait baisser... 
et bien non et la réponse est simple !!! si vous n'êtes pas content... aller ailleurs !!!! 
Je trouve ça pitoyable d'en arriver à ça et je vais partir !!! </t>
  </si>
  <si>
    <t>23/02/2021</t>
  </si>
  <si>
    <t>barbara-t-105809</t>
  </si>
  <si>
    <t xml:space="preserve">conseillere au top 
accueil parfait 
les tarifs sont correct 
on vous rappelle au moment ou vous en avez besoin avec les horaires qui vous arrage
le temps d attente est quasi nul de ce faite
rien a faire direct assurance se charge de tout  </t>
  </si>
  <si>
    <t>08/03/2021</t>
  </si>
  <si>
    <t>trobon-86412</t>
  </si>
  <si>
    <t xml:space="preserve">Trop d'assurés ignorent qu'a la difference d'une compagnie,un courtier archive toutes ses coordonnées privées et le jour ou il veut resilier ,comme par hasard, apparaissent des prélèvements indésirables  et bizarement de compagnies proches du courtier
Ce n'
 est pas de la rigolade ,vous pouvez consulter internet et les affaires en cour ...édifiant </t>
  </si>
  <si>
    <t>28/01/2020</t>
  </si>
  <si>
    <t>jonathan-m-133471</t>
  </si>
  <si>
    <t xml:space="preserve">Satisfait du service 
Prix tres competitif
Client content
Je recommande direct assurance 
Simple d'utilisation 
Devis clair précis et rapide 
Merci a vous direct assurance </t>
  </si>
  <si>
    <t>biscotte-80454</t>
  </si>
  <si>
    <t xml:space="preserve">La souscription a été très facile à réaliser. Mon interlocutrice m'a expliqué clairement les garanties pour auxquelles j'ai souscrit. </t>
  </si>
  <si>
    <t>27/10/2019</t>
  </si>
  <si>
    <t>boultam-n-107812</t>
  </si>
  <si>
    <t>satisfait du service mais le prix notamment l'acompte me parait excessif le premier mois</t>
  </si>
  <si>
    <t>bruno-h-125374</t>
  </si>
  <si>
    <t>les informations fournies sur les garanties manquent de clarté dans la phase résumé , un rappel de toutes les garanties et des exclusions
bien cordialement</t>
  </si>
  <si>
    <t>29/07/2021</t>
  </si>
  <si>
    <t>sansa-61377</t>
  </si>
  <si>
    <t xml:space="preserve">Impossible d'avoir une personne au téléphone ( vous demande de raccrocher après 10mn d'attente), répond aux mails deux ou trois semaines après et encore après plusieurs relances...j'attends toujours un remboursement alors que j'ai tout envoyé depuis un mois... </t>
  </si>
  <si>
    <t>mirsau-77292</t>
  </si>
  <si>
    <t xml:space="preserve">ma mère décédée il y a 6 mois avait un contrat assurance vie Generali : or Generali ne retrouve pas le contrat pourtant tous les ans elle recevait un état de son épargne sur en-tête generali que faire </t>
  </si>
  <si>
    <t>isabelleg-86649</t>
  </si>
  <si>
    <t>Ma mère été démarchée par le Cabinet BALZAC et a souscrit un contrat. Après réflexion, elle change d'avis et adresse un recommandé à Néoliane Nice. Rétractation dans les délais légaux et accusé de réception reçu. Reçoit quand même le contrat, prélèvements lancés sur son compte (elle a fait opposition)  et n'arrive à joindre personne, ni Balzac ni Néoliane, que ce soit par mail ou téléphone (problème de connexion annoncé pour Balzac et plateforme téléphonique interminable pour Néoliane). 
Elle a opté pour une autre mutuelle mais au final aucune ne peut fonctionner, Néoliane s'étant inscrit auprès de la CPAM. Deux mutuelles figurent sur son compte Ameli et la sécu ne sachant à qui télétransmettre les décomptes ne les transmet à personne. Après renseignements auprès de la sécu, seule Néoliane, injoignable, a la faculté de se retirer.</t>
  </si>
  <si>
    <t>03/02/2020</t>
  </si>
  <si>
    <t>schaken-69910</t>
  </si>
  <si>
    <t>Insatisfait</t>
  </si>
  <si>
    <t>04/01/2019</t>
  </si>
  <si>
    <t>julien-d-106751</t>
  </si>
  <si>
    <t>Rien à signaler de particulier, j'ai pris un LOA et souhaite résilier mon  car nous avons privilégié l'assurance de ma compagne qui est plus avantageuse</t>
  </si>
  <si>
    <t>16/03/2021</t>
  </si>
  <si>
    <t>marina3002-78968</t>
  </si>
  <si>
    <t xml:space="preserve">Client depuis mars, je ne suis vraiment pas satisfait du service client. J ai parrainé une amie et mon filleul a eu son chèque de parrainage, pas moi... toujours rien reçu à ce jour, le service client me balade... 
Un coup le paiement a été différé par erreur après je dois l avoir sous 4 jours et la nous sommes passé à un délais de plus d une semaine. Je vais faire appel aux autorités compétentes afin de m aider à recevoir mon parrainage.
Pas de réponse aux mails, il faut appeler en espérant ne pas attendre plus de 10 min à chaque fois. 
Le prix des garanties et correct, concernant le service des garanties je n en ai pas eu besoin mais au vue du traitement pour un parrainage je reste sur la réserve sur le sérieux et le bon traitement. 
Une chose est sur je resilirai à échéance, et ne ferai plus de pub pour cette société. </t>
  </si>
  <si>
    <t>08/09/2019</t>
  </si>
  <si>
    <t>olivierschmit-103391</t>
  </si>
  <si>
    <t xml:space="preserve">Assurance a fuir, tant que vous n avez pas de sinistre tout va bien.je viens de subir un dégât des eaux et j,ai eu la malheureuse surprise d’apprendre que la maaf ne prend pas en compte la laine de verre mouillé,les gaines électriques remplis d’eau, le placoplatre tâche, les prises et spots du plafond rouillé par la fuite d’eau, bref rien du tout et ça fait 20 ans sans sinistre que je suis chez eux.ils peuvent faire leur pub à la télé mais là je résilie tout mes contrats </t>
  </si>
  <si>
    <t>28/01/2021</t>
  </si>
  <si>
    <t>fontam-69802</t>
  </si>
  <si>
    <t>Placement non judicieux proposé par une conseillère en assurance vie perte argent malgré 50 euro placé chaque mois depuis aout 2018 merci pour les pertes réalisées je ne suis pas satisfait des services proposés</t>
  </si>
  <si>
    <t>ahtest-100601</t>
  </si>
  <si>
    <t xml:space="preserve">Aucun suivi client, refusent d’indemniser pour un sinistre couvert par une option du contrat, délais très très très longs pour obtenir la moindre réponse. Réclamation en recommandé non traitée après plus d’un mois d’attente... très déçu car aucun accompagnement </t>
  </si>
  <si>
    <t>aurier-50934</t>
  </si>
  <si>
    <t>Après 45 ans a la MACIF et près de 20 000 euros de cotisations (actualisé) pas moyen de se faire rembourser un tout petit sinistre.MISERABLE ET MEPRIS TOTAL
Automobile pas les plus cher mais pas non plus les moins cher ?</t>
  </si>
  <si>
    <t>16/10/2019</t>
  </si>
  <si>
    <t>william-d-124003</t>
  </si>
  <si>
    <t>Je suis satisfait du service. Je suis satisfait des prestations et ainsi du qualité service. Je recommande amv pour tous futurs souscripteur(s). Efficace et rapide.</t>
  </si>
  <si>
    <t>pape-59904</t>
  </si>
  <si>
    <t xml:space="preserve">Un catastrophe dans leur gestion. J'ai changé de compte il ya 6 mois et sentiane continue le remboursement sur un compte clôturé. Je ne suis plus remboursé </t>
  </si>
  <si>
    <t>22/12/2017</t>
  </si>
  <si>
    <t>rescator-138270</t>
  </si>
  <si>
    <t>MAAF est une compagnie ou l erreur n est pas toléré ! Attention aux radiations immédiates 
1 responsabilité engagée en 2020 pour une dégradation sur mon véhicule 
1 accident responsable en 2021 
Et hop la MAAF vous dit bye bye ! Même pour un senior avec le bonus à vie de 0,50 
Bref je suis parti voir ailleurs et j ai trouvé une herbe plus verte ( moins de franchise de meilleurs garanties …)
Merci la MAAF !!!</t>
  </si>
  <si>
    <t>elyssa-129333</t>
  </si>
  <si>
    <t>J'ai eu un sinistre vol vendalisme l'expert a rendu ses conclusion a axa et ça fais 2 mois qu'on me balade de service en service.
Il ne veulent pas m'indemniser l'expert me dit qu'il ne peut rien faire puisque j'ai remix l'expertise il faut le voir avec eux je sais plus qui croire et ce que je dois faire!!!!
Aider moi si vous avez eu le même souci avec axa .
Merci de votre retour a tous.</t>
  </si>
  <si>
    <t>papynico-57202</t>
  </si>
  <si>
    <t>cela fait maintenant près de 30 ans que je suis assuré à la Macif et j'en suis tres content. Qualité des garanties, avance des frais en garage agrée et cotisations raisonnable (il faut renegocier de temps en temps avec des devis d'autres compagnies).</t>
  </si>
  <si>
    <t>13/09/2017</t>
  </si>
  <si>
    <t>flandrin-l-139695</t>
  </si>
  <si>
    <t>je suis satisfait du service.
a voir en cas de sinistre, mais j'espère ne pas en avoir besoin.
prix attractif
facilité par internet
rapide et efficace</t>
  </si>
  <si>
    <t>souto-l-123638</t>
  </si>
  <si>
    <t xml:space="preserve">Je suis satisfait de votre offre et je vous remercie de votre confiance et vous souhaite une bonne journée et à très bientôt. Je vous prix de me excusez pour le retard. </t>
  </si>
  <si>
    <t>jessica--91429</t>
  </si>
  <si>
    <t xml:space="preserve">Site très simple et devis plus que raisonnable...
À voir dans le temps si le devis reflète la vérité et si le service clientèle est joignable en cas de problème </t>
  </si>
  <si>
    <t>18/06/2020</t>
  </si>
  <si>
    <t>radel-99800</t>
  </si>
  <si>
    <t xml:space="preserve">Personnellement, je n'aurais mis aucune étoile! Prise en charge plus que médiocre par le service . Personnel incompétent et irrespectueux certains se donne le droit d'être arrogant et jouent sur les mots. 
Suite à un vol par effraction à mon domicile, déclaré le 24 octobre, le service travaux n'a pas su trouver un artisan pour me sécuriser l'accès endommagé. Pour info, ce service est sensé intervenir DANS L'URGENCE en amont d'une remise en état par le gestionnaire du sinistre.  Une proposition d'un vigile m'a été faite sur le week-end. Proposition que j'ai refusé parceque nous étions sur place. On m'assure que le nécessaire sera fait dés le début de semaine. Mais non" une intervention d'urgence " n'est possible que pour le jeudi me repond le service travaux . A ce compte là, en attendant leur intervention en urgence, je demande la mise en place du vigile....et non on me le refuse parce que : le vigile est proposé a defaut de trouver une sollution pour sécurisé d'accès  à savoir jeudi!!!  Mieux on me refuse un retour par ecrit. QUEL PROFESIONALISME !! Et puis, n'ayant pas peur de le dire! Il ont pas peur de prendre les clients pour des imbeciles!!
Sans mauvais jeu de mot, la MAAF c'est une porte ouverte aux abus de la part des operateurs et à la leur toute puissance, qui je suis sûr ne se comportent de la sorte qu'avec le soutien et les encouragements de leur responsable!
Cerise sur le gâteau, le 2 novembre j'ai un message vocal du service travaux qui demande des nouvelles de la remise en état de ma porte fenêtre endommagé!!! 
Et bien chère MAAF, une fois que toute cette affaire sera réglé marque vous allez assumez vos responsabilités! Je vais résilier toutes mes contrats chez vous pour me tourner vers assurance plus sérieuse. Les devis sont déjà prêt!
Personnellement, je n'aurais mis aucune étoile! Prise en charge plus que médiocre par le service. Personnel incompétent et irrespectueux certains se donnent le droit d'être arrogants et jouent sur les mots. 
Suite à un vol par effraction à mon domicile, déclaré le 24 octobre, le service travaux n'a pas su trouver un artisan pour me sécuriser l'accès endommagé. Pour info, ce service est sensé intervenir DANS L'URGENCE en amont d'une remise en état par le gestionnaire du sinistre.  Une proposition d'un vigile m'a été faite sur le week-end. Proposition que j'ai refusée parce que nous étions sur place. On m'assure que le nécessaire sera fait dés le début de semaine. Mais non" une intervention d'urgence " n'est possible que pour le jeudi me repond le service travaux soit 6 jours après la déclaration. A ce compte là, en attendant leur intervention, je demande la mise en place du vigile. Stupeur,  on me la refuse parce que : le vigile est proposé à defaut de trouver une sollution pour sécuriser d'accès à savoir jeudi dans mon cas !!!  Mieux on me refuse un retour par ecrit. QUEL PROFESIONALISME !! Et puis, n'ayons pas peur de le dire! Il n'ont pas peur de prendre les clients pour des imbeciles!!
Sans mauvais jeu de mot, la MAAF c'est une porte ouverte aux abus de la part des operateurs et à leurs toutes puissances qui,  je suis sûr, ne se comportent de la sorte qu'avec le soutien et les encouragements de leur responsable!
Cerise sur le gâteau, le 2 novembre j'ai un message vocal du service travaux qui demande des nouvelles de la remise en état de ma porte fenêtre endommagée!!! 
Et bien chère MAAF, une fois que toute cette affaire sera réglée, une fois que vous aurez  assumé   vos responsabilités, je vais résilier tous mes contrats chez vous pour me tourner vers une assurance plus sérieuse. Les devis sont déjà prêts!
</t>
  </si>
  <si>
    <t>darta-57911</t>
  </si>
  <si>
    <t>J'ai assuré ma nouvelle voiture en tout risque avec le pack serenité et je me la suis faite volé 2 mois plus tard.Les gendarmes l'ont retrouvé calciné.Je me fait volée et c'est a moi de payer, c'est un comble, il ne me rembourse meme pas la moitié de ce que je l'ai payé il y a 2 mois sans compter la franchise de 815 euros et en plus j'ai des frais de gardiennage a payer   de ma poche de 62 euros et quelques. je n'ai pas demandé a me faire voler et je dois payer alors que j'avais pris l'assurance tout risque. je suis degouté.Un truc est sur je ne conseillerai pas cette assurance aux gens j'ai l'impression d'etre ballader et de mettre faite enfler dans les grandes largeurs.</t>
  </si>
  <si>
    <t>09/10/2017</t>
  </si>
  <si>
    <t>justine-mace-67590</t>
  </si>
  <si>
    <t xml:space="preserve">Pour proposer des rendez-vous afin de vendre le plus d'assurances possibles, ils sont très proches de leur client. En revanche, lorsque l'on souhaite avoir de plus amples informations pour une résiliation, c'est un casse-tête et le "must" est que lorsqu'une résiliation est envoyée par LRAR, aucune prise en compte, aucun retour, c'est déplorable. Le jour où je créerais mon entreprise et devrais choisir une mutuelle pour mes salariés, ce n'est certainement pas vers Harmonie Mutuelle que je me dirigerais. </t>
  </si>
  <si>
    <t>12/10/2018</t>
  </si>
  <si>
    <t>frederic-p-124911</t>
  </si>
  <si>
    <t>je suis satisfait pour l instant 
on verra avec le temps si tout se passe bien durant le contrat établi 
facile de mise en place et d'offre bien positionne en prix</t>
  </si>
  <si>
    <t>mistsy1-66177</t>
  </si>
  <si>
    <t>Non respect des délais d'indemnisation. Non respect du contrat.</t>
  </si>
  <si>
    <t>14/08/2018</t>
  </si>
  <si>
    <t>madeleine--l-105296</t>
  </si>
  <si>
    <t>Satisfaite bien supereçu bon service client très réactive j'espère recevoir rapidement ma carte verte Cordialement Madame LO PRESTI Madeleine Merci. .</t>
  </si>
  <si>
    <t>didile75-125151</t>
  </si>
  <si>
    <t xml:space="preserve">Impossible de les avoir au téléphone sur ma demande de remboursement !!!
"on s'occupe de vous rapidement" cela fait 3 semaines !!! 
et quand j'ai quelqu'un on me dit que l'on va faire passer ma facture, qui est dejà remboursée pour la part "secu" à l'inspecteur ? inspecteur de quoi ???? mais les prélèvements sur mon compte pas besoin d'inspecteur !!! eux ils sont prélevés sans retard 
aussitot que je peux je change cette mutuelle ... je me suis bien fait avoir pour 80€ de moins par mois.... </t>
  </si>
  <si>
    <t>isis-59744</t>
  </si>
  <si>
    <t xml:space="preserve">De 2013 à 2016, j'ai mis mon appartement de propriétaire en location suite à  une mutation professionnelle. J'avais donc 2 logements assurés chez eux (propriétaire mis en location et locataire sur la nouvelle ville de mutation). Ils m'ont fait payé l'assurance habitation pour le logement de propriétaire mis en location  comme si je l'habitais. Quand je m'en suis rendu compte au bout de 2 ans et demi (ils n'avaient pas détaillé dans les avis d'échéance les 2 appartements, je payais un montant global), ils m'ont dit qu'ils ne pouvaient pas deviner ! Sachant que j'avais fait les démarches nécessaires auprès de leur service et que tous les ans ils me fournissaient l'attestation NU PROPRIETE pour l'agence immobilière qui gerait mon logement de proprietaire et me transmettaient l'attestation des montants à déduire des impôts ! Je n'ai jamais été remboursée !!!!!!! </t>
  </si>
  <si>
    <t>16/12/2017</t>
  </si>
  <si>
    <t>moipasheureux-71306</t>
  </si>
  <si>
    <t xml:space="preserve">je suis assez contente des services EUROFIL, mais par contre j ai parrainé quelqu un qui s est inscris et je devais donc avoir une réduction sur ma cotisation que je n ai jamais eu  , malgré de nombreux coup de fil : ils ne tiennent pas leur promesse : </t>
  </si>
  <si>
    <t>18/02/2019</t>
  </si>
  <si>
    <t>gisela-49834</t>
  </si>
  <si>
    <t>Simple, automatiquement lié à la Sécu, tout à fait recommandable!</t>
  </si>
  <si>
    <t>02/12/2016</t>
  </si>
  <si>
    <t>rinto-a-139103</t>
  </si>
  <si>
    <t xml:space="preserve">je suis satisfait  les prix sont très intéressante et le service me convient parfaitement ils sont très rapide et réactive les agents sont très agréable et courtois et a l'écoute </t>
  </si>
  <si>
    <t>david-53482</t>
  </si>
  <si>
    <t>A fuir, apres plus de 5 ans chez eux sans aucun sinistre, j'ai malheureusement eu 2 accidents sans gravité sur mon vehicule.On me dit que le 1er etant bon conducteur, aucun malu appliqué alors que le second verra mon malus augmenté, normal je dirais.Facture suivante, le malus a été appliqu" sur les 2 accidents pour cause que j'avais deja eu un accident responsable il y'a 20 ans. je trouve cela scandaleux et ne vais pas rester chez eux car pas de parole.</t>
  </si>
  <si>
    <t>22/03/2017</t>
  </si>
  <si>
    <t>bergamote42-107232</t>
  </si>
  <si>
    <t>A fuir à toutes vitesse !
très longs à rembourser et prise en charge déplorable ne respectant même pas le contrat et ils ont inventé la mauvaise fois!</t>
  </si>
  <si>
    <t>coucou-78788</t>
  </si>
  <si>
    <t>Attention à ne pas vous faire forcer la main...!
Ne transmettez pas votre RIB sans avoir signé quelque chose....!!!!
Tout se passe par téléphone et sms, difficile de prendre contact avec eux, etc...</t>
  </si>
  <si>
    <t>29/08/2019</t>
  </si>
  <si>
    <t>nico-134849</t>
  </si>
  <si>
    <t>Victime d'une grave agression, j'ai appelé la MGP pour qu'ils m'orientent au sujet de mes droits et contrats.
J'ai été directement écouté avec attention et orienté avec rapidité et précision concernant les aides possibles et documents immédiatement envoyés par mail relatifs à la prise en charge des pertes de salaire.
Des réponses m'ont été données également par rapport à des remboursements dentaires en cours, avec précision et politesse.
Mutuelle de qualité et à l'écoute, sans attendre des semaines pour une demande particulière.</t>
  </si>
  <si>
    <t>gilles-p-106494</t>
  </si>
  <si>
    <t xml:space="preserve">
Satisfait de ce contrat qui, en principe, m'apporte une bonne couverture à un prix correct par rapport à d'autres assureurs. J'espère ne jamais devoir vérifier si la couverture et l'assistance sont aussi bonnes que je le pense!!!</t>
  </si>
  <si>
    <t>13/03/2021</t>
  </si>
  <si>
    <t>ines-marie-v-109744</t>
  </si>
  <si>
    <t>Je suis très insatisfaire et je cherche à passer chez la concurrence. Je déconseille fortement cette assurance qui ne sert à rien lors de la déclaration d'un sinistre, les conseillers se contredisent d'un coup de fil à l'autre !</t>
  </si>
  <si>
    <t>madgid-k-105214</t>
  </si>
  <si>
    <t xml:space="preserve">pour valider une assurance tout les commerciaux sont présent et disponible 
pour vous avoir en ligne c'est une combat surtout pour avoir la bonne personne </t>
  </si>
  <si>
    <t>sry-101175</t>
  </si>
  <si>
    <t xml:space="preserve">Je suis très insatisfaite de direct assurance, qui m’a tenu des propos contradictoires et me mène en bateau pour ma résiliation . Ils tentent de faire de la rétention client en vous empêchant de résilier!!! La conseillère prétexte de faux arguments pour refuser ma résiliation : plusieurs motifs dans ma lettre ( alors que loi Hamon et modèle pris sur résilier.com) , le fait que ce soit moi qui résilie et non mon nouvel assureur ( alors qu on peut pour loi Hamon le faire soi même) , délai 30 jours. Une conseillère DA m avait pourtant assurée Lors de mon appel précédent par oral que je pouvais justement en le faisant loi même et en en invoquant la loi Hamon. Selon le conseiller la règle n est pas la même pour vous empêcher de résilier.
La loi Hamon fonctionne , ne les écoutez pas s ils vous disent que non, c est pour vous obliger à re-souscrire chez eux!!!! De mon côté je vais réitérer ma demande de résiliation et s il le faut pourSuivrais au médiateur , à l acpr. C est interdit de refuser une résiliation loi Hamon désormais 
En plus le chemin d accès pour les contacter par mail est quasi introuvable ( encore une obligation qu ils ont et ne respectent pas)
</t>
  </si>
  <si>
    <t>nadia-b-126098</t>
  </si>
  <si>
    <t xml:space="preserve">Je vais voir, c est la première fois que j utilise cette application. Je ne sais pas encore. Il faudra voir dans le temps. Ce n est pas sur une souscription que l on peut vérifier. </t>
  </si>
  <si>
    <t>yoann-r-135192</t>
  </si>
  <si>
    <t>Simple et efficace. Rien à dire . Service client disponible . Assurance conseillé par un ami. Après avoir essayé alors que j'étais dans une autre assurance je paie aujourd'hui moins cher</t>
  </si>
  <si>
    <t>sophie-s-114308</t>
  </si>
  <si>
    <t>satisfait dans l'ensemble des prestations et explications en regle générale.
l'informatique et la transmissions été claire et compréensible ,tres bien éxpliquer.
Cordialement Votre.</t>
  </si>
  <si>
    <t>loosveldt-g-125969</t>
  </si>
  <si>
    <t xml:space="preserve">Simple et rapide, clair et concis, accueil très sympathique... j'espère qu'en cas de besoin, ce sera aussi facile. Bonne économie sur le tarif... à voir par la suite ! </t>
  </si>
  <si>
    <t>jojo-61387</t>
  </si>
  <si>
    <t>a fuir !! assure depuis plus de 10 ans 2 eclats sur un parebrise et 1 accrochage en stationnement  on vous assure plus une nouvelle voiture malgré bonus de 50 si vous avez un eclats sur le pare brise    ne faites pas reparer attendez  qu il casse ca leur coute plus  cher ,et vous pouvez peu etre passer un an de plus</t>
  </si>
  <si>
    <t>tetedebois76-58944</t>
  </si>
  <si>
    <t>Suite à un malus d'un jeune conducteur ils proposent des assurances  très compétitives malgré le passé du conducteur.</t>
  </si>
  <si>
    <t>19/11/2017</t>
  </si>
  <si>
    <t>sophiew-98162</t>
  </si>
  <si>
    <t>L'équipe est rapide, efficace et en plus agréable ! La gestion en ligne d'une simplicité géniale. Et  un prix défiant toute concurrence pour une situation particulière et difficile. Je recommande vivement l'olivier assurance !</t>
  </si>
  <si>
    <t>30/09/2020</t>
  </si>
  <si>
    <t>dakota-139555</t>
  </si>
  <si>
    <t xml:space="preserve">pour un degat des eaux exterieur rupture d'une canalisation la Macif a superbement pris ses responsabilités en m indemnisant  assez correctement.
je vous que depuis que je suis assuré chez eux je n'ai jamais eu à me plaindre
J'ose esperer que cela continuera ainsi
Nb c idem concernant mon véhicule
</t>
  </si>
  <si>
    <t>13/11/2021</t>
  </si>
  <si>
    <t>dotty-78575</t>
  </si>
  <si>
    <t xml:space="preserve">Néoliane est la mutuelle que j'ai souscrite pour mon chien en 2015 les remboursements étaient assez réguliers jusqu'à ce que mon chien tombe malade et occasionne des frais plus importants à partir de là les remboursements ont commencé à être plus problématiques avec nécessité de relances et depuis le mois d'octobre 2019 je n'ai plus de remboursements. Il était très compliqué de les avoir au téléphone ( entre 30 et 45 minutes d'attente) mais on y arrivait parfois depuis hier les numéros ne sont plus attribués. Aucune réponse non plus du côté des réclamations. Les prélèvements concernant la cotisation eux continuent. </t>
  </si>
  <si>
    <t>11/02/2020</t>
  </si>
  <si>
    <t>abdoul-cire-k-107593</t>
  </si>
  <si>
    <t>Très satisfait du contrat d’habitation. Prix très intéressant. Ça vaut le coup de prendre un contrat d’habitation chez direct assurance. Un service très efficace.</t>
  </si>
  <si>
    <t>oli-59433</t>
  </si>
  <si>
    <t>Attention, ils sont fourbes, sournois et manipulateurs. Ils vous font souscrire à des contrats que vous n'avez pas sollicité et ceux de manière abusive et détournée</t>
  </si>
  <si>
    <t>06/12/2017</t>
  </si>
  <si>
    <t>rachou-56207</t>
  </si>
  <si>
    <t>Manque total d'efficacité. n'endosse aucune responsabilité. véhicule accidenté depuis 15 jours. Ils m'ont dit que la voiture avait été transféré au garage. N'ont pas fait les vérifications nécessaires. Résultat : l'expert est passé pour rien, mais ce n'est pas de leur faute!!!.Assurance très chère pour le niveau de garanties proposé!</t>
  </si>
  <si>
    <t>24/07/2017</t>
  </si>
  <si>
    <t>trainepouch-59462</t>
  </si>
  <si>
    <t>Cela fait plus d un an que je demande des explications
au sujet d une cloture de rente.Aucune réponses!!!!!!!!!!!!Lettre AR Mail Ct rien. Peux t on esperer une réponse</t>
  </si>
  <si>
    <t>07/12/2017</t>
  </si>
  <si>
    <t>nacim--c-125357</t>
  </si>
  <si>
    <t xml:space="preserve">Des tarifs très attractif Des bons devis April moto pour moi est une assurance bien placé au niveau Tarif sur les assurances moto J’ai déjà été assuré chez April moto c’est pour cela que je reviens assurer mon nouveau véhicule </t>
  </si>
  <si>
    <t>akim-63928</t>
  </si>
  <si>
    <t>J'avoue être surpris pas certains avis négatif qui me font même peur pour la suite! je poste mon avis et c est bien la première fois pour rétablir une part de positif car je suis hyper satisfait de la maif. Pour commencer en terme de qualité d'écoute de de service client je suis énormément satisfait! Mon beau  frère est courtier en assurance et il est  lui même  très surpris de la maif! encore plus avec le problème qu'il m'est arrivé récemment et que je vais vous raconter par la suite! En terme de prix et pour la qualité de la formule plénitude il n'a jamais pu s'aligner donc j'ai quitté son agence pour la maif ( je suis formateur donc un tarif très correct) et depuis ce n'est que du bonheur! il y a quelques jours ma voiture est tombé en panne en un coup de fil j'avais une voiture chez un loueur qui m'était réservé! je l'ai eu pendant 7 jours ( 4+2+1) et la veille au soir de rendre le véhicule (une twingo 2018 que j'ai eu avec 5 km au compteur) j'ai embouti le pare choc dans un petit poteau(de protection) sur un parking dans le noir! le pire c'est que la voiture je l'avais garé hyper loin pour pas qu'une personne ne nous donne un coup de porte! j'en avais pris soin comme jamais (800 euros de caution). j'ai passé une nuit affreuse et j'étais décomposé! je savais plus quoi faire j'avais trop peur de perdre ma caution! Meme mon beau frere m'a confirmé que le loueur prendrai la caution puis que je me ferai remboursé peut être  par mon assurance mais pas sur car dans le contrat du loueur le rachat de franchise n'était pas valable en cas de négligence! Après de longue respiration j'ai appelé la maif et la ils ont été exceptionnels ils m'ont rassuré et dit que je n'avais pas à m'en faire et que je ne devais surtout pas repartir sans ma caution de chez le loueur et que si il y avait un pb il fallait les appeler! bien sur arrivé chez le loueur (AVIS) le gars il me rit au nez en me disant "a quoi sa sert qu'on vous prélève 800 euros de caution  si on s'en sert pas! je lui explique la conversation avec la maif et il me dit en riant "ah c'est normal votre assureur va pas vous dire le contraire c'est tous les mêmes" et la il m'annonce que j'en ai pour 750 euros! je ne lâche pas l'affaire et lui demande d'appeler la maif! Avant ca il appelle son responsable et un collègue d'une autre agence qui lui disent qu'il doit prélever la caution et que ça n'existe pas une assurance qui règle l'affaire sans que l'on passe par la caution! et la je réussi à joindre la maif, explique la situation (j'avais peur de passer pour un c.. il avait réussi à me mettre le doute) et la elle me demande de lui passer le loueur!!!! et la le kiff total quand il a mit le haut parleur! elle lui à claqué très poliment "il n'a qu'une certitude à avoir dans ce dossier c'est que monsieur D.... (moi) ne sera pas débité d'un centime et vous aller lui rendre sa caution!!! elle lui a claqué deux trois trucs liés au contrat et le gars il était bien dégoûté!!! l m'avait assuré que quoi que dise mon assurance il écouterait son chef!!ahahaah Merci la Maif! après le coup de fil j'ai attendu 5 min qu'il reçoive mail de prise en charge du préjudice et je suis reparti avec ma caution et des excuses en prime!!jamais j'aurai imaginé qu'un assureur me traiterai avec tant d'égard! Mes 4 collègues de boulot sont passé chez la Maif avec ce que je leur avait dit (avant même cette histoire) et ils sont tout autant satisfait que moi! et Surtout en temr de prx c'est hyper avantageux( peut être lié au statut de formateur)! Donc pour la premiere fois de ma vie je laisse un commentaire car je ne pouvais pas continuer à voir autant de choses négatives sas réagir! Il faut parfois que les satisfaits prennent la parole sinon les avis de certains influence de manière erronée le choix de futur client qui serait heureux chez eux! J'ai rien à gagner et je ne suis pas un faux commentaire mdr ! Pour le moment pas d'augmentation dans mon échéance et pas de malus lié à cette affaire!je vous tiendrai informé. Pour continuer dans mon malheur j'ai reçu un caillou sur mon pare brise et j'ai bris de glace mais bon je patiente car je veux pas qu'il pense que j ai que des problèmes doc affaire à suivre! 
Je laisse mon adresse mail si une personne souhaite plus de détails. Voila franchement c'est une superbe assurance! j'y suis depuis deux ans et j'ai même  réussi a gagner énormément sur mon assurance de prêt maison à la banque postale en montrant un devis assurance de la maif! La BP pouvait pas s'aligner mais j'ai gagner 40 pourcents ahah!!</t>
  </si>
  <si>
    <t>lombard-r-121302</t>
  </si>
  <si>
    <t>Service client &amp; vente très agréable !
Il y a eu quelques incohérences au niveau des prix lors des devis en ligne. Cependant, lors de l'appel, cela a été à mon avantage.
Je recommande votre assurance à tous mes proches !</t>
  </si>
  <si>
    <t>don-l-106362</t>
  </si>
  <si>
    <t xml:space="preserve">Je suis satisfait du prix . Le service internet utiliser est tres rapide et tres facile a comprendre. 
Le portail est aussi facile a comprendre et peut etre utiliser par une personne avec ou sans experience. </t>
  </si>
  <si>
    <t>jcgl-65791</t>
  </si>
  <si>
    <t>Inscription facile. Le dépôt des documents est aisé.
J'ai reçu ma carte verte bien que je n'avais que l'attestation de dépôt du dossier de carte grise (un mois d'attente pour obtenir le certificat...)</t>
  </si>
  <si>
    <t>26/07/2018</t>
  </si>
  <si>
    <t>coline-102672</t>
  </si>
  <si>
    <t>J'ai signé un contrat obsèque en septembre 2019. Depuis impossible de recevoir mon dossier malgré d'incessantes promesses : à cause du virus, ces contrats très sécurisés ne peuvent se faire en télétravail..., je ne sais pas combien de fois je devais recevoir "DEMAIN MATIN"... Semaine dernière on m'annonce que mon contrat a été "rejeté" cause erreur... dans mon code postal. J'ai rectifié vous aurez le contrat au plus tard à 15 heures... Vraiment pas une compagnie sérieuse... Désolée !</t>
  </si>
  <si>
    <t>14/01/2021</t>
  </si>
  <si>
    <t>didier-60476</t>
  </si>
  <si>
    <t>macif ferait mieux d'embaucher du personnel plutot que de sponsoriser un marin et son bateau ! 3 mois de retard de paiement pour une indemnisation corporelle . Les employes croulent sous les dossiers ! Je pense que les societaires prefereraient voir leur cotisation affectés à embaucher du personnel et traiter  leur dossier plutot qu' a un voilier ! Donc futurs clients fuyaient macif si vous souhaitez un traitement reactif de vos dossiers !</t>
  </si>
  <si>
    <t>14/01/2018</t>
  </si>
  <si>
    <t>cha-78312</t>
  </si>
  <si>
    <t>tout va bien quand cava, PUBLICITE MENSONGERE, j'ai eu un vandalisme sur ma voiture cette nuit, j'ai porté plainte à 08h et leur ai fait suivre la plainte car ils me disent qu'ils ne peuvent absolument rien faire sans, seulement depuis pas de nouvelles, je rappel, il me dise qu'ils ne peuvent toujours rien faire car ils ont un problème informatique, en attendant me voici bloqué depuis 06 h du matin ....... c'est mon premier incident et je pense c'est celui qui me fera résilier</t>
  </si>
  <si>
    <t>lagarrigue-m-114886</t>
  </si>
  <si>
    <t xml:space="preserve">Le conseiller que j'ai eu au téléphone pour souscrire à l'olivier assurance, était vraiment très aimable, très courtois et a prit le temps de bien tout expliquer. Je le remercie
Et niveau prix, en tant que jeune conductrice, l'olivier assurance était vraiment la plus intéressante. Vraiment pas déçue. </t>
  </si>
  <si>
    <t>julien-comte-88499</t>
  </si>
  <si>
    <t>Bonjour, aujourd'hui alors que je venais de m assurer chez vous pour la moto que je viens d acquérir ( le 4 mars ) vous m avez proposé 2 solutions:
baisser les garanties, de passer de tiers + vol incendie à tiers incendie.
Ou 
simplement résilier pour non présentation de documents....
En effet il me manque 2 documents, le gravage et l l'antivol SRA, documents que je ne peux actuellement récupérer puisque vous l aurez remarqué, nous sommes en confinement et les magasins sont fermés!!!!!
Donc vous me proposez d assurer la moto avec des garanties dont je n ai pas besoin pour l instant puisque je ne peux pas utiliser mon véhicule!!!!! Nous sommes en confinement!!!!!!
La seule chose qui est indispensable pour moi aujourd'hui est que la moto soit assurée contre le vol puisque la seule chose que l engin risque c'est : LE VOL!!!!!
Sachant que la moto est dans un garage fermé qui lui-même est dans une cour fermée par une barrière à clefs, pour l instant vous n aviez qu a prendre les mensualités en attendant la fin du confinement.
Aujourd'hui alors que nous parlons d'union nationale encore une fois, vous, les assureurs, faites preuve d'égoïsme et de lâcheté.
Bien à vous et bon courage pour la suite...</t>
  </si>
  <si>
    <t>patrick-d-106868</t>
  </si>
  <si>
    <t>Bonjour,
Tarifs compétitifs pour un de mes véhicules.
Etablissement devis et mise en œuvre du contrat faciles bien que l'interface web soit perfectible (téléchargement des documents demandés pas très intuitif).
En revanche, une fois les documents téléchargés, validés sauf un toujours en attente, je continue de recevoir des notifications pour me demander de les télécharger... petit bug ?</t>
  </si>
  <si>
    <t>17/03/2021</t>
  </si>
  <si>
    <t>catherine-e-115263</t>
  </si>
  <si>
    <t>Je suis satisfaite des prix et des services proposés et de l'accueil.
Direct assurance est a recommandé pour les services offerts et l'accueil offert.</t>
  </si>
  <si>
    <t>29/05/2021</t>
  </si>
  <si>
    <t>stephane-p-129660</t>
  </si>
  <si>
    <t>Je suis satisfais du service.
Une question concernant mon assurance Auto, c'est moi qui paye l'assurance de ce véhicule depuis le début de notre contrat, mais je ne comprends pas, alors que le contrat change, mais que c'est moi qui paye toujours, pourquoi me facturer plus de 88 euros alors que je n'ai pas changé d'assureur ? Merci pour votre réponse, cordialement, Mr PYCKHOUT Stéphane.</t>
  </si>
  <si>
    <t>marinalefevre-78067</t>
  </si>
  <si>
    <t xml:space="preserve">A fuire impérativement.... Hyper cher.... Aucun suivi aucune satisfaction.... Un rejet de prélèvements en fin d année suivi d un passage du coup au trimestre sans aucun courrier sans aucun appel téléphonique.... Un trimestre de presque 1000e que je dois payer suite à un courrier de rappel ????!!! en date du 25 mars.... Trimestre que je paye en intégralité par carte bleue le 10 avril....rien ne m est dit du tout... On prend mes sous avec grande facilité !! Accident responsable le 19 avril... Refus de prise en charge lorsque j appelle la dépanneuse.... On m apprend alors que je suis résiliée..!! .. Pour des cotisations annuelles à plus de 3200e car je roule beaucoup les services rendus sont pourris ignobles.... J ai du payer 4900e de réparations  depuis pour des dégâts car l autre véhicule portait une boule d attelage et ma voiture était vendue... Galère financière pas possible... Et depuis avril des tonnes de mails et d appels et toujours aucune réponse à ce jour.. .. Jamais les mêmes interlocuteurs.... C est une honte un scandal... Sans parler d un autre sinistre ou je n'étais pas responsable et l autre véhicule à fait un deli de fuite j ai noté la plaque porter plainte et tout mais rien à faire la non plus.... On est des vaches à lait.... C est moi qui prend le malus et qui paye la franchise... Alors q la dame me rentre dedans à un feu rouge sous la pluie.... Et j en passe et j en passe.... Des que je peux je me sors de la !!! </t>
  </si>
  <si>
    <t>30/07/2019</t>
  </si>
  <si>
    <t>abloucha-80194</t>
  </si>
  <si>
    <t>Bonjour,
Juillet 2018, mon épouse va demander des comptes à un voisin psychopathe qui venait de nous insulter gratuitement pour la énième fois depuis des années. Ce sinistre individu, fort de son courage l'a empoigné fermement par la gorge et bien-entendu, je me suis porté à la rescousse de mon épouse pour m'apercevoir que cet individu avait un énorme couteau de chasse qu'il a utilisé contre moi. Résultat: 2 semaines d'hospitalisation avec pronostic vital engagé et.....165 jours d'ITT.
Nous avons donc sollicité la Macif au travers d'un contrat spécifique Garantie des Accidents de la vie privée qui stipule notamment clairement que la légitime défense était (heureusement!!) permise.
La Macif a tout mis en œuvre pour ne rien débourser en mettant en avant que j'avais participé à une rixe!!!??.. Si j'avais su, j'aurai dû laisser ce psychopathe assassiner mon épouse!!
La Macif est d'une extrême mauvaise foi et elle pratique une politique à peine voilée d'obstruction des dossiers de dédommagement. Après 30 années de fidélité aveugle, je résilie tous mes contrats ainsi que ma famille très solidaire.
D'ailleurs si on analyse bien tous les commentaires négatifs du forum et il y en a pléthore, il en résulte que la Macif n'honore pas ses responsabilités contractuelles et déjouent par tous les stratagèmes son obligation de réparation.
A éviter absolument sauf si vous considérez qu'elle est efficiente parce que vous vous contentez de régler les cotisations sans jamais les solliciter. c'est seulement à partir de ce dernier point que vous risquez de vite déchanter.
Cordialement.</t>
  </si>
  <si>
    <t>18/10/2019</t>
  </si>
  <si>
    <t>vincentg-90386</t>
  </si>
  <si>
    <t>QUALITE DU SERVICE CLIENT: CATASTROPHIQUE
Suite au décès de mon père mi-mars, j'ai pris essayé de prendre contact avec l'Afer. Il a fallu plus d'un mois d'appels répétés pour que quelqu'un décroche et indique la marche à suivre. Toutes les pièces ont été envoyées début mai, et aucun accusé de réception n'a été reçu.
Depuis, j'essaie de contacter l'Afer plusieurs fois par semaine. Après trois semaines et une quinzaine d'appels, la personne de la réception m'a indiqué que le dossier de succession n'était toujours pas ouvert. Après deux semaines supplémentaires, une autre personne de la réception m'a indiqué que l'état du dossier ne pouvait pas m'être communiqué. Les seuls emails que j'ai reçus après un mois et demi ont été pour m'indiquer que l'Afer avait, soit-disant, jusqu'à fin aout pour considérer la demande de règlement de la succession et que mon insatisfaction était mentionnée au « service qualité. Toutes les autres sociétés d'assurance-vie ont procédé aux règlements en 2 à 3 semaines, moins de temps qu'il ne faut à l'Afer pour indiquer que le dossier n'a même pas été ouvert !
L'ironie est frappante, et il est clair que cette entreprise est incapable de faire face à ses engagements. 
La qualité de ses relations clients est en-dessous de tout. A éviter autant que possible !</t>
  </si>
  <si>
    <t>10/06/2020</t>
  </si>
  <si>
    <t>mathdfy-53540</t>
  </si>
  <si>
    <t>Ne jamais choisir cette assureur !!! En attente depuis + de 3 mois d'une indemnisation suite à un arrêt de travail. Le service client fait tout pour faire traîner le dossier afin de ne pas payer alors que tous les justificatifs ont été envoyés. Juste scandaleux.</t>
  </si>
  <si>
    <t>lfbd-53486</t>
  </si>
  <si>
    <t>Assurance avec une communication positive et près de ses clients. Protectrice envers les services ajoutés et à la carte.</t>
  </si>
  <si>
    <t>chettab-m-128481</t>
  </si>
  <si>
    <t>je suis satisfait
le prix reste un peu élevé pour une ancienne voiture mais cela reste convenable.
L'accueil téléphonique était bien et les explications bien précises</t>
  </si>
  <si>
    <t>anais-57239</t>
  </si>
  <si>
    <t xml:space="preserve">Aucune aide relationnel 0 perte des pièce original que je leur et donner pour me rembourser lamentable </t>
  </si>
  <si>
    <t>11/09/2017</t>
  </si>
  <si>
    <t>gregory-s-130227</t>
  </si>
  <si>
    <t xml:space="preserve">Super je suis très content merci beaucoup rapide efficace je n'ai pas hésité à m'assurer a cette compagnie d'assurance je ne pense pas être déçu merci ! </t>
  </si>
  <si>
    <t>dfjldku-76714</t>
  </si>
  <si>
    <t>A éviter absolument, prélèvent trop et ne remboursent pas. Et jouent sur les conditions pour se justifier alors que très mal expliqué.
Un entreprise américaine dans toute sa splendeur : Argent argent argent !!!!!!!!!!!!</t>
  </si>
  <si>
    <t>12/06/2019</t>
  </si>
  <si>
    <t>charly-s-106037</t>
  </si>
  <si>
    <t xml:space="preserve">Super service
Condition d'assurance que nus voulions 
Prix tre abordable 
et pour le ce qui est du temps d'attente au telephne c'est tres peux 
Je recommande </t>
  </si>
  <si>
    <t>euge-100321</t>
  </si>
  <si>
    <t>Une mutuelle qui ne devrait pas exister !!! 
Elle pousse faire des "forfaits famille" mais impossible d'inscrire ma conjointe et mes enfants Harmonie mutuelle nous RE réclame de l'argent sur ce fameux forfait famille qui est déjà à 165€ par mois.
Une honte !!! On nous trimbale de service en service pour ne rien faire par la suite, et nous envoyer un papier nous réclamant 165€ en plus
Scandaleux !!!!</t>
  </si>
  <si>
    <t>19/11/2020</t>
  </si>
  <si>
    <t>philippe-cavenel-97234</t>
  </si>
  <si>
    <t>Mon contrat pour ma Passat n'ayant pas été reconduit par tacite reconduction + assistance téléphonique injoignable + ne répond pas aux emails, j'ai du envoyer un recommandé pour obtenir mon attestation d'assurance (que je n'ai plus depuis fin juillet 2020 et que j'attends toujours), donc niveau de satisfaction particulièrement bas, je vais dès que possible changer d'assureur. Sinon le niveau de prix est bas, certes, mais sans un minimum de service associé, peu d'intérêt de rester en fait !</t>
  </si>
  <si>
    <t>pakontent-52537</t>
  </si>
  <si>
    <t>Encourage les mauvais conducteurs sous prétexte de convention d'assurance. Vous êtes un bon conducteur tant que vous ne passez pas la ligne médiane ( même si vous faite n’importe-quoi).</t>
  </si>
  <si>
    <t>20/02/2017</t>
  </si>
  <si>
    <t>mendy-a-113931</t>
  </si>
  <si>
    <t>le prix de la cotisation est correct pour le reste je n'ai pas d'avis et je trouve qu'il n'est pas nécéssaire de devoir en donné un pour valider cette page...</t>
  </si>
  <si>
    <t>said-c-125459</t>
  </si>
  <si>
    <t>Cela a été très rapide mais a voir par la suite quand je recevrais la vignette, contrairement aux autres assurances ils répondent vite et prennent vite en charge</t>
  </si>
  <si>
    <t>patrice-v-126317</t>
  </si>
  <si>
    <t>Satisfait d votre service rapide content de votre assurance scooter je vous remercie bocoup sa ma l'air d'être une très bonne assurance scooter à très bientôt mr venant.</t>
  </si>
  <si>
    <t>le-maude-talance-f-125558</t>
  </si>
  <si>
    <t>Le monsieur que j'ai eu au téléphone était vraiment super très pro et patient je recommande vivement . Énonce claire et limpide . merci beaucoup .....</t>
  </si>
  <si>
    <t>loup-135178</t>
  </si>
  <si>
    <t xml:space="preserve">Je suis en arrêt de travail depuis 3 mois. Je paye une assurance très chère afin d'être couverte s'il m'arrivait quelque chose. Je suis à mon compte.
Non seulement, j'ai dû attendre 2 mois avant d'être indemnisée car ils vous enlèvent 1 mois d'office alors que j'avais pris une franchise de 15 jours.
Et alors que je devais être payée le 25 de ce mois, Rien. J'avais appelé pour m'assurer de la date de paiement 2 fois, le 1er septembre et le 24 septembre. On m'a bien dit que je serai payé le 27 septembre car le 25 tombait un samedi.
Et maintenant, on me dit que mon dossier est en attente puis qu'il y a un problème informatique ! J'ai déjà 200 euros de frais bancaires suite à leur incompétence. Vous avez des moutons qui vous répondent qu'ils ne peuvent rien faire !
Des incompétents qui ne prennent aucune responsabilité et qui vous laissent dans une situation dont ils sont les seuls responsables à un moment où on est en arrêt de travail cad dans un moment de fragilité ! </t>
  </si>
  <si>
    <t>menteur-o-115338</t>
  </si>
  <si>
    <t>suite à ma demande d'assurance pour mon véhicule Opel Mériva je suis entièrement satisfait de vos service qui son conforme a mes exigences  je suis très satisfaite</t>
  </si>
  <si>
    <t>y14370-88399</t>
  </si>
  <si>
    <t xml:space="preserve">Ils ne remboursent rien, cherchent des liens antérieurs pour ne pas vous rembourser.
Mêmes les vétérinaires déconseillent. 
Je n'ai pas assez réfléchi avant de souscrire. 
A FUIR </t>
  </si>
  <si>
    <t>galou-csi-80380</t>
  </si>
  <si>
    <t xml:space="preserve">Satisfaite de ma mutuelle interiale tant qu'il n'y avait rien de spécial à demander. Remboursements arrivant à temps, interlocuteurs du service client agréables. Mais voilà... En arrêt maladie suite à une grossesse, je tombe à demi traitement sur une période de 2 mois... Dossier plus que complet envoyé en avance car j'ai prévu le coup. Sauf que réponse qui tarde pour finalement arriver négative pour cause de délai de stage ! Sauf que sur le bulletin d'adhésion, sous le 3eme petit Asterix, écrit en caractère moins 12 pour que ce soit illisible, il est bien stipulé que la période de stage ne s'applique pas si une même garantie a été résilié simultanément à l'adhésion à interiale. Ce qui est mon cas car sinon je n'aurais pas changé pour voir si l'herbe était plus verte ailleurs... Je leur fais donc remarquer en envoyant mon bulletin de radiation de la mgp, via le site internet et courrier... Pas de nouvelles... Tous les 2 jours appel au service client, qui reste toujours agréable mais incapable d'apporter une réponse, d'ailleurs les informations ne sont pas les mêmes suivant sur qui on tombe au téléphone.... Mais il semblerait que le service gestion soit d'accord avec moi, le délai de stage ne s'applique pas pour moi... Sauf que voilà admettre ça, ça revient à me verser mes indemnités dc on me demande pour effacer ce délai de stage un document que je ne pourrais jamais avoir, concernant une information sur la mgp qu interiale connaît dans tous les cas ! J'ai demandé à être rappeler, je ne sais plus quoi faire pour avoir gain de cause, ça traîne en longueur, personne ne me rappelle. Mais en attendant j'ai donné naissance à ma fille, je suis dans le rouge financièrement, je dois choisir entre payer mes impôts ou les couches pr ma fille... Ça fais 2 mois que ça traîne alors que mon dossier était plus que complet mais le silence est total de la part du service gestion bien caché dans sa tour d'argent !! Et on ose me dire que j'ai le droit à une prime naissance  si jaffilie ma fille sur ma mutuelle, mais que va t on m'inventer pour ne pas me la donner ! </t>
  </si>
  <si>
    <t>24/10/2019</t>
  </si>
  <si>
    <t>lara-t-109086</t>
  </si>
  <si>
    <t xml:space="preserve">Je suis satisfaite de la rapidité et de la facilité, sur le site web, pour créer un contrat. Juste je n'ai pas compris au moment du paiement. J'ai validé le faite de faire un prélèvement tout les 4 du mois pourtant à l'étape d'après vous m'avez valider le faite que pour le commencer le contrat je vais être prélevé la totalité de l'année. </t>
  </si>
  <si>
    <t>djak-67651</t>
  </si>
  <si>
    <t>Cette assureur n'inspire pas confiance, cet assureur facture des frais de courtage à tout va sans être informé</t>
  </si>
  <si>
    <t>jipe175002-96750</t>
  </si>
  <si>
    <t>Je ne suis assuré que depuis 3 ans avec un petit bonus, mais à la réception de mon appel de cotisation, la surprise fut de taille puisque je devrais payer 50 € de plus que l'année précédente sans accident et avec 5 % de bonus en plus... Cherchez l'erreur, moi, je cherche ailleurs</t>
  </si>
  <si>
    <t>27/08/2020</t>
  </si>
  <si>
    <t>pedrillo60-102501</t>
  </si>
  <si>
    <t xml:space="preserve">Assurances de mauvaise foi,même avec une couverture tout risque plus! 
Aucun suivi suite à un sinistre à l'étranger,(accident).
Absence de conseil et de devoir. 
Ne respecte pas les dispositions des contrats souscrits. 
Absence téléphonique suite à un sinistre à l'étranger. 
Le premier garage du coin leurs convient, du moment où la facture n'est  pas à payer. 
Aucun  suivie suite à de mauvaises réparation à l'etranger. 
Absence de contrôle des réparations, 
par l'expert, notamment sur la direction du véhicule  à l'étranger. 
Mise en dangers des conducteurs. 
Ne j'aimais souscrire  la PJ de Pacifica 
Abonnés absente dans un conflit d'intérêt des deux compagnie,(PJ et Assureur). 
</t>
  </si>
  <si>
    <t>damienalsace-94766</t>
  </si>
  <si>
    <t>Que de bonnes expériences. Prise en charge de chaque sinistre et demande en un temps records.
Exemple : Une sortie de route dans le sud de la France ( à plus de 800km de chez moi) J'appelle GMF qui m'a pris en charge rapidement ( un dimanche ) et m'a envoyé une dépanneuse dans l'heure. Voiture remise sur la route et on à pu continuer nos vacances. Et tout  ça pour 0 euros compris dans la clause assistance 0km de mon assurance.</t>
  </si>
  <si>
    <t>pierre-v-122143</t>
  </si>
  <si>
    <t>je suis satisfait du service personnel sympa et attentif facilité de mise en place du contrat et offre très attractive pas de prise de tete et 0 papier</t>
  </si>
  <si>
    <t>mohamed-jamel-r-113729</t>
  </si>
  <si>
    <t>Pas du tout satisfait du prix
Si je demande un devis de votre site en introduisant les même infos (voiture, permis ...) le prix de l'assurance TierMaxi est de 588€/ans contre 663 affiché sur mon compte
Je pense que je vais chercher une autre assurance au bout de mon engagement avec Direct Assurance</t>
  </si>
  <si>
    <t>david-92558</t>
  </si>
  <si>
    <t>Je suis satisfait du service et espère pour la suite. C'était un peu galère car le tarif changeait à chaque connexion. J'ai déjà été assuré chez vous dans le passé mais le tarif avait évolué sans aucun préjudice</t>
  </si>
  <si>
    <t>09/09/2021</t>
  </si>
  <si>
    <t>natacha641-50107</t>
  </si>
  <si>
    <t xml:space="preserve">Franchement des tres bon assureurs mis a par des soucis relationnels avec certaines personnes. Je suis jeune, je n'ai que 2ans et demi de permis, 
Dépannage rapide, bonne prise en charge (accidentée, pas en tord, procédure en cours depuis 1 ans, remboursement véhicule a ''la cote actuelle'' sur les site de vente d'occasion, visite chez l'expert rapide + remboursement rapide avant meme fin des procédure meme judiciaire (...)), et assurance appartement prise récemment </t>
  </si>
  <si>
    <t>09/12/2016</t>
  </si>
  <si>
    <t>madison-h-117345</t>
  </si>
  <si>
    <t xml:space="preserve">Personne agréable,  professionnel et tarif attractif avec de bonnes garanties.
Les devis sont bien suivied, plusieurd personnes m'ont contactés et j'ai eu un très bon tarif </t>
  </si>
  <si>
    <t>17/06/2021</t>
  </si>
  <si>
    <t>muriel-g-121406</t>
  </si>
  <si>
    <t xml:space="preserve">Bonjour,
Je n'ai rien à redire sur le montant de mes assurances et les services rendus.
je suis satisfaites de toutes les fois où j'ai eu recours à vos services.
Cordialement
Mme girard Muriel
</t>
  </si>
  <si>
    <t>ferrero-a-122058</t>
  </si>
  <si>
    <t xml:space="preserve">je suis satisfaite du service et du personnels qui nous conseil très bien
très professionnelles dans les explications et dans le prix 
je vous recommanderais
 </t>
  </si>
  <si>
    <t>estelle7713-49990</t>
  </si>
  <si>
    <t>Je souscris une assurance auto ou on paye 2 mois d'avance + frais de dossier , après paiement , aucun mail de confirmation , je me connecte sur mon compte, je n'ai toujours pas le contrat d'assurance, toujours pas la carte verte provisoire à imprimer, au téléphone ils sont injoignable, je fournis les documents qu'ils demandent mais je ne peux fournir le contrat signé vu qu'il y en a pas , du coup je suis bloqué ! C'est hallucinant comment le service client est très mauvais ! Je pense prendre mon droit de rétractation , demandez le remboursement et allez voir ailleurs ! De plus pour accélérez les choses je vais assigner cette assurance au tribunal si ils ne réagissent pas rapidement, c'est scandaleux  !</t>
  </si>
  <si>
    <t>15/05/2017</t>
  </si>
  <si>
    <t>lixon-j-125166</t>
  </si>
  <si>
    <t xml:space="preserve">                       Je suis satisfaite du service les prix sont très abordable..... et je recommande fortement.....
  Service clientèle l'écoute...</t>
  </si>
  <si>
    <t>aurelien-l-132208</t>
  </si>
  <si>
    <t>Tarifs bas mais toujours très chers pour un jeune permis. Ensuite je en termes de satisfaction, si je souhaite payé mensuellement je paye plus. Bref assurance c'est obligatoire et c'est cher.</t>
  </si>
  <si>
    <t>christian-111305</t>
  </si>
  <si>
    <t>Merci à LEA pour son accueil, sa sympathie, sa gentillesse, la clarté de ses informations et la démarche à suivre concernant ma demande pour l'envoi de documents. Christian.</t>
  </si>
  <si>
    <t>caigui-102659</t>
  </si>
  <si>
    <t>Attention, la MAIF au moment de vos souscriptions vous fera rêver.
Mais au moment d'un sinistre, aucun service n'a le même langage.
Le service sinistre à Compiègne est une catastrophe de gestion quasi insultent au téléphone.
Ils m'ont laissé sans chauffage malgré l'hiver avec mes 7 locataires, absolument aucune réponse apportée, ne connaissent même pas la façon de gérer une pompe à chaleur. J'ai la protection juridique chez eux, et ils refusent d'engager des procédures contre eux mêmes..  Tout est parfaitement verrouillé et chaque service connait la musique..
Surtout ne pas s'engager chez eux.</t>
  </si>
  <si>
    <t>titia-65023</t>
  </si>
  <si>
    <t xml:space="preserve">Victime d'un sinistre sur ma voiture depuis 3 semaines.
Toujours en attente du dédommagement de mon véhicule. aucune prise en charge m'a été proposé.
Service sinistre vraiment désagréable au téléphone.
je ne recommande vraiment pas cette compagnie d'assurance. </t>
  </si>
  <si>
    <t>25/06/2018</t>
  </si>
  <si>
    <t>geoffray-117006</t>
  </si>
  <si>
    <t>Je met une étoile car on ne peut pas mettre moins.
J'ai fait une demande de devis et 6 semaines que je l'attend un retour !!!! la seule réponse que l'on a en retour, c'est merci de patientez.
Je vais bloquer mes prélèvements et quand on m'appellera je vous demanderais de patientez aussi !!!!!
c'est une honte !!!!!! surtout fuyez .....</t>
  </si>
  <si>
    <t>raya-92515</t>
  </si>
  <si>
    <t xml:space="preserve">Prix correcte met je m’attendais à mieux  . Contente que je peux surveiller ma voiture  . Je réfléchis je reviens vers vous à très bientôt . Application très bien </t>
  </si>
  <si>
    <t>cachou-55343</t>
  </si>
  <si>
    <t>Tout est bien tant que l'on a pas de problèmes, après, c'est une autre histoire.
étant passé en invalidité catégorie 2, mon dossier est bloqué (expert médical vu depuis près de 2 mois) et toujours aucune réponse pour débloquer mon dossier indemnisation
tous les appels se soldent par une attente de 3/4 d'heure pour se faire entendre que le dossier n'est pas encore instruit.
bref, déplorable, surtout lorsque l'on est en invalidité pour cause de problèmes psychiatriques, quel réconfort</t>
  </si>
  <si>
    <t>13/06/2017</t>
  </si>
  <si>
    <t>thierry-g-110583</t>
  </si>
  <si>
    <t>souscription très simple et très rapide
tarifs  très compétitifs que ce soit tiers minimun ou tourisques 
très bonnes explications
très clair et compréhensif</t>
  </si>
  <si>
    <t>valentine-o-137778</t>
  </si>
  <si>
    <t>Satisfait mais pas de renseignement sur le nom de l’adhérent donc pas de première connexion a faire j’espère plus de détails dans les jours qui suivent</t>
  </si>
  <si>
    <t>aziz-b-114381</t>
  </si>
  <si>
    <t>Super rapide efficace et surtout très bon prix! Je recommande vivement à tout le monde c'est vraiment les meilleur sur le marché d'assurance vous avez qu'à regarder!</t>
  </si>
  <si>
    <t>nzoumba-moukaga-a-138106</t>
  </si>
  <si>
    <t>Je suis satisfait du service qu'offre Olivier Assurance. Service sinistre très réactif, et des offres très attractifs pour une meilleur couverture de l'assuré.</t>
  </si>
  <si>
    <t>23/10/2021</t>
  </si>
  <si>
    <t>mickael-t-114073</t>
  </si>
  <si>
    <t xml:space="preserve">depuis 2019 que je suis chez vous et avoir eu aucun probleme de prélèvement ni de retard de paiement je ne comprend pas qu on puisse avoir deux contrat surtout quand on clique sur déménagement et oui nous avons eu des problèmes donc on ne pense pas forcement à résilier dans les temps et quand on envoi les papiers on ne nous rembourse pas la totalité c'est un veritable scandale pour ma part je ne fais plus confiance a direct assurance car je viens de perdre 150e donc un vrai dégout de cette assurance car j ai déjà eu d autre assurance qui remboursé correctement </t>
  </si>
  <si>
    <t>oliv-64409</t>
  </si>
  <si>
    <t>Attends un peu avant de te réjouir Stéph. Moi aussi j'étais très content. Assurance prise par tél avec envoi des relevés d'assurance précédent : oui, on vous assure. Envoi du premier paiement : mensualité + frais dossier. Et ...3 semaines plus tard, mail : finalement on ne vous assure PAS !7 sinistres en - de 3 ans ? 1 responsable ...les autres ? 1 collision NON responsable et ...les réparations d'impact du pare-brise, et  Quid de mes 85€?????</t>
  </si>
  <si>
    <t>02/06/2018</t>
  </si>
  <si>
    <t>solt-m-114358</t>
  </si>
  <si>
    <t>Les prix sont abordables
Et très bon accueil 
Réponds très gentiment aux questions très très contente de cet assureur a recommander sans hésitation merci</t>
  </si>
  <si>
    <t>alexandra-g-128101</t>
  </si>
  <si>
    <t>Jolie économie ! Je suis ravie . J'économise 130€ par an avec de meilleures garanties. Mes parents sont déjà chez vous. Je vais regarder pour la mutuelle santé !</t>
  </si>
  <si>
    <t>15/08/2021</t>
  </si>
  <si>
    <t>pascal-106530</t>
  </si>
  <si>
    <t xml:space="preserve">Mutuelle catastrophique remboursement tres tardif voir pas de remboursement sous prétexte que la ss n'a pas transmis leur prise en charge, conseiller aux abonnés absent... Bref fuyez cette mutuelle </t>
  </si>
  <si>
    <t>14/03/2021</t>
  </si>
  <si>
    <t>solisami78-87933</t>
  </si>
  <si>
    <t>Une mutuelle très difficile à joindre quand on en a besoin et qui fait plein d'erreur dans les dossiers.</t>
  </si>
  <si>
    <t>04/03/2020</t>
  </si>
  <si>
    <t>camboui-103410</t>
  </si>
  <si>
    <t xml:space="preserve">Très bonne couverture sociale un peu chère. Mais la qualité se monnaye un peu plus. Une bonne équipe à l'écoute téléphonique. Une mutuelle à conseiller. </t>
  </si>
  <si>
    <t>29/01/2021</t>
  </si>
  <si>
    <t>alain-k-117860</t>
  </si>
  <si>
    <t>j'ai eu une panne de voiture il y a plusieurs années, j'ai été pris en charge à 100% avec taxi aller et retour du garage, et ça c'est le plus important dans un moment de grande solitude et maintenant je reçois un remboursement de 146.94€ car je n'ai pas eu d'accident durant 5 ans.   Encore un grand merci Direct assurance</t>
  </si>
  <si>
    <t>carinou--114436</t>
  </si>
  <si>
    <t xml:space="preserve">Contrat souscrit en septembre.
Énorme problème de prises en charge malgré les garanties correspondant.
Mieux vaut ne pas avoir besoin d’examens clinique ou hospitalisation.
Je ne compte plus les sommes qui ne m’ont été remboursé.
De plus un de mes enfants s’est retiré de celle ci ;couvert depuis mars par la mutuelle entreprise,neoliane s’est prélevé jusqu’au mois de mai .
</t>
  </si>
  <si>
    <t>ava-53661</t>
  </si>
  <si>
    <t>Très mauvais</t>
  </si>
  <si>
    <t>28/03/2017</t>
  </si>
  <si>
    <t>fany972-77837</t>
  </si>
  <si>
    <t>Ne rembourse pas rapidement il faut attendre environ quinze jours avant d être remboursé malgré la télétransmission. Il faut envoyer la facture. J ai connu mieux en matière de mutuelle</t>
  </si>
  <si>
    <t>laloose-68374</t>
  </si>
  <si>
    <t>qualité du service client dommage qu'on puisse pas mettre zéro !!!! nuls nuls nuls !!!! fuyez les comme la peste!
a part vous dire de se connecter sur l'espace perso ... sauf que le site ne fonctionne pas, vous payez et impossible de récupérer votre attestation d'assurance sur l'espace perso! il s m'ont envoyé une attestation provisoire avec juste mon nom et prenom meme pas la plaque du vehicule aucun renseignements. j'en croyais pas mes yeux d'une telle imcompetence!!! bref de la folie une equipe de branquinolles comme j'en ai jamais vu ailleurs!!!</t>
  </si>
  <si>
    <t>babs-108294</t>
  </si>
  <si>
    <t>LAMENTABLE ET REVOLTANT.
La Matmut n'est plus ce qu'elle était. Nous sommes sociétaires depuis plusieurs générations dans ma famille, et avons toujours été globalement satisfaits. 
Sauf depuis quelques années.
PREMIERE CHOSE, ils ont changé leur standard téléphonique, avant lorsque l'on appelait on tombait sur notre agence de La Ciotat, maintenant on bascule sur un standard national, et ils sont totalement INJOIGNABLES. Et lorsque l'on se rend en agence, l'on vous dit que le personnel sur place ne gère pas les sinistres, et qu'il faut appeler leur plateforme qui est donc injoignable ... 
Je me suis alors tournée vers un autre moyen de communication, j'ai envoyé plusieurs mails sur mon espace client, ils accusent immédiatement réception, mais AUCUNE REPONSE. Je me suis résolue à faire un courrier de réclamation en recommandé A.R. en novembre 2020, j'ai reçu en janvier un courrier accusant réception de ma demande qui m'indiquait qu'ils avaient besoin de plus de temps pour examiner mon dossier, puis PLUS RIEN. 
Je me suis déplacée à plusieurs reprises pour solliciter le directeur de mon agence (qui commence à en avoir assez lui aussi de me recevoir) pour qu'il relance la plateforme, puisqu'il ne peut rien faire de plus. Mais cela ne donne rien, ON NOUS LAISSE POIREAUTER, ET CE DEPUIS NOVEMBRE.
SECONDE CHOSE, ils chipotent pour indemniser, et font preuve d'une mauvaise fois remarquable; en effet notre mur de clôture s'est écroulé suite à des inondations en septembre 2020, dans un premier temps on m'a demandé si nous avions souscrit l'option exterieur, par chance OUI, mais ont refusé d'indemniser car le mur était vieux, ils jouent sur les mots en disant, je cite, que"les inondations sont bien le facteur révélateur de l'écroulement mais n'en sont pas la cause ". Sauf qu'avant les inondations mon mur était vieux, certes, mais il tenait droit, il s'est écroulé suite aux inondations !!!
Voilà où nous en sommes ... 
Évidemment parallèlement à tout cela et dans cet intervalle de temps, ils ont été hypers ponctuels pour nous envoyer nos avis d'échéance, et ne manquent pas de nous prélever tous les mois.
Je tenais à faire part de ma triste expérience avec eux.
Prochaine étape, nous allons prendre un avocat pour nous défendre.</t>
  </si>
  <si>
    <t>claude80-123616</t>
  </si>
  <si>
    <t>Si je pouvais mettre zéro je le ferais.Vous êtes ici dans le pire du pire.Induit en erreur par un mail venant d eux avec une adresse inconnue, impossible de se connecter, alors que j avais accès à mon compte par autre adresse , j ai fait une erreur et résilie un contrat de 13 ans que je ne voulais surtout pas résilier.Aucune vérification faite ni par Générali ni par le crédit agricole par lequel j avis acquis cette assurance. Dès que je me suis rendu compte de cette erreur, j ai essayé en vain d annuler cette vente, mais ils n ont aucune assistance client et sont totalement obtus.
Résultat ce placement ne m a rien rapporte suite à la fiscalité sur les plus valus taxées une seule fois
Donc à moins d être Masi, fuyez tout contât Generali</t>
  </si>
  <si>
    <t>desmars-s-133999</t>
  </si>
  <si>
    <t>tarif intéressant en rapport a notre dernière assureur pourtant client 11 ans chez eux
le contact téléphonique  agréable et courtois, je recommanderais aupres des membre de ma famille</t>
  </si>
  <si>
    <t>dessoudeur69-54545</t>
  </si>
  <si>
    <t>Mon père est décédé depuis plus de 2 mois,il avait un contrat obsèques Reunica.Impossible de trouver un conseiller compétent pour avoir des renseignements sur le contrat et surtout un remboursement.......
Société affligeante de je m en foutisme ,je ne compte plus les coups de fil et les mails envoyés,A FUIR ABSOLUMENT.
(tant que vous etes vivant et que vous payez, tout va bien ,par contre après.....)</t>
  </si>
  <si>
    <t>09/05/2017</t>
  </si>
  <si>
    <t>louloue-62004</t>
  </si>
  <si>
    <t>En arret maladie depuis le 13 decembre 2017,je viens aujourdhui soit le 05 mars 2018 de recevoir un cheque de 44€,je les appelle pour leur demander a quoi cela correspond,ont me reponds que mon complement  n est payé qu a partir du 15 janvier soit 32 jours en moins,quand je leur demande pourquoi ont me renvoi vers mon employeur.mon employeur me dis que non il a bien transmis les documents et que donc ont dois me verser le complement a partir du 13 decembre 2017.Quand ils veulent pas payer ils renvoient la faute à l employeur et en attendant nous ont galère !!!</t>
  </si>
  <si>
    <t>05/03/2018</t>
  </si>
  <si>
    <t>arnaud-f-119100</t>
  </si>
  <si>
    <t>Je suis très surpris que la prime d'assurance augmente de 9% cette année malgré l'augmentation de mon bonus..
Le nombre  général de sinistres ayant diminué je m'attendais à une réduction des primes.</t>
  </si>
  <si>
    <t>eagle0000-61088</t>
  </si>
  <si>
    <t xml:space="preserve">Mieux vaut ne pas avoir de sinistre chez Eurofil . J ai dû me battre avec à l appui des photos pour faire reconnaître un accident où je n étais absolument pas responsable . 
J ai eu un accident responsable en reculant dans une barrière en 2016 et un acte de vandalisme responsabilité nullement en 2017 . Je suis à 50/100 depuis une dizaine d années . 
Eurofil a décidé de me résilier mon contrat pour inadéquation du risque au regard de la politique d acceptation de la compagnie . 
Cette compagnie vous assure si vous avez zéro sinistre responsable ou pas . 
Je suis chez Eurofil depuis 16 ans (2002) avec aussi un contrat habitation . 
EUROFIL m a augmenté ma prime d assurance  suite au sinistre de 2016 de 100€ . </t>
  </si>
  <si>
    <t>pascal-66725</t>
  </si>
  <si>
    <t>axa arrive de moins à s aligner sur les tarifs</t>
  </si>
  <si>
    <t>09/09/2018</t>
  </si>
  <si>
    <t>lilikrz-139022</t>
  </si>
  <si>
    <t xml:space="preserve">Avec mon mari nous avions 2 crédits immobiliers (appartement + maison), nous avons vendu notre appartement. Nous avons fait une renégociation de crédit sur notre maison pour réduire la durée du prêt (de 25 ans à 7 ans). Nous avons vu avec AFI ESCA les tarifs qu'ils pouvaient nous proposer sachant que nos 2 assurances de prêt pour l'appartement et la maison étaient déjà chez eux. 
Les tarifs sont toujours aussi intéressants, notre dossier a été traité rapidement, le conseiller était disponible et à notre écoute. Je recommande. </t>
  </si>
  <si>
    <t>05/11/2021</t>
  </si>
  <si>
    <t>aybjlt-135260</t>
  </si>
  <si>
    <t>Alors si c'était possible de mettre 0 étoile au niveau satisfaction je l'aurais mis avec plaisir. une assurance assez forte pour prélever de l'argent sur les comptes de ses clients, mais pas pour en dépenser quand il s'agit d'un sinistre. Sans vous raconter ma vie, je vis une trés mauvaise experience concernant la gestion d'un sinistre qui a eu lieu ça fait des mois. Leurs numéro ne répond absolument jamais. impossible de les joindre ou de discuter de vive voix avec un conseiller depuis des semaines... je vous invite fuire cette assurance autant que possible.</t>
  </si>
  <si>
    <t>olib75-65141</t>
  </si>
  <si>
    <t>A eviter a tout prix. Ils se permettent de laisser leur contrat se valoriser d'année en année ce qui fait qu'au bout de 10 ans vous payez 3 fois plus. Exemple apres 25 ans de fidélité, le passage a l'euro fut un joli pretexte, pour un 4 pieces dans paris en garanti minimale plus de 500€ à l'année</t>
  </si>
  <si>
    <t>28/06/2018</t>
  </si>
  <si>
    <t>pubcp-59162</t>
  </si>
  <si>
    <t>Mon avis : peu d'intérêt voire aucun porté aux demandes des clients.....Sur mon assurance habitation RC, je demande l'inscription et une attestation concernant la prise en compte de l'acquisition d'un chien. En réponse de la MAFF, je reçois sans aucune explications un avenant avec une nouvelle tarification, bien sûr à la hausse.
Je réponds que cette forme de réaction ne me convient pas et leur précise à nouveau mon souhait.......rien à faire, aucune réaction ....l'attention de la MAAF est portée sur une cotisation à la hausse !!!!!
C quoi la pub : je l'aurai....je l'aurai ..!!!!!c'est adressé aux clients de la MAFF ??????</t>
  </si>
  <si>
    <t>27/11/2017</t>
  </si>
  <si>
    <t>juju-80527</t>
  </si>
  <si>
    <t xml:space="preserve">J'ai etait contacter par votre conseillère Lamia qui a était très sympas accueillantes au téléphone et très agréable je vous recommanderez à mes proche comme mutuelle </t>
  </si>
  <si>
    <t>fouad--o-133322</t>
  </si>
  <si>
    <t xml:space="preserve">Je suis satisfait dj prix et service très bonne offre je suis satisfait du service prix Je suis satisfait dj prix et service très bonne offre je suis satisfait du service prix  </t>
  </si>
  <si>
    <t>candlox-65452</t>
  </si>
  <si>
    <t>Tarif très attractif au départ pour attirer le client et une fois les contrats finalisés, hausse régulière des cotisations (assurance habitation : environ 10% d'augmentation par an, assurance auto environ 10% par an pur l'une et cotisation doublée pour l'autre.
Ouverture d'un compte courant uniquement par téléphone et beaucoup de difficultés à le ferme.</t>
  </si>
  <si>
    <t>12/07/2018</t>
  </si>
  <si>
    <t>nath-50736</t>
  </si>
  <si>
    <t>conseillère qui est là pour faire du chiffre!!!
un devis qui n'est pas bien fait correctement au début pour vous faire changer le prix.
Dès que que vous voulez corriger on vous demande 15 euros à chaque changement. Même si le contrat n'a pas encore démarrer. Et si vous vous expliqué et que sa soule la personne que vous avez au téléphone on vous raccroche au nez.
moi sur 4 conseillères, 2 on raccroché. Pourtant j'ai étais calme et très correcte enfin tout ca pour dire. Je vous déconseille cette ASSURANCE !!!</t>
  </si>
  <si>
    <t>28/12/2016</t>
  </si>
  <si>
    <t>aucher-m-114389</t>
  </si>
  <si>
    <t>Prix très avantageux et service client très pro.
Cette assurance m'a été conseillée par un ami et je n'hésiterai pas à en faire la pub à mon tour si tout se passe bien.</t>
  </si>
  <si>
    <t>domino-3359-100674</t>
  </si>
  <si>
    <t>Assurance à fuire.... Vous n'avez jamais les mêmes réponses selon le conseiller que vous avez au bout du fil. Et que dire des agences.... L'incompétence doit y être un critère d'embauche. La MACIF est beaucoup plus prompte à vous envoyer des mises en demeure qu'à vous régler ce qu'ils vous doivent</t>
  </si>
  <si>
    <t>27/11/2020</t>
  </si>
  <si>
    <t>igloomaju-103026</t>
  </si>
  <si>
    <t>Bonjour,
Actuellement, mon employeur propose une participation mensuelle à hauteur de 15€ pour un contrat souscrit avec une mutuelle labellisée.
Après contact avec vos services, ceux-ci m'ont informé que vous ne l'étiez pas.
Vous est-il possible d'être partenaire à cette labellisation afin que de nombreuses personnes dans le même cas que moi puisse bénéficier de cette participation, non négligeable.
Je suis très content des services proposés par la MGP mais cette non labellisation de votre part peut nous donner l'envie de nous rapprocher du notre mutuelle qui elle en fait partie.
Cordialement.</t>
  </si>
  <si>
    <t>21/01/2021</t>
  </si>
  <si>
    <t>jean-pierre-l-105696</t>
  </si>
  <si>
    <t xml:space="preserve"> Bonjour
Ma cotisation est  passée  de 378..07€ à 415..75€    en 1 an!
Je trouve que c est beaucoup et pas forcément justifié..
A ce rythme ,  vous allez rapidement rattraper la concurrence</t>
  </si>
  <si>
    <t>georges-57345</t>
  </si>
  <si>
    <t>Toujours satisfait depuis très longtemps. Aucune concurrence valable pour la moto. Et maintenant Auto.</t>
  </si>
  <si>
    <t>marie-rtn-102643</t>
  </si>
  <si>
    <t xml:space="preserve">Je suis assurée à la Matmut depuis plus de 20 ans, je constate depuis plus d'un un manque de sérieux de la part de cette assurance.
Difficultés d'avoir un retour lorsqu'on veut faire fonctionner l'assurance «  qu'on paie tous les mois » .Par contre un conseiller vous appelle chaque jour lorsque vous faites un devis pour cette même assurance. Souhaitant résilier 2 contrats en fin d'année j'ai donc envoyé  un courrier avec accusé de réception le 21 novembre pour cette demande. Je reçois en décembre mon échéancier pour 2021 pour l'assurance de ma voiture et je vois que les 2 contrats censés être résiliés figurent dessus.
Je contacte à nouveau par mail la Matmut à ce sujet...j'attends toujours une réponse... </t>
  </si>
  <si>
    <t>michtiti-75396</t>
  </si>
  <si>
    <t xml:space="preserve"> Clients inconditionnels de la MAAF depuis 50 ans      2 vehicules, 1 camping-car, habitation, resid secondaire, 2 assurances-vie, 1 local profesionnel, 1 appart loué vide, accident de la vie, également assur voiture et habitation pour un de nos fils, force il est constaté  que la politique actuelle de cette mutuelle s'est très dégradée : Aucune considération et la recherche de tout ce qui peut leur permettre de ne pas vous indemniser, En 50 ans nous n'avons eu aucun accident responsable et depuis un mois notre voiture a été volée et soit- disant nous avons fait une fausse déclaration : ils nous menacent de ne pas nous indemniser ( auparavant nous avions la visite d'un de leur enquêteur lorsque que nos avions un sinistre) Ce qui est le propre d'une agence / aux assur sur le web . Tout est gouverné depuis Niort et nous ne sommes que des pions payeurs. A nos âges 75 et 82 ans c'est difficile. Pourqoi ne pas envoyer un enquêteur pour prouver notre bonne foi ?
 </t>
  </si>
  <si>
    <t>26/04/2019</t>
  </si>
  <si>
    <t>chevalier-h-116133</t>
  </si>
  <si>
    <t>Très bon entretien téléphonique, personnel agréable, prix attractif, je suis pour l’instant ravis de cette assurance pour mon premier véhicule. J’espère continuer longtemps avec celle-ci.</t>
  </si>
  <si>
    <t>dumont-pasc-45257</t>
  </si>
  <si>
    <t>tarifs abordables, j'espère qu'en cas de sinistre je ne sois pas déçu d'une assurance en ligne. En attente fin d'année de la baisse du malus..........</t>
  </si>
  <si>
    <t>sandro-102393</t>
  </si>
  <si>
    <t xml:space="preserve">La MAIF traite mon dossier vieux de 2 ans sans jamais me lacher et en étant toujours à mon écoute. Je suis très fier de faire partie des sociétaires MAIF. Enfin une assurance digne de ce nom. Je remercie les interlocuteurs (Mr Go et Mr Micquel) qui ont été à la hauteur de leur mission. Ce n'était pas gagné d'office et je ne les ai pas épargnés mais ils ont toujours été à mon écoute.
Merci encore pour votre implication </t>
  </si>
  <si>
    <t>09/01/2021</t>
  </si>
  <si>
    <t>thierry-d-124519</t>
  </si>
  <si>
    <t>le tarif assurance moto pratiqué par la GMF à garanties égales est largement supérieur à de nombreuses compagnies. Avec trois assurances auto et moto et n'ayant pas eu de sinistre depuis plusieurs années, je trouve que la GMF ne fait pas trop de geste commercial pour garder ses adhérents fidèles (souscription en 1977!)</t>
  </si>
  <si>
    <t>24/07/2021</t>
  </si>
  <si>
    <t>bastille-55263</t>
  </si>
  <si>
    <t>Mon papa est âgé, il souhaite liquider une assurance vie de la Banque Postale à Angers Doutre et le directeur profite de sa faiblesse pour ne pas faire cette liquidation. Il ne veut même pas que j'accompagne mon père alors que, ancien directeur financier de groupes internationaux et actuellement chef d'entreprise, cette action est de mon rôle et de mes compétences. Une plainte pour tentative d'abus de faiblesse va être déposée contre la Banque postale et contre le directeur de cette agence. A quoi bon placer des fonds à cette banque!!!</t>
  </si>
  <si>
    <t>10/06/2017</t>
  </si>
  <si>
    <t>carole-t-114642</t>
  </si>
  <si>
    <t>Je suis satisfaite des prix et je n'ai pas encore eu affaire à un réglement de sinistre pour mon appartement de Malaunay au 3émé étage de l'immeuble de la presqu'il</t>
  </si>
  <si>
    <t>babar-64829</t>
  </si>
  <si>
    <t>Bonjour aux internautes. Je suis à la Macif depuis de nombreuses années. Je suis sur le point de quitter cet assureur qui ne me donne aucunement satisfaction. J'ai téléphoné à maintes reprises pour que l'on m'envoie le nécessaire afin que je puisse renouveler tous mes contrats avec eux. Malgré toutes mes relances téléphoniques, aucun des employés sur Niort n'a été capable de m'envoyer ces papiers. J'ai fini par envoyé un courrier au responsable administratif. Et l'enveloppe, j'ai fini par l'avoir et aucune excuse. Que dalle ! 
Depuis plus de 2 mois 1/2, j'ai modifié une clause du contrat habitation. La Macif doit me rembourser un certain montant. Les promesses que j'ai eues au téléphone n'ont pas été tenues. Non seulement ils sont incompétents, mais en plus, ils vous mentent effrontément. Je dois également me faire rembourser un trop perçu sur la mutuelle. Je pense que tout cela finira mal car je suis quelqu'un qui ne se laisse pas faire. Courage à tous ceux qui ont des pbs avec eux. La Macif n'est pas toute seule sur le marché. Et puis, il existe des recours.... A bon entendeur, salut.... Ch</t>
  </si>
  <si>
    <t>17/06/2018</t>
  </si>
  <si>
    <t>titoune-52502</t>
  </si>
  <si>
    <t>Quand j'ai voulue assurer un deuxième véhicule, j'ai eu à faire à un incompétent qui n'a pas vérifier mon dossier. Mon nouveau contrat n'était  correct et on refuse de m'assurer ma 2ème voiture le pire c'est que sur les 3 mois d'avance payé on me retien  une partie pour des frais.</t>
  </si>
  <si>
    <t>17/02/2017</t>
  </si>
  <si>
    <t>75loulou-115516</t>
  </si>
  <si>
    <t xml:space="preserve">Assurance parfaite tant que l'on est pas victime d'un sinistre...
Dans le cas contraire, tout est fait pour que l'indemnisation soit la plus complexe et incertaine possible...
Je déconseille vivement
</t>
  </si>
  <si>
    <t>dan-99508</t>
  </si>
  <si>
    <t>Direct assurance ou "Dites nous ce dont vous avez besoin, et on vous dira (ou pas) comment vous en passer.....
Je commente : Conducteur de 66ans, ancien représentant (100 000km par an pendant 40 ans), jamais un accident, 12 points sur mon permis, 50% de bonus depuis au moins 30 ans !
J'ai changé d'assurance il y a 3 ans (à la retraite, pas de petites économies, direct assurance - au départ - était le meilleur rapport qualité / prix)
Au mois de juillet, ma femme a un petit accrochage par un conducteur indélicat (parti sans laisser d'adresse, bien entendu) sur un parking, puis le même jour enfonce un peu plus la porte arrière droite (celle déjà abimée sur le parking) à cause d'un petit muret de notre cour.
Etant assuré tous risques, je contacte l'assurance qui m'envoie un document relatant les circonstances de l'accident, que je renvoie dans la foulée....
Et depuis.... Rien !!!! J'ai téléphoné tous les mois, tous les 15 jours pour connaitre le suivi du dossier : réponse de direct assurance... A chaque fois le dossier est au contrôle technique, on ne peut pas vous dire quand il sera traité, bla-bla-bla.....
Soit le contrôle technique en question est incompétent, soit endormi par la covid, soit (ce que je pense) c'est moi que l'on pense endormir !!!!!!
Heureusement que ce n'est qu'un peu de tôle froissée, que la voiture normalement !!!!!
Cerise sur le gateau : je viens de recevoir mon avis d'échéance pour l'année 2021 : augmentation de 11% !!!!! (alors que les accidents ont été moins nombreux en 2020....)
Bref, en conclusion, je dirais : Direct assurance : A FUIR !!!!!!</t>
  </si>
  <si>
    <t>lolo-55080</t>
  </si>
  <si>
    <t>Assuré pour un vehicule depuis plus de 3 ans.. et lorsque j'appelle pour leur dit que je change de véhicule on m'informe qu'eurofil ne veut plus m'assurer et tout ca sans me donner la moindre explication. Dire que je leur faisais de la pub... maintenant ca ne va plus etre le cas!!!</t>
  </si>
  <si>
    <t>02/06/2017</t>
  </si>
  <si>
    <t>mm-117565</t>
  </si>
  <si>
    <t>Très déçu, les personnes qui répondent au téléphone ne disent jamais la même chose, on vous balade pour vous rembourser le plus tard possible. Très mauvaise mutuelle.</t>
  </si>
  <si>
    <t>coupat-51116</t>
  </si>
  <si>
    <t>fuyez Allianz
leurs démarcheurs ont fait prendre à ma mère 5000eur d Agf obsèques en promettant 2,5% minimum,,,c est négatif,,,normal disent Allianz et le médiateur,,c est un taux TECNIQUE gardé par Allianz,,, mais c est ma mère qui paie les prélèvements sociaux,,,fuyez Allianz</t>
  </si>
  <si>
    <t>christophe-b-132454</t>
  </si>
  <si>
    <t>Le devis était très clair avec toute les explications sur les différentes garanties ainsi que franchises. Très bon tarif compte tenu de la garantie proposé</t>
  </si>
  <si>
    <t>neant-103242</t>
  </si>
  <si>
    <t>Adherent a cette mutuelle depuis 1974 je ne peux que me feliciter d avoir choisi celle ci. En effet les problemes que j ai rencontre ont ete resolus rapidement et avec satisfaction. les remboursements sont operes dans un laps de temps tres court et avec precision. De même je ne peux qu etre satisfait des rendez vous telephoniques que j ai eu ayant obtenu a chaque fois renseignements clairs et precis et ce avec toujours de  courtoisie quel que soit mon interlocuteur.</t>
  </si>
  <si>
    <t>doc69-59751</t>
  </si>
  <si>
    <t>Je viens de faire Assurer ma moto chez à AMV. J’ai demandé que ma femme qui vient d’obtenir le permis puissent être mise en second conducteur sur la moto. Il m’a été rétorqué que cela était impossible car elle avait eu un accident voiture responsable il y a un an (accident négligeable, bonus 50% depuis 10 ans, aucun autre sinistre depuis plus de 20 ans de voiture).Je trouve ça déplorable compte tenu du dossier. Il me reverrons pas l année prochaine et le messsage est passé dans les motos écoles de la région et les forums!!</t>
  </si>
  <si>
    <t>17/12/2017</t>
  </si>
  <si>
    <t>chavanne-70819</t>
  </si>
  <si>
    <t>BIDON ! Teletransmissions bloquées depuis 14 mois et ils ne font rien. Ne repondent pas aux mails (malgré prises en compte ...), et 40 minimum pour les avoir au tel. DEPLORABLE ! LAMENTABLE ! ........</t>
  </si>
  <si>
    <t>31/01/2019</t>
  </si>
  <si>
    <t>jonathan-92341</t>
  </si>
  <si>
    <t xml:space="preserve">Je suis satisfait mais les prix reste chère pour une voiture de ce type saxo en 4 chevaux, les jeunes permis sont pas forcément en bonne situation financière </t>
  </si>
  <si>
    <t>26/06/2020</t>
  </si>
  <si>
    <t>tutuncuoglu-m-115732</t>
  </si>
  <si>
    <t>SATISFAIT DU SERVICE MERCI
On m'a bien conseillé au téléphone ( merci à Joeffray) 
Les devis ont été réalisés rapidement, avec détails et conseils 
Pas de perte de temps</t>
  </si>
  <si>
    <t>dchtx-114283</t>
  </si>
  <si>
    <t xml:space="preserve">Assuré depuis plusieurs dizaines d'années chez AMV et pour plusieurs motos, je n'ai jamais eu à me plaindre de leurs services, leurs tarifs sont avantageux si vous avez plusieurs motos et en cas de sinistres j'ai toujours été contacté et informé sur l'avancement de mon dossier. Le site AMV est très complet et permet de gérer ses contrats comme on le souhaite. Vraiment très satisfait. </t>
  </si>
  <si>
    <t>doudou-93211</t>
  </si>
  <si>
    <t>je dois attendre les decomptes secu pour me faire rembourser je les recois tous les 3 mois devinez la gene financiere des 2021 je fuirai APRIL</t>
  </si>
  <si>
    <t>06/07/2020</t>
  </si>
  <si>
    <t>mbarek-lahmar-m-117005</t>
  </si>
  <si>
    <t xml:space="preserve">Je suis tres satisfaite merci pour votre professionnalisme et je recommande cette assurance merci encore c'est très rapide et efficace et surtout très rapide </t>
  </si>
  <si>
    <t>stephme-77729</t>
  </si>
  <si>
    <t>Merci à Caroline pour son aide dans la résolution de mon problème avec Mutua Gestion</t>
  </si>
  <si>
    <t>18/07/2019</t>
  </si>
  <si>
    <t>jack75-60051</t>
  </si>
  <si>
    <t>Je ne comprends pas les commentaires de certaines personnes. Vous critiquez des sociétés téléphoniques qui vendent des mutuelles, mais celles et ceux qui ont été "abusées" ne l'ont pas été par la mutuelle Neoliane mais par des revendeurs téléphoniques qui sont des sous traitants. Et en effet, il y a comme dans toute activité commerciale des gens sérieux et certains qui ne le sont pas. Bien évidemment, les commentaires le sont toujours de gens mécontents et non de client satisfaits qui eux n'ont rien à dire puisqu'ils sont satisfaits.
Pour ma part après 3 ans chez Neoliane pour ma mutuelle j'en suis satisfait, je suis très rapidement remboursé, j'ai un tarif compétitif et j'ai toujours été bien renseigné lors de mes contacts téléphoniques.</t>
  </si>
  <si>
    <t>30/12/2017</t>
  </si>
  <si>
    <t>karine-l-107398</t>
  </si>
  <si>
    <t xml:space="preserve">jusqu'à maintenant aucun soucis 
traitement rapide et réponse rapide
impeccable 
facilité de transmission de documents et traitement au top
je reste pas de soucis </t>
  </si>
  <si>
    <t>clo58-114063</t>
  </si>
  <si>
    <t>Le silence de la Cegema est inquiétant. Si ils ont, comme ils le prétendent un bugg informatique, la moindre des choses aurait été de prévenir leurs adhérents. Pourquoi ne le font ils pas ?????</t>
  </si>
  <si>
    <t>cc-61017</t>
  </si>
  <si>
    <t>je n'apprécie pas la démarche commerciale téléphonique d'hier où je me retrouve soi-disant ayant accepté de souscrire à un contrat d'assurance iJH sans avoir compris comment mais bien sûr avec 14 jours de rétractation! Sachant que ma mutuelle assure déjà ce service, je vais m'empresser d'adresser un courrier à Néoliane pour leur faire part de mon mécontentement devant ce démarchage forcé et utiliser la clause de résiliation d'un soi-disant contrat souscrit par téléphone (!!!) sans attendre un quelconque courrier qui devrait m'arriver par la poste. Leur conseiller qualité a soi-disant annulé cette manipulation mais aucune trace écrite ne m'ait parvenue encore malgré mon insistance et la communication de mon mail.....J'espère que Néoliane sera de bonne foi......</t>
  </si>
  <si>
    <t>lili-61354</t>
  </si>
  <si>
    <t>impossible de les joindre par mail ou par téléphone, honte au service client je vais résilier alors que mon contrat n'est pas encore actif</t>
  </si>
  <si>
    <t>georges-k-109557</t>
  </si>
  <si>
    <t>Je suis satisfait de l'ensemble des services et tarifs de Direct Assurance. Fantastique !
Quelle merveille de commodité et d'autonomie... le goût du sens pratique !</t>
  </si>
  <si>
    <t>peter-86953</t>
  </si>
  <si>
    <t>Il faut toujours beaucoup de temps pour obtenir un remboursement. Et cela implique toujours beaucoup d'efforts.</t>
  </si>
  <si>
    <t>14/02/2020</t>
  </si>
  <si>
    <t>cliotrophy-75377</t>
  </si>
  <si>
    <t>Qualité de service déplorable ,aucune réponse par mail scandaleux a évité .</t>
  </si>
  <si>
    <t>sonia-g-109310</t>
  </si>
  <si>
    <t>je suis satisfaite de la rapidité et de la qualité des services pour la souscription .
J'espère que l’efficacité et la rapidité seront aussi au rendez-vous en cas de litige.</t>
  </si>
  <si>
    <t>06/04/2021</t>
  </si>
  <si>
    <t>seb-103633</t>
  </si>
  <si>
    <t>Bonjour,
A fuir si vous ne voulez pas vous user la santé !
Suite à un sinistre bris de glace (cailloux sur pare-brise) : aucun suivi de dossier, vous êtes baladé d'une personne à une autre, rabâchez toujours les memes informations .... bref situation insupportable !
Toujours en attente de remboursement depuis 6 mois. Oui oui j'ai bien écris 6 mois !
Toutes les 2 semaines lorsqu'ils peuvent s'occuper de votre cas, il vous demande un nouveau document et vous confirme que le dossier sera clôturer sous 5 jours ... mais mais mais au bout de 8 jours pas de nouvelles et on vous envoi un nouveau référent de dossier qui recommence et vous trouve un nouveau document à fournir.
Je suis rendu à croire que le seul but et de gagner du temps pour que je continu à payer ma cotisation tous les mois.</t>
  </si>
  <si>
    <t>03/02/2021</t>
  </si>
  <si>
    <t>z3rtyy-98922</t>
  </si>
  <si>
    <t>De mauvaise foi et ne respectent pas les conditions d'indemnisation contractuelles. Lourdeur administrative extrême. Comme pour beaucoup de leurs confrères, nous sommes juste bons pour payer.</t>
  </si>
  <si>
    <t>19/10/2020</t>
  </si>
  <si>
    <t>fanfan-96834</t>
  </si>
  <si>
    <t xml:space="preserve">Je suis sociétaire depuis de nombreuse année à la Macif pour mes assurances auto et habitation et je n'ai rencontré aucun problème avec cette compagnie ou j'ai rattaché le véhicule de ma compagne...
Le 21 Août 2020 en vacances en Bretagne j'ai du faire intervenir l'assistance de la Macif pour mon véhicule une Dacia Lodgy de 2019 en garantie constructeur acheter 15 jours auparavant dans une concession Renault, la durite à Gasoil à lâché, immobilisant le véhicule qui avait commencer à prendre feu, l'assistance Renault inexistante qui n'a pas voulu prendre le véhicule en charge prétextant qu'il était immatriculé en WW...
Appel à l'assistance Macif pour prise en charge et remorquage du véhicule dans un garage Renault (véhicule en garantie constructeur) très bonne réactivité de l'assistance, prise en charge et remorquage de notre véhicule sur le garage Renault demandé, mise en place par la Macif de notre rapatriement par taxi sur Paris de toute ma famille, mon chien, mes bagages, maintenant dans l'attente des réparations de mon véhicule ou la Macif sera encore présente pour m'assuré par leurs assistances d'un moyen de transport taxi ou train pour allez récupérer mon véhicule en Bretagne...
Très bonne compagnie, réactivité du personnel, écoute, conseil, prise en charge, efficacité et tarif correct Mr François BROUAYE 91800 BRUNOY Essonne </t>
  </si>
  <si>
    <t>30/08/2020</t>
  </si>
  <si>
    <t>dubois-g-138382</t>
  </si>
  <si>
    <t>Bonne communication au téléphone, meilleur prix auto pour l'instant en comparaison des autres assureurs auto ! Parfait, en attente de la suite ! merci !</t>
  </si>
  <si>
    <t>jonathan-f-115905</t>
  </si>
  <si>
    <t xml:space="preserve">Satisfait bonne assurance prix correct bonne navigation sur le site facile utilisation bonne qualité assurance à des prix raisonnable merci cordialement </t>
  </si>
  <si>
    <t>swaponmatin35-89337</t>
  </si>
  <si>
    <t>Depuis ma première maison, je choisis Allianz comme assureur habitation et je n'ai jamais été déçue.</t>
  </si>
  <si>
    <t>03/05/2020</t>
  </si>
  <si>
    <t>calo-63434</t>
  </si>
  <si>
    <t>Client depuis 20 ans auto moto habitation assurance vie, j ai une garantie canalisations extérieures et fuite compteur extérieur jardin depuis 7 mois et rien ne bouge !??!!! honteux je pense tout résilier</t>
  </si>
  <si>
    <t>ninie-65088</t>
  </si>
  <si>
    <t xml:space="preserve">Bonjour,
Je suis assurée à la MAPA d'Orléans depuis plusieurs années et je recommande vivement cette agence. Ils sont réactifs, à l'écoute, toujours le sourire et excellentes garanties (espèces professionnelles assurées dans ma maison, panne mécanique, ...). Je recommande régulièrement mon assurance ! </t>
  </si>
  <si>
    <t>27/06/2018</t>
  </si>
  <si>
    <t>dominique-c-113403</t>
  </si>
  <si>
    <t>très mauvaise connexion avec les interlocuteurs et pas évident à réaliser par téléphone 
j'espère ne pas être décué car le fait de donner mes coordonnées bancaires et pièce d'identité par mail me dérange beaucoup</t>
  </si>
  <si>
    <t>switchbackk-64876</t>
  </si>
  <si>
    <t xml:space="preserve">Je déconseille FORTEMENT cette compagnie. Demande des frais exorbitant si vous n'envoyez pas une lettre recommandé pour résilier votre contrat. 12 ans que j'assures des véhicules dans divers compagnie, quad moto , bateaux, auto... JE N'AI JAMAIS eu pareil mésaventure. </t>
  </si>
  <si>
    <t>kamal-e-111358</t>
  </si>
  <si>
    <t>Je trouve que c'est chère, 120 euros, l'extension assistance de 0 km en cas de panne.
Et on ne peut pas totalement gérer les contrats a travers l'espace personnel, il faut appeler un conseiller et rester 15 minutes en attente.</t>
  </si>
  <si>
    <t>23/04/2021</t>
  </si>
  <si>
    <t>platon-115392</t>
  </si>
  <si>
    <t xml:space="preserve">GEGEMA débite régulièrement les cotisations
Mais CEGEMA ne rembourse pas:
J'ai fait début mars une demande de prise en charge pour une intervention chirurgicale, restée sans réponse.
Lors de l'hospitalisation le 2 mai j'ai communiqué  à la clinique copie de ma carte d'adhérent.
Lors de ma sortie de la clinique le 7 mai la clinique m'a remis une facture de 2600€, car CEGEMA n'a pas pris en charge. J'ai communiquée à CEGEMA la facture.
Malgré les relance par le courtier, je n'ai reçu aucune réponse de CFGEMA. Le courtier me dit qu'ils sont débordés.
J'ai peur d'être tombé sur une mutuelle qui n'est pas sérieuse ou qui ne rembourse pas. </t>
  </si>
  <si>
    <t>31/05/2021</t>
  </si>
  <si>
    <t>sauveur-60757</t>
  </si>
  <si>
    <t xml:space="preserve">
Je ne sais pas pourquoi je suis encore sociétaire de cette compagnie qui commence sérieusement aujourd'hui à m'écoeurer, surtout quand je sais et j'entends des vantards jouer d'opérations visant à faire payer les compagnies d'assurance.
Mais comme tout un chacun sait que l'honnête citoyen, surtout s'il est d'éducation chrétienne, est en définitive le neuneu de ce système, là, il ne s'agit pas de faire valoir un quelconque racisme !
Mais ce qui me révolte aujourd'hui :
Mon fils que j'ai encouragé à choisir la Macif, (ma fille récemment également) a été victime d'un accident de la route le 30 janvier dernier.
Une dame se rendant à son lieu de travail l'a percuté par le côté gauche alors, qu'arivant de face (visiblement pressée) elle voulait tourner à gauche.
Cette dame, au sortir de son véhicule était en pleurs et demandait pardon à la compagne de mon fils tout juste extraite de la Renault Mégane qui s'était retrouvée sur le toit après un choc sur le trottoir.
Aucune glissade, d'ailleurs à ce propos, l'expert a indiqué à mon fils, d'après les visualisations de l'impact dû au choc, qu'il était clair de ne pas être en tord
Sauf que la représentante de la gestionnaire du dossier indique que cet expert n'a pas son mot à dire en la matière et qu'il n'a ni les compétences, ni été missionné pour déterminer les responsabilités.
Notez q'un mois s'est presque écoulé et que "madame" qui avait préparé le constat à l'amiable, arrivait au lieu de rdv en compagnie de son patron dentiste, très mal vu (voir les avis sur Google), faisant un procès d'intention à mon fils, le menaçait et le prenait en photo devant témoin.
Devant l'aberration du dessin présentant une toute autre interprétation des faits, mon fils refusait de signer, mais, lui, s'executait dans les délais pour remettre sa déclaration dans le constat.
Apparemment certaines personnes, de mauvaise foi de surcroît, ne semblent pas inquiétées de rendre leur constat en dehors du temps imparti... pourquoi ?
Je vous le demande !
Voilà brièvement le tableau, alors que bientôt 2 mois se sont écoulés, mon fils ayant beaucoup perdu dans cette histoire (perte du véhicule, impossibilité d'en racheter une, arrêt de travail, perte de salaire, touché physiquement et moralement ainsi que sa compagne, devant reprendre son travail... sans voiture et dans les circonstances actuelles, que vous connaissez bien entendu.
Et pour conclure, ia si juste compagnie lui écrit et vient de lui faire une proposition pour la somme de 208€ , précisant que les responsabilités, à ce jours ne sont pas établies !
Il lui est demandé de répondre sous 10 jours, (comme ça tombe bien dans l'actuelle situation n'est-il pas ?) menacé de devoir payer les frais de gardiennage alors que lors de mon entretien téléphonique avec la gestionnaire pour savoir pourquoi le véhicule était enlevé du garage, il m'était indiqué que ce dernier avait été placé dans un espace de stockage de la Macif (une casse), ceci afin d'éviter justement les frais de gardiennage !!!
De qui se moquent-on ???
À ce stade, vous avez devant les yeux, la même réaction que moi, je n'en doute pas un instant, à la différence que ce n'est pas vous qu'on insulte dans toute cette mascarade.
Mais pouvez-vous imaginer ma décision ?
Parce qu'en matière d'insultes on a atteint le sommet.
Il est certain que je vais mettre ce couriel en ligne, histoire de prolonger ce qu'on sait déjà des façons d'agir des collecteurs de fonds !
Voilà cher Monsieur, sachez entre nous que jamais je ne pourrais travailler dans une puanteur pareille, ma conscience ne me le permettrait point, j'ai refusé des choses bien plus moindre que celle-là !
Je vous souhaite bonne réception de ce message et vous adresse mes salutations distinguées.</t>
  </si>
  <si>
    <t>25/03/2020</t>
  </si>
  <si>
    <t>booba59-52570</t>
  </si>
  <si>
    <t>A éviter si vous ne voulez pas d'ennuis et de perte de temps et d'argent.
leur réputation les devance apparemment ! voici quelques détails:
-attention : jeunes conducteurs ,sans le permis définitif : menace de résiliation avec ultimatum!
-si le véhicule n'a pas été assuré pendant une cer
taine période : pas bon ça...ils revoient à la baisse les garanties.
- pour les joindre: un bon film, pour passer le temps...l'attente peut étre trèèèès looooongue!
méfiance en cas de sinistre..
beaucoup plus compliqué de s'expliquer et d'argumenter..
-echanges par mail oui possible avec attente de env.48h pour une reponse.
-pour les 2 roues : très exigeants sur les antivols et gravage obligatoire, ce qui n'est pas toujours le cas ailleurs, notmment chez les mutualistes.
-et enfin pour terminer : frais de dossier et resiliation très chers par rapport à la concurrence , attention donc à ces frais qui ne sont pas toujours bien visibles ....donc la loi Hamon et Cie c'est bien beau mais c'est pas toujours gratuit.ici même en cas de résiliation amiable, vous êtes perdant : à la souscription et à la résiliation.2x des frais prélevés!
bilan:je suis allé chez ma..f et chez ma....ut , bizarre aucun pb pour assurer en tous risques...et pour moins cher(reprise du bonus auto possible),et avec moins d'exigences...
et je ne suis pas prêt de reprendre une assurance par internet
conseil: aller voir dans votre ville , et discuter et negocier avec les agents....très instructif et on est souvent gagnant au niveau garanties/prix, et le contrat et carte verte bah c'est immédiatement en main en sortant!</t>
  </si>
  <si>
    <t>19/02/2017</t>
  </si>
  <si>
    <t>dan-53398</t>
  </si>
  <si>
    <t xml:space="preserve">Suite au commentaire que j'ai laissé sur ce site, il y a de cela cinq jours, j'ai été contacté par leur service client. La personne fut des plus intentionnée mais ne pouvait rien faire hormis m'assurer qu'ils allaient prévenir le service prévoyance et que j'allais être contacté dans les 48h. Depuis le 28 mars, on me promet un contact dans'les'48h.... Incroyable! 
À ce jour, Toujours aucun appel de leur part. Ah j'oubliais, j'apprenais par leur soin, que mon ancien employeur avait changé de prestataire en fin d'année (reunica passant ag2r). D'ailleurs, c'est la période du début de mes retards de remboursements et autres...
Cerise sur le gâteau, j'ai reçu en ce jour du 19 avril, une grosse enveloppe de la compagnie. Dedans, 5 courriers datés du 10 avril 2017 et un du 14 avril. Alors que j'étais en attente de régularisation les montants, ces courriers m'informent que je suis redevable de 8159€, un autre de 4922,22€. Des soit disant trop perçus ! Rien que ça.
Bien entendu, j'ai contacté le seul et toujours même numéro et suis à nouveau tomber sur la plateforme de Marseille. Vous savez, la même plateforme qui ne peut rien faire hormis prendre votre message et prendre des engagements sans retour du service concerné. Impossible d'avoir des infos, des explications ou autres. Juste un mot : un conseiller va vous rappeler! Quand? Sous 48h !!! À se demander si ce n'est pas 48 jours... en tout cas, il y en a raz le bol. Ils connaissent ma situation depuis le début, suite à mon licenciement, je suis dans mes droits de la portabilité. Pire, on me demande des trop perçus durant ma période dite de carence. C'est beau non? Faut que je rembourse ce qu'ils ne m'ont jamais donné !!!!
Autre point, on me stipule sur le courrier "compte tenu des difficultés que le remboursement dans son intégralité pourrait vous occasionner nous restons à votre disposition pour toute proposition d'echelonnement". Super non? 
Alors déjà va falloir m'expliquer de vives voix mon dossier car il y a erreur sur bon nombre de points. Ou va falloir m'expliquer bon nombre de choses. Mais'pour cela, va falloir également que l'on me contacte car c'est impossible pour nous de pouvoir le faire...franchement, c'est vraiment une compagnie des plus légère  !
À bannir....
</t>
  </si>
  <si>
    <t>19/04/2017</t>
  </si>
  <si>
    <t>yvon-m-106137</t>
  </si>
  <si>
    <t>très bons services, personnel à l'écoute de nos demandes, très vive réactivité,assurance sachant reconnaître le sérieux de leurs clients, c'est dommage qu'il faut en faire la demande sinon je passais à côté de la remise consentie</t>
  </si>
  <si>
    <t>scenic93-57613</t>
  </si>
  <si>
    <t xml:space="preserve">Affilié a la Maif depuis près de 50 ans, je suis sidéré quant à la façon dont mon dossier a été géré. Je résume les faits : propriétaire d'1 maison, mon terrain est attenant avec la cour de l'immeuble voisin administré par l'agence immobilière Murcia. En avril 2017 celle-ci me  fait parvenir 1 courrier en recommandé m'informant du délabrement du mur mitoyen, côté immeuble (ce qu'il m'est impossible de voir depuis chez moi) ; en effet des fissures seraient apparues en décembre 2016.
L'expertise effectuée par Polyexperts ( pour le compte du propriétaire voisin) m'accuse d'être responsable du sinistre et de plus, m'impute la propriété des 2 faces de ce mur. J'informe donc la Maif le 21 avril 2017 de ces faits qui prend note du sinistre à cette date : je précise qu'il n'y avait pas de problème avant décembre 2016. Sauf qu'à cette période il y a eu des pluies diluviennes, et non en 2014 comme le stipule le rapport de l'expert de la maif ! Après plus de 2 mois d'attente, le 13 juillet 2017, je reçois 1 courrier de la Maif m'informant de la nomination d'un expert ; celui-ci me rend visite le 17 août, plus d'un mois après. A ma demande,sinon ne l'aurais-je peut-être toujours pas, le 23 septembre courant, son rapport me parvient et ne parle que de "décollement de l'enduit dù à  l'humidité , le mur n'ayant aucun dommage" et se contredit ensuite "les dommages ne sont pas accidentels mais relèvent d'1 défaut constructif". Il suppose qu'une grosse pluie ne suffirait pas à créer 1 tel problème ! Les pluies n'occasionnent-elles pas de l'humidité ? Etrange raisonnement ! La Maif m'indique en date du 25 septembre courant qu'elle n'a pas vocation a intervenir au titre de garantie "dommages aux biens" ! 
Je suis outré par la mauvaise foi émanant de l'expert et de la position de la Maif : tout semble indiquer une manoeuvre  afin de ne pas prendre en charge ce pourquoi les assurés cotisent ! Peut-être dois-je envisager de changer d'assurance ?  </t>
  </si>
  <si>
    <t>27/09/2017</t>
  </si>
  <si>
    <t>kalvinator-101798</t>
  </si>
  <si>
    <t>Une assurance pas cher pour les jeune conducteurs comme moi.
les opérateurs téléphonique réponde à toute vos questions, et vous orriante sur les meilleurs tarif.</t>
  </si>
  <si>
    <t>23/12/2020</t>
  </si>
  <si>
    <t>rakotomahanina-v-112829</t>
  </si>
  <si>
    <t>TRES SATISFAIT DU SERVICE DE L'OLIVIER ASSURANCE
LES SERVICES CLIENTS SONT TRES A L'ECOUTE ET PROFESSIONNELLE
EN CAS DE DECLARATION DE SINISTRE ILS SONT TRES RAPIDE ET EFFICACE</t>
  </si>
  <si>
    <t>caloubea--130845</t>
  </si>
  <si>
    <t xml:space="preserve">Émeline 
Échange  tres agréable bonne compréhension de mes demandes. A répondu à toutes mes demandes. Personne très agréable au téléphone 
Très satisfaite 
Merci </t>
  </si>
  <si>
    <t>carole-r-134776</t>
  </si>
  <si>
    <t xml:space="preserve">Les prix sont attractifs, la démarche en ligne est très bien expliqué et tout est clair. Lela prise en charge de la résiliation est un plus pour l adhérent. </t>
  </si>
  <si>
    <t>terrasson--112795</t>
  </si>
  <si>
    <t xml:space="preserve">Moi chez eca assurance ça fait 2 ans que j assure un berger belge malinois franchement j ai jamais eu aucun problème il mon toujours remboursé la totalité moins ma franchise de 20 euros. Rien à leurs reprocher. </t>
  </si>
  <si>
    <t>ali-75965</t>
  </si>
  <si>
    <t xml:space="preserve">Du début jusqu'à la fin la conseillère c'est bien occupé de satisfaire mes besoins me demandant l'objet de mon appel ainsi que si j'avais d'autres demandes qu'elle pourrait traiter. Et à fait le nécessaire pour changer ma nouvelle adresse. </t>
  </si>
  <si>
    <t>16/05/2019</t>
  </si>
  <si>
    <t>vanessa12-74615</t>
  </si>
  <si>
    <t xml:space="preserve">Je demande la déconnexion cpam ils m'envoient des certificats de radiation.
Peut être qu'ils ne connaissent pas la démarche à suivre. Il me demande un mois complet alors que suis parti le 8 février. Pas de prorata. 
 incompétents ne répondent pas aux demandes faites par mail. Voir même aux autres demandes. Une demande simple semble être très compliquée pour eux. </t>
  </si>
  <si>
    <t>30/03/2019</t>
  </si>
  <si>
    <t>arsene--111122</t>
  </si>
  <si>
    <t>Mon avis concerne Léa, opératrice avec qui j'ai eu affaire ce jour. Je suis tombé sur une excellente personne, disponible et agréable à la voix pour satisfaire mon problème de carte de tiers payant Néoliane suite perte de mon portefeuille où elle se trouvait. Merci pour le professionnalisme de cette personne qui mériterait une gratification salariale à la hauteur de ses compétences.</t>
  </si>
  <si>
    <t>21/04/2021</t>
  </si>
  <si>
    <t>eric-58647</t>
  </si>
  <si>
    <t>Les gestionnaires sont injoignables et ne communiquent pas par mail mais par fax ou par la poste. Accord sur dommages il y a plus de 3 mois, toujours pas d'indemnité ! Courrier envoyé en RAR le 17/10/17 sans réponse à ce jour 07/11/17</t>
  </si>
  <si>
    <t>Sogessur</t>
  </si>
  <si>
    <t>07/11/2017</t>
  </si>
  <si>
    <t>francois-g-116445</t>
  </si>
  <si>
    <t>Le prix est correct. Les transactions sont simples et rapides.
Les paiement sont sécurisés par vérification d'identité bancaire. La navigation sur le site est aisée.</t>
  </si>
  <si>
    <t>ronecker-v-108506</t>
  </si>
  <si>
    <t>Très bien et très rapide , les prix sont les moins cher actuellement et en plus si vous avez plusieurs voitures , cela fait moins 10 % à chaque contrats.</t>
  </si>
  <si>
    <t>olivier-f-105912</t>
  </si>
  <si>
    <t>communication avec Direct assurance difficile pour le moment !
aucun avis sur la satisfaction pour le moment !
prix en rapport des prestations , satisfaisant !</t>
  </si>
  <si>
    <t>nono-64184</t>
  </si>
  <si>
    <t>Mutuelle surtout à éviter encore pire que ma mutuelle précédente . Ne mérite même pas une étoile. Attention au piège des frais de gestion</t>
  </si>
  <si>
    <t>24/05/2018</t>
  </si>
  <si>
    <t>lau-vanha-96361</t>
  </si>
  <si>
    <t>Mon véhicule a été grêlé en juillet 2019.
ici commence notre galère, l'olivier nous envoi dans un garage a plus d'une heure de notre domicile....nus ne sommes pas pris en charge vu le grand nombre de véhicule impacté dans la régions, après plusieurs relances téléphonique nous obtenons un rendez vous  afin de chiffrer les réparations.
Apres plusieurs mois nous relançons le garage afin de connaitre les délais .....
On nous informe que l'expertise a été faite et que nous sommes en attente du chiffrage..
Commence alors un périple d'un an ou l'olivier ne fera absolument rien pour nous (nous avons du contacter l'expert et récupérer les documents afin de relancer le dossier et trouver un garage pour réparer... et oui nous roulons avec une voiture cabosser de toute par depuis 1 an).
Finalement en juin 2020 notre garagiste prend en charge les réparations a ses frais.
Depuis 4 mois nous relançons l'olivier Assurance pour que notre garagiste sois payé.
Tout est ok l'expertise, le chiffrage les réparations 7500€, peu être s'attendent ils que nous payons de notre poche la facture.
en résumé l'olivier est incompétent.
Le service client est inexistant.  
nous allons devoir contacter le médiateur des assurances prochainement pour faire valoir nos droit.
L'olivier assurance propose des tarif alléchants mais le service n'et pas a la hauteur il est même inquiétant que ce genre d'entrepris existe.....</t>
  </si>
  <si>
    <t>17/08/2020</t>
  </si>
  <si>
    <t>marie-f-105253</t>
  </si>
  <si>
    <t>Je suis satisfaite de l'accueil reçu et des précieux conseils fournis par la gestionnaire qui est )à l'écoute et qui est très professionnelle.
Merci de votre aide</t>
  </si>
  <si>
    <t>gysen-k-131163</t>
  </si>
  <si>
    <t xml:space="preserve">Je suis satisfait du prix et du personnel que j'ai eu au téléphone. 
Je recommande vivement et j'ai hâte de voir comment va se passer cette année avec l'Olivier assurance. </t>
  </si>
  <si>
    <t>samir-d-122113</t>
  </si>
  <si>
    <t xml:space="preserve">TRÈS BON ACCUEIL TÉLÉPHONIQUE  UNE CONSEILLÈRE TRÈS  DISPONIBLE et professionnelle   selon les questions de mes besoins de couverture je pense le conseiller a des amis </t>
  </si>
  <si>
    <t>diad-104479</t>
  </si>
  <si>
    <t>j ai eut un soucis de remboursement j ai eut un jeune homme qui m a envoyé bouler et donner que de fausses infos puis j ai rappelé j ai eut une jeune femme prénomée TESS qui a été d une gentillesse et competence super je l a remercie fortement pour son efficacité et sa rapidité a reglé mon soucis merciiii beaucoup</t>
  </si>
  <si>
    <t>19/02/2021</t>
  </si>
  <si>
    <t>brahim-c-111059</t>
  </si>
  <si>
    <t>Dommage car je voudrais changer de véhicule prochainement et faire l'achat d'un véhicule récent mais je vous trouve cher par rapport à certains de vos concurrents .mon assurance doublerait en prenant tous risques environ 500 euros de plus qu'à l'heure actuelle donc je vais réfléchir car je pense changer mon véhicule courant Juin 2021 Merci</t>
  </si>
  <si>
    <t>mickael-b-134443</t>
  </si>
  <si>
    <t>PARFAIT SERVICE IMPECCABLE
ACCEUIL TELEPHONIQUE AU TOP
je RECOMMANDE  
DOMMAGE QUE LA COUVERTURE VOL COUTE AUSSI CHERE QUE POUR UN SCOOTER ESSENCE DE 300 CC</t>
  </si>
  <si>
    <t>claude-j-130900</t>
  </si>
  <si>
    <t>je suis satisfait du service
les prix me conviennent
simple et pratique .
Vous êtes toujours a l'écoute de vos clients et répondez toujours dans les meilleurs délais .</t>
  </si>
  <si>
    <t>pat92-98988</t>
  </si>
  <si>
    <t>Dans mon appartement j'ai eu à subir un sinistre (dégât des eaux), provenant des parties communes. Un constat amiable a été dressé avec l'assureur de l'immeuble et j'ai fait établir un devis par un peintre sérieux. A priori donc pas de problème. Je suis client de la Matmut pour tous mes contrats depuis plus de quarante ans et je n'ai jamais de sinistre. J'ai donc vu comment s'opère l'indemnisation. Inter-mutuelles assistance gère le dossier pour le compte des deux assureurs, avec pour seul objectif de limiter au maximum l'indemnisation. La personne que j'ai eue au téléphone m'a finalement conseillé de faire les travaux moi-même (!) et mon assurance m'a envoyé une somme correspondant à moins d'un quart du devis. Bref, par principe je vais changer d'assureur  (même si le nouveau ne sera pas mieux). Mais au moins la Matmut va perdre des primes d'un assuré sans sinistre. Au fond, sinistres, ce sont les assureurs qui le sont !</t>
  </si>
  <si>
    <t>sweettitou-108568</t>
  </si>
  <si>
    <t>Bonjour, je donne mon avis suite à une expérience désastreuse vécue aujourd'hui même. 
Je laisse ma voiture chez mon garagiste de confiance pour diverses réparations dont certaines dû à un petit accident de voiture. Je fais donc appel à l'assistance pour un prêt de véhicule que je paie avec mon assurance.
Réservation en ligne pour la première agence (10 min de mon domicile) et arrivée avec un taxi qui me dépose devant et résultat l'agence était fermée suite à une liquidation judiciaire depuis plusieurs mois. 
Après 45 min d'attente, un second taxi vient me chercher pour me déposer à une seconde agence de location (à 30 min de chez moi dans le 77) rebelotte, fermée ! Le propriétaire de l'agence en possède une seconde dans le 95, celle-ci même dans laquelle a été réserver ma voiture de prêt. Très grand manque de communication entre l'assistance et le second loueur de voiture (l'agence pensait avoir réserver à l'agence du 77 et le propriétaire a fait la réservation dans l'agence du 95). Donc après avoir passé mon après-midi entre taxi et attente, j'ai décidé de trouver un véhicule par mes propres moyens.
Je demande donc un geste commercial à l'assurance suite au désagrément subi, leur réponse : il faut voir avec le siège social mais ce n'est pas sûr qu'ils acceptent et cela peut être long.
Je ne recommande pas du tout cette assurance (pour l'assistance auto du moins) car elle ne sait pas choisir des agences de locations de voiture fiable.</t>
  </si>
  <si>
    <t>greg-80559</t>
  </si>
  <si>
    <t>Franchement  ils méritent un zéro total. C est une bande d'incompétents.î Je n ai jamais vu cela et il faut le vivre pour le croire. JE suis bénéficiaire d un contrat d assurance vie. J ai envoyé mon dossier deux mois et demi avant sans avoir aucune réponse. Quand je téléphone on me dis que mon dossier est complet et ensuite on me demande un justificatif supplémentaire. Cela ajoute à chaque fois un Mois de délai.    C est une bande d incapables</t>
  </si>
  <si>
    <t>mika-66084</t>
  </si>
  <si>
    <t>Bonjour je suis tombé de scooter suite au blocage de l accelerateur de mon scooter achetais neuf 3 mois auparavant.Le scooter a était expertisé 2 fois avec comme conclusion defaut de fabrication. Amv ce retourne contre le concessionaire mais depuis pas de reponse, amv relance tous le temp mais toujour pas de reponse. Je suis obligé de prendre un avocat car rien ne bouge on me dit d attendre sa fait 6 mois que j attend, mon scooter est dans un  garage démonté et sous scéllé on doit me le ramener dans cette état a mon domicile.J ai du avancer 150 euros de frais , je ne peut plus travailler depuis ce temp car opérer du dos suite a cette accident. Et aujourdhui il faut attendre ma patience a des limites , je paye une assurance pour un scooter demonter et sous sceller.Si je prend pas d avocat sa ne bougera pas en faite amv vous ne servez a rien .</t>
  </si>
  <si>
    <t>09/08/2018</t>
  </si>
  <si>
    <t>antho-77757</t>
  </si>
  <si>
    <t>Je ne supporte plus leur slogan...assureur militant....aucune assistance lors du deces de ma fille dans un accident de voiture...rt disuation.active pour nous empechet de faire reconnaitre nos droits</t>
  </si>
  <si>
    <t>14/12/2019</t>
  </si>
  <si>
    <t>regis-p-133030</t>
  </si>
  <si>
    <t>Interface du site facile d'utilisation
Les éléments reçus par mail sont clairs.
L'accueil Conseillère, le suivi du dossier = Efficace, Pro, Agréable
Je conseille.</t>
  </si>
  <si>
    <t>15/09/2021</t>
  </si>
  <si>
    <t>tixador-o-114869</t>
  </si>
  <si>
    <t xml:space="preserve">Téléopérateur compétent.
Prix sur nouveau contrat satisfaisant. Anormal que le prix soit beaucoup plus élevé si j'avais fait suivre ma nouvelle voiture sur le contrat de mon ancienne.
Je serais pleinement satisfait si le prix n'augmente pas chaque année de manière exagéré et non justifié.
</t>
  </si>
  <si>
    <t>bosquet-m-133596</t>
  </si>
  <si>
    <t xml:space="preserve">Au top prix raisonnable; très bon accueil téléphonique à l'écoute et très rapide. Le site est facile d'accès et pas compliqué. Service sympa et rapide. </t>
  </si>
  <si>
    <t>laury-s-125491</t>
  </si>
  <si>
    <t xml:space="preserve">1ere fois que je m'assure chez AMV, mais ami(e)s motard ne jure que par eux.
De ce que j'ai pu voir par rapport à d'autre assurance, leurs prix sont raisonnables.
</t>
  </si>
  <si>
    <t>carine-110729</t>
  </si>
  <si>
    <t>Très très mauvaise expérience avec cette assurance. Elle coûte une fortune, on est très mal remboursé en cas d’accident, même en tout risque, une franchise énorme et également 10 % du montant des travaux à payer ! Un sinistre qui a duré plus de sept mois, pour lequel j’ai dû me défendre seul auprès de l’assurance adverse. Et pour dire j’ai eu gain de cause !! 
Ne sont pas capables de faire leur travail. Vraiment à fuir le plus vite possible !</t>
  </si>
  <si>
    <t>nathalie-l-122307</t>
  </si>
  <si>
    <t xml:space="preserve">Je veux une attestation d'assurance et je ne le trouve pas. Je ne trouve qu'une attestation pour aller à étranger ou co-voiturage.
Impossible de passer à l'étape suivante sans valider ce questionnaire ? </t>
  </si>
  <si>
    <t>04/07/2021</t>
  </si>
  <si>
    <t>navy1810-94894</t>
  </si>
  <si>
    <t xml:space="preserve">Assurance à payé fin juillet... Le 9 juin on reçoit un recommandée nous prévenant que l'assurance sera radié.... Impossible donc de se connecter début juillet pour régler mon assurance.
Sans parlé qu'il ne répondent pas aux messages.... </t>
  </si>
  <si>
    <t>23/07/2020</t>
  </si>
  <si>
    <t>serge-v-108204</t>
  </si>
  <si>
    <t>Je trouve l'augmentation de cette année très importante, c'est d'autant plus lourd qu'à part pour ce paiement, je n'ai pas eu à utiliser vos services.</t>
  </si>
  <si>
    <t>jock3r-113813</t>
  </si>
  <si>
    <t xml:space="preserve">Assurance a fuir grande bla bla et c’est tout car à prendre de l’argent ne redonne même pas de coefficient après résilier date clé anniversaire et avoir aucun accident même en tout risque car vous serez obligé de faire des procédures pénales qui sont très très longues et en attendant ces vous qui payer alors stop assurance a fuir surtout ne pas ce faire piéger par des offres de belles pour y croire d’ailleurs assurance étrangère aucun conseiller par correctement le français et je ne suis pas raciste </t>
  </si>
  <si>
    <t>lbodaine-90198</t>
  </si>
  <si>
    <t xml:space="preserve">A fuir absolument !!! 
J'ai récemment eu un accident de voiture sur l'autoroute. Ma voiture a été remorqué par la société en charge des autoroutes et stockée sur leur parc. Cette société n'étant pas agréé pour effectuer les réparations, allianz m'a demandé s'il pouvait transférer le véhicule dans un autre garage. J'ai donné mon accord. 
Cependant pour pouvoir transférer le véhicule, j'ai dû régler les frais de remorquage et les frais de gardiennage soit plus de 600€. 
Allianz a mis 5 mois à procéder à un remboursement de 52 € . Après avoir reçu un courrier de réclamation, ils m'annoncent sans vergogne que mon contrat prévoit un remboursement à hauteur de 250€ et que les frais de gardiennage ne sont pas pris en charge. 
Je me retrouve donc à devoir payer Plus de 350€ Juste pour que mon assureur puisse travailler avec un garage agréé 
Pour ma part, je n'Avais rien demandé et j'aurais dû refuser le transfert. 
Je suis en colère contre allianz et je vais changer de compagnie  </t>
  </si>
  <si>
    <t>alkah67-103188</t>
  </si>
  <si>
    <t xml:space="preserve">Attention la macif gagne sa vie grâce aux cambriolages.. Ca rapporte, c est le jackpot...
Nous avons été cambriolé, préjudice 15 000 eu en bijoux montres argent hi fi... 
La macif, 20 ans chez eux rembourse 0 eu... Mais surprise générale.. Nous réclame 4500 eu de frais de dossiers pour expertise... 
En claire pour chaque cambriolage la macif se fait 4500 eu.. 
Mon mari dépressif et au rsa les a insulter.. Du coup il a été mis en prison quelques jours..
Merci la macif... 
Son procès a eu lieu la macif à réclamée 254 eu de frais... 
Fuez cette assurance, inch Allah, la pire de France..
Faites un comparatif ils sont très chers et adorent l argent... </t>
  </si>
  <si>
    <t>25/01/2021</t>
  </si>
  <si>
    <t>tatanono-57611</t>
  </si>
  <si>
    <t xml:space="preserve">Je me suis fait vendalise ma voiture depuis mai de 2017 mon assurance il est direct assurance me balade depuis des mois et dès mois votre dossier est en cours d enquête j ai entendu cette réponse au moins 39 fois mais m’en pire c est qu on vous dit que le service sinistre va vous rapeller et j attend toujours vraiment on ce fou du client mais attendez c est pas le pire c est qu on vous demande d envoyé dés mail mais qui reste sans réponse c est vrai que niveau prix cette assurance est très attractive mais je vous en conjure ne prenez jamais direct assurance </t>
  </si>
  <si>
    <t>rom-104410</t>
  </si>
  <si>
    <t>Avec la mgp c'est simple rapide et efficace,  il y a la possibilité de ce faire rapeller si aucun conseiller n'est disponible, service toujours agréable et à l'écoute.</t>
  </si>
  <si>
    <t>18/02/2021</t>
  </si>
  <si>
    <t>djedje-71850</t>
  </si>
  <si>
    <t>Bonjour
Eurofil assurance auto,ca va,,,,il sont pas cher et service clients ca va,,,aucun problem,je suis satisfait,aucune problem .</t>
  </si>
  <si>
    <t>07/03/2019</t>
  </si>
  <si>
    <t>le-boulere-p-128673</t>
  </si>
  <si>
    <t>Prix assez élevé lié au conducteur secondaire mais garanties complètes 
Facile de souscrire par internet
Bonne réputation de l'Olivier Assurance rassurante</t>
  </si>
  <si>
    <t>aurelia44-103751</t>
  </si>
  <si>
    <t>Je viens de souscrire il y a un mois et demi et j envoi un devis de prise en charge d hospitalisation pour mon fils sur le site de santiane et depuis 1 semaine et demi je n est pas de réponse,  j essai d appeler.depuis ce matin et toute la journée que le numéro inscrit sur la carte mutuelle et il y a aucune tonalité et ensuite bip 2 fois et raccroche ensuite , j ai due appeler mon service juridique qui ma donner les démarches à suivre car je paye une mutuelle qui n est pas disponible et pas réactive,  je trouve cela honteux de la part d une mutuelle de prendre de l argent et de ne donner aucun signe de vie ....</t>
  </si>
  <si>
    <t>05/02/2021</t>
  </si>
  <si>
    <t>xhunkukai-58977</t>
  </si>
  <si>
    <t>En ITT depuis 8 mois et le dossier est toujours en cours de traitement.Il faut fournir en permanence de nouvelle pièce qui n'étaient pas demandées auparavant.</t>
  </si>
  <si>
    <t>21/11/2017</t>
  </si>
  <si>
    <t>pontac-l-138116</t>
  </si>
  <si>
    <t xml:space="preserve">Je suis satisfaite de vos prix vous êtes beaucoup moins cher qu’ailleurs et avec beaucoup plus de garantie que n’importe où ne changer pas merci à vous </t>
  </si>
  <si>
    <t>catlec-121215</t>
  </si>
  <si>
    <t>Assureur qui remplit son rôle d'assureur en vous prenant en charge en cas de panne (véhicule, hôtel, taxi) et vous indemnise correctement. Je le garde et lui confierai en plus mon assurance habitation</t>
  </si>
  <si>
    <t>kerneis-r-111135</t>
  </si>
  <si>
    <t>Téléconseiller plutôt pas mal rapide comprend votre demande ce que l'on doit attendre d'un professionnel maintenant avoir quand j'aurais un sinistre..</t>
  </si>
  <si>
    <t>helene-b-119076</t>
  </si>
  <si>
    <t>INADMISSIBLE!!!!
Le sinistre dure depuis plus de 1 mois! un début de solution a été apporté mais direct assurance remet tout en cause sous prétexte que ce ne sont pas les mêmes services. Du coup on repart à 0! Sinistre déclaré le 16/04 et notre véhicule est toujours à plus de 350kms.</t>
  </si>
  <si>
    <t>thiam-m-115968</t>
  </si>
  <si>
    <t>Je viens juste de m'assurer j'attends de voir par la suite avec le service client ou en cas de problème, mais pour le moment le prix m'a donné envie de m'assurer chez eux.</t>
  </si>
  <si>
    <t>fanny-l-124986</t>
  </si>
  <si>
    <t xml:space="preserve">RAS 
je suis ravie de pouvoir centraliser mes assurances auto et habitation.
La souscription a été effectuée rapidement et très simplement.
Je recommande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</si>
</sst>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71"/>
    <col customWidth="1" min="9" max="9" width="31.0"/>
    <col customWidth="1" min="10" max="26" width="8.71"/>
  </cols>
  <sheetData>
    <row r="1">
      <c r="A1" s="1" t="s">
        <v>0</v>
      </c>
      <c r="B1" s="1" t="s">
        <v>1</v>
      </c>
      <c r="C1" s="1" t="s">
        <v>2</v>
      </c>
      <c r="D1" s="1" t="s">
        <v>3</v>
      </c>
      <c r="E1" s="1" t="s">
        <v>4</v>
      </c>
      <c r="F1" s="1" t="s">
        <v>5</v>
      </c>
      <c r="G1" s="1" t="s">
        <v>6</v>
      </c>
      <c r="H1" s="1" t="s">
        <v>7</v>
      </c>
      <c r="I1" s="1" t="s">
        <v>8</v>
      </c>
      <c r="J1" s="1" t="s">
        <v>9</v>
      </c>
      <c r="K1" s="1" t="s">
        <v>10</v>
      </c>
    </row>
    <row r="2">
      <c r="A2" s="2">
        <v>2.0</v>
      </c>
      <c r="B2" s="2" t="s">
        <v>11</v>
      </c>
      <c r="C2" s="2" t="s">
        <v>12</v>
      </c>
      <c r="D2" s="2" t="s">
        <v>13</v>
      </c>
      <c r="E2" s="2" t="s">
        <v>14</v>
      </c>
      <c r="F2" s="2" t="s">
        <v>15</v>
      </c>
      <c r="G2" s="2" t="s">
        <v>16</v>
      </c>
      <c r="H2" s="2" t="s">
        <v>17</v>
      </c>
      <c r="I2" s="2" t="str">
        <f>IFERROR(__xludf.DUMMYFUNCTION("GOOGLETRANSLATE(C2,""fr"",""en"")"),"Unlike other contributors, I find it legitimate and just that contributions are proportional to the salary, which allows everyone to access the same rights regardless of income.
On the other hand, it is clear that the M.G.E.N. has lost its ""soul"" and t"&amp;"reats its members as vulgar customers: no evolution in the services (or even a regression), no flexibility and incompetent advisers (which debt their screen) and very unpleasant and often haughty. No concrete response to the messages sent ...
For the fir"&amp;"st time, and despite my convictions, I am seriously thinking of changing mutual, I have already made an appointment for this purpose.
Such a waste!")</f>
        <v>Unlike other contributors, I find it legitimate and just that contributions are proportional to the salary, which allows everyone to access the same rights regardless of income.
On the other hand, it is clear that the M.G.E.N. has lost its "soul" and treats its members as vulgar customers: no evolution in the services (or even a regression), no flexibility and incompetent advisers (which debt their screen) and very unpleasant and often haughty. No concrete response to the messages sent ...
For the first time, and despite my convictions, I am seriously thinking of changing mutual, I have already made an appointment for this purpose.
Such a waste!</v>
      </c>
    </row>
    <row r="3">
      <c r="A3" s="2">
        <v>1.0</v>
      </c>
      <c r="B3" s="2" t="s">
        <v>18</v>
      </c>
      <c r="C3" s="2" t="s">
        <v>19</v>
      </c>
      <c r="D3" s="2" t="s">
        <v>20</v>
      </c>
      <c r="E3" s="2" t="s">
        <v>21</v>
      </c>
      <c r="F3" s="2" t="s">
        <v>15</v>
      </c>
      <c r="G3" s="2" t="s">
        <v>22</v>
      </c>
      <c r="H3" s="2" t="s">
        <v>23</v>
      </c>
      <c r="I3" s="2" t="str">
        <f>IFERROR(__xludf.DUMMYFUNCTION("GOOGLETRANSLATE(C3,""fr"",""en"")"),"Suffering from different pathologies with heavy treatment, 3 long -term recognized conditions of health insurance, recognition of the quality of disabled worker by medical committee twice and recent category 2 disability following medical advice from my p"&amp;"rimary health insurance fund; I assert an I.P.P request for my mortgage. Result of the expert doctor who defends the interests of his employer to the detriment of the patient who is before him and who does not know his medical file: rate corresponding to "&amp;"0 in the nice table of 2 entries of the said insurance: no even minimal care from my mortgage !!. Gentle insurers, what are you used for?
I hope that for my death my spouse will have less difficulty; but let me doubt it!")</f>
        <v>Suffering from different pathologies with heavy treatment, 3 long -term recognized conditions of health insurance, recognition of the quality of disabled worker by medical committee twice and recent category 2 disability following medical advice from my primary health insurance fund; I assert an I.P.P request for my mortgage. Result of the expert doctor who defends the interests of his employer to the detriment of the patient who is before him and who does not know his medical file: rate corresponding to 0 in the nice table of 2 entries of the said insurance: no even minimal care from my mortgage !!. Gentle insurers, what are you used for?
I hope that for my death my spouse will have less difficulty; but let me doubt it!</v>
      </c>
    </row>
    <row r="4">
      <c r="A4" s="2">
        <v>4.0</v>
      </c>
      <c r="B4" s="2" t="s">
        <v>24</v>
      </c>
      <c r="C4" s="2" t="s">
        <v>25</v>
      </c>
      <c r="D4" s="2" t="s">
        <v>26</v>
      </c>
      <c r="E4" s="2" t="s">
        <v>27</v>
      </c>
      <c r="F4" s="2" t="s">
        <v>15</v>
      </c>
      <c r="G4" s="2" t="s">
        <v>28</v>
      </c>
      <c r="H4" s="2" t="s">
        <v>29</v>
      </c>
      <c r="I4" s="2" t="str">
        <f>IFERROR(__xludf.DUMMYFUNCTION("GOOGLETRANSLATE(C4,""fr"",""en"")"),"I am satisfied with the subscription service, fast, simple and efficient. The advisers are pleasant and professional. Personal data is well protected.")</f>
        <v>I am satisfied with the subscription service, fast, simple and efficient. The advisers are pleasant and professional. Personal data is well protected.</v>
      </c>
    </row>
    <row r="5">
      <c r="A5" s="2">
        <v>1.0</v>
      </c>
      <c r="B5" s="2" t="s">
        <v>30</v>
      </c>
      <c r="C5" s="2" t="s">
        <v>31</v>
      </c>
      <c r="D5" s="2" t="s">
        <v>32</v>
      </c>
      <c r="E5" s="2" t="s">
        <v>33</v>
      </c>
      <c r="F5" s="2" t="s">
        <v>15</v>
      </c>
      <c r="G5" s="2" t="s">
        <v>34</v>
      </c>
      <c r="H5" s="2" t="s">
        <v>35</v>
      </c>
      <c r="I5" s="2" t="str">
        <f>IFERROR(__xludf.DUMMYFUNCTION("GOOGLETRANSLATE(C5,""fr"",""en"")"),"No listening and no consideration in relation to the anteriority of the contracts that we had with this bank (more than forty years) - profitability, profitability, and the members we don't care - a commercial gesture of 229 euros would have snatched thei"&amp;"r hearts And ruined ... It's really distressing and I regret not having listened to my children who told me that I paid too much and would find better elsewhere - I was fided, but it does not pay ... 'Hu!
So I tackle myself in search of a less arrogant a"&amp;"nd more conciliatory insurer - all our contracts will be terminated and I will now advise against this insurance to all - lamentable !!!
")</f>
        <v>No listening and no consideration in relation to the anteriority of the contracts that we had with this bank (more than forty years) - profitability, profitability, and the members we don't care - a commercial gesture of 229 euros would have snatched their hearts And ruined ... It's really distressing and I regret not having listened to my children who told me that I paid too much and would find better elsewhere - I was fided, but it does not pay ... 'Hu!
So I tackle myself in search of a less arrogant and more conciliatory insurer - all our contracts will be terminated and I will now advise against this insurance to all - lamentable !!!
</v>
      </c>
    </row>
    <row r="6">
      <c r="A6" s="2">
        <v>4.0</v>
      </c>
      <c r="B6" s="2" t="s">
        <v>36</v>
      </c>
      <c r="C6" s="2" t="s">
        <v>37</v>
      </c>
      <c r="D6" s="2" t="s">
        <v>38</v>
      </c>
      <c r="E6" s="2" t="s">
        <v>39</v>
      </c>
      <c r="F6" s="2" t="s">
        <v>15</v>
      </c>
      <c r="G6" s="2" t="s">
        <v>40</v>
      </c>
      <c r="H6" s="2" t="s">
        <v>41</v>
      </c>
      <c r="I6" s="2" t="str">
        <f>IFERROR(__xludf.DUMMYFUNCTION("GOOGLETRANSLATE(C6,""fr"",""en"")"),"Contract having just been signed price Interesting see for use having a second motorcycle if that suits me I would also assure it at April Moto Moto")</f>
        <v>Contract having just been signed price Interesting see for use having a second motorcycle if that suits me I would also assure it at April Moto Moto</v>
      </c>
    </row>
    <row r="7">
      <c r="A7" s="2">
        <v>4.0</v>
      </c>
      <c r="B7" s="2" t="s">
        <v>42</v>
      </c>
      <c r="C7" s="2" t="s">
        <v>43</v>
      </c>
      <c r="D7" s="2" t="s">
        <v>44</v>
      </c>
      <c r="E7" s="2" t="s">
        <v>27</v>
      </c>
      <c r="F7" s="2" t="s">
        <v>15</v>
      </c>
      <c r="G7" s="2" t="s">
        <v>45</v>
      </c>
      <c r="H7" s="2" t="s">
        <v>46</v>
      </c>
      <c r="I7" s="2" t="str">
        <f>IFERROR(__xludf.DUMMYFUNCTION("GOOGLETRANSLATE(C7,""fr"",""en"")"),"The website is well done. The prices seem correct for a first -year -old first. It remains to be seen the service after sale in time.
Well cordially Mr. Sellier")</f>
        <v>The website is well done. The prices seem correct for a first -year -old first. It remains to be seen the service after sale in time.
Well cordially Mr. Sellier</v>
      </c>
    </row>
    <row r="8">
      <c r="A8" s="2">
        <v>3.0</v>
      </c>
      <c r="B8" s="2" t="s">
        <v>47</v>
      </c>
      <c r="C8" s="2" t="s">
        <v>48</v>
      </c>
      <c r="D8" s="2" t="s">
        <v>44</v>
      </c>
      <c r="E8" s="2" t="s">
        <v>27</v>
      </c>
      <c r="F8" s="2" t="s">
        <v>15</v>
      </c>
      <c r="G8" s="2" t="s">
        <v>49</v>
      </c>
      <c r="H8" s="2" t="s">
        <v>35</v>
      </c>
      <c r="I8" s="2" t="str">
        <f>IFERROR(__xludf.DUMMYFUNCTION("GOOGLETRANSLATE(C8,""fr"",""en"")"),"The prices are not always the best placed, in my car park, I have two vehicles which are not insured at home.
Otherwise simple and practical use")</f>
        <v>The prices are not always the best placed, in my car park, I have two vehicles which are not insured at home.
Otherwise simple and practical use</v>
      </c>
    </row>
    <row r="9">
      <c r="A9" s="2">
        <v>2.0</v>
      </c>
      <c r="B9" s="2" t="s">
        <v>50</v>
      </c>
      <c r="C9" s="2" t="s">
        <v>51</v>
      </c>
      <c r="D9" s="2" t="s">
        <v>26</v>
      </c>
      <c r="E9" s="2" t="s">
        <v>27</v>
      </c>
      <c r="F9" s="2" t="s">
        <v>15</v>
      </c>
      <c r="G9" s="2" t="s">
        <v>52</v>
      </c>
      <c r="H9" s="2" t="s">
        <v>41</v>
      </c>
      <c r="I9" s="2" t="str">
        <f>IFERROR(__xludf.DUMMYFUNCTION("GOOGLETRANSLATE(C9,""fr"",""en"")"),"I am relatively satisfied with this insurance for the moment to see in the long term, even if I find the high prices especially for young permits ...
")</f>
        <v>I am relatively satisfied with this insurance for the moment to see in the long term, even if I find the high prices especially for young permits ...
</v>
      </c>
    </row>
    <row r="10">
      <c r="A10" s="2">
        <v>2.0</v>
      </c>
      <c r="B10" s="2" t="s">
        <v>53</v>
      </c>
      <c r="C10" s="2" t="s">
        <v>54</v>
      </c>
      <c r="D10" s="2" t="s">
        <v>55</v>
      </c>
      <c r="E10" s="2" t="s">
        <v>14</v>
      </c>
      <c r="F10" s="2" t="s">
        <v>15</v>
      </c>
      <c r="G10" s="2" t="s">
        <v>56</v>
      </c>
      <c r="H10" s="2" t="s">
        <v>57</v>
      </c>
      <c r="I10" s="2" t="str">
        <f>IFERROR(__xludf.DUMMYFUNCTION("GOOGLETRANSLATE(C10,""fr"",""en"")"),"I changed my mutual insurance for January 1, 2021 This mutual insurance
But today I am starting to regret my change
Refunds are very long to be treated and when they are treated properly in early January my husband has undergone an intervention to date "&amp;"despite multiple reminders and contact I have still not been reimbursed for all costs and especially the deposition of fees Who are reimbursed by small amount to date D still awaits € 150 which is still not paid for me despite my contacts claiming to have"&amp;" paid! !,")</f>
        <v>I changed my mutual insurance for January 1, 2021 This mutual insurance
But today I am starting to regret my change
Refunds are very long to be treated and when they are treated properly in early January my husband has undergone an intervention to date despite multiple reminders and contact I have still not been reimbursed for all costs and especially the deposition of fees Who are reimbursed by small amount to date D still awaits € 150 which is still not paid for me despite my contacts claiming to have paid! !,</v>
      </c>
    </row>
    <row r="11">
      <c r="A11" s="2">
        <v>4.0</v>
      </c>
      <c r="B11" s="2" t="s">
        <v>58</v>
      </c>
      <c r="C11" s="2" t="s">
        <v>59</v>
      </c>
      <c r="D11" s="2" t="s">
        <v>60</v>
      </c>
      <c r="E11" s="2" t="s">
        <v>14</v>
      </c>
      <c r="F11" s="2" t="s">
        <v>15</v>
      </c>
      <c r="G11" s="2" t="s">
        <v>61</v>
      </c>
      <c r="H11" s="2" t="s">
        <v>62</v>
      </c>
      <c r="I11" s="2" t="str">
        <f>IFERROR(__xludf.DUMMYFUNCTION("GOOGLETRANSLATE(C11,""fr"",""en"")"),"Hello I had a connection problem that was solved by Alassane today. Sympathetic person competent and patient. Thanks to him and have a good day")</f>
        <v>Hello I had a connection problem that was solved by Alassane today. Sympathetic person competent and patient. Thanks to him and have a good day</v>
      </c>
    </row>
    <row r="12">
      <c r="A12" s="2">
        <v>1.0</v>
      </c>
      <c r="B12" s="2" t="s">
        <v>63</v>
      </c>
      <c r="C12" s="2" t="s">
        <v>64</v>
      </c>
      <c r="D12" s="2" t="s">
        <v>65</v>
      </c>
      <c r="E12" s="2" t="s">
        <v>39</v>
      </c>
      <c r="F12" s="2" t="s">
        <v>15</v>
      </c>
      <c r="G12" s="2" t="s">
        <v>66</v>
      </c>
      <c r="H12" s="2" t="s">
        <v>67</v>
      </c>
      <c r="I12" s="2" t="str">
        <f>IFERROR(__xludf.DUMMYFUNCTION("GOOGLETRANSLATE(C12,""fr"",""en"")"),"If it's just to have a thumbnail it is good insurance and again ... Advisers hanging up. Assistance 0km cans, monitoring of file nonexistent ... Loss of time and money")</f>
        <v>If it's just to have a thumbnail it is good insurance and again ... Advisers hanging up. Assistance 0km cans, monitoring of file nonexistent ... Loss of time and money</v>
      </c>
    </row>
    <row r="13">
      <c r="A13" s="2">
        <v>1.0</v>
      </c>
      <c r="B13" s="2" t="s">
        <v>68</v>
      </c>
      <c r="C13" s="2" t="s">
        <v>69</v>
      </c>
      <c r="D13" s="2" t="s">
        <v>70</v>
      </c>
      <c r="E13" s="2" t="s">
        <v>14</v>
      </c>
      <c r="F13" s="2" t="s">
        <v>15</v>
      </c>
      <c r="G13" s="2" t="s">
        <v>71</v>
      </c>
      <c r="H13" s="2" t="s">
        <v>72</v>
      </c>
      <c r="I13" s="2" t="str">
        <f>IFERROR(__xludf.DUMMYFUNCTION("GOOGLETRANSLATE(C13,""fr"",""en"")"),"Too expensive pay for the services offered, we are a family of 4 to be at home my husband being military he must therefore have specific health insurance in short I therefore headed for mutual public service harmony at the birth of our 2nd child In Decemb"&amp;"er 2018, we were at level 2 zero reimbursement of exceeding of fees we who live in Ile de France the overtaking is common here, suddenly I contact them they therefore offer me to go to the maximum level 3 for 17 € more per month, great! I do it, I ask if "&amp;"we will not have any additional costs being given that we change level 2 months before the birthday date I am assured that no, and the surprise! I receive a letter to notify myself that being given that we have increased in terms of the year we must pay t"&amp;"he supplement of the following months outside I told me the opposite and finished the additional € 17 only concern me and my 2 Children but that my husband also has a supplement vis -à -vis his job, ie we go from € 127 planned on the quote at € 148! I mad"&amp;"e a letter to the headquarters who wanted to know nothing, no reaction, but if only there was only that, the invoices send for reimbursement are 1 time out of 2 lost, at each request for reimbursement I must censure to call to Relaunching them, badly frie"&amp;"ndly advisers who take us high. We clearly have no right to be angry! We are good than to pay and make the round back! Last year a vaccine not reimbursed by security I had to wait 4 months before being reimbursed, 4 months !!! Because invoice 2 x lost in "&amp;"short a masquerade! Lately I bought 4 flu vaccines in November 2019 we are in January 2020 and I had only one out of the 4 to reimburse I therefore call customer service who tell me that my other vaccines do not will not be refunded being given that the i"&amp;"nvoice was in my name !! The Pompom, no mutual insurance company has never done me, suddenly oblige to ask for invoices to the pharmacist name by name to hope to have the refund! Even my pharmacist told me I have never seen a mutual that requires that! In"&amp;" short honestly, I do not recommend, unreliable insurance with ridiculous reimbursements, even for 10 € they are looking for things to not reimburse you, do not even send you your mutual cards I always expect ours by the way when I said it to the advisor "&amp;"had on the phone she told me you have only to reprint them for us they left! Great, even mutual cards they do not want to send them back to you when you have received nothing is to say the level! But hey, we are going to take our pain in patience and I wo"&amp;"uld be happy to send my letter of termination when the time comes!")</f>
        <v>Too expensive pay for the services offered, we are a family of 4 to be at home my husband being military he must therefore have specific health insurance in short I therefore headed for mutual public service harmony at the birth of our 2nd child In December 2018, we were at level 2 zero reimbursement of exceeding of fees we who live in Ile de France the overtaking is common here, suddenly I contact them they therefore offer me to go to the maximum level 3 for 17 € more per month, great! I do it, I ask if we will not have any additional costs being given that we change level 2 months before the birthday date I am assured that no, and the surprise! I receive a letter to notify myself that being given that we have increased in terms of the year we must pay the supplement of the following months outside I told me the opposite and finished the additional € 17 only concern me and my 2 Children but that my husband also has a supplement vis -à -vis his job, ie we go from € 127 planned on the quote at € 148! I made a letter to the headquarters who wanted to know nothing, no reaction, but if only there was only that, the invoices send for reimbursement are 1 time out of 2 lost, at each request for reimbursement I must censure to call to Relaunching them, badly friendly advisers who take us high. We clearly have no right to be angry! We are good than to pay and make the round back! Last year a vaccine not reimbursed by security I had to wait 4 months before being reimbursed, 4 months !!! Because invoice 2 x lost in short a masquerade! Lately I bought 4 flu vaccines in November 2019 we are in January 2020 and I had only one out of the 4 to reimburse I therefore call customer service who tell me that my other vaccines do not will not be refunded being given that the invoice was in my name !! The Pompom, no mutual insurance company has never done me, suddenly oblige to ask for invoices to the pharmacist name by name to hope to have the refund! Even my pharmacist told me I have never seen a mutual that requires that! In short honestly, I do not recommend, unreliable insurance with ridiculous reimbursements, even for 10 € they are looking for things to not reimburse you, do not even send you your mutual cards I always expect ours by the way when I said it to the advisor had on the phone she told me you have only to reprint them for us they left! Great, even mutual cards they do not want to send them back to you when you have received nothing is to say the level! But hey, we are going to take our pain in patience and I would be happy to send my letter of termination when the time comes!</v>
      </c>
    </row>
    <row r="14">
      <c r="A14" s="2">
        <v>3.0</v>
      </c>
      <c r="B14" s="2" t="s">
        <v>73</v>
      </c>
      <c r="C14" s="2" t="s">
        <v>74</v>
      </c>
      <c r="D14" s="2" t="s">
        <v>75</v>
      </c>
      <c r="E14" s="2" t="s">
        <v>76</v>
      </c>
      <c r="F14" s="2" t="s">
        <v>15</v>
      </c>
      <c r="G14" s="2" t="s">
        <v>77</v>
      </c>
      <c r="H14" s="2" t="s">
        <v>78</v>
      </c>
      <c r="I14" s="2" t="str">
        <f>IFERROR(__xludf.DUMMYFUNCTION("GOOGLETRANSLATE(C14,""fr"",""en"")"),"Impossible to remove the stars of satisfaction the counter C is a horror. Excessively long non -professional responses. Request for supporting documents made in triple no coordination in the management of files
")</f>
        <v>Impossible to remove the stars of satisfaction the counter C is a horror. Excessively long non -professional responses. Request for supporting documents made in triple no coordination in the management of files
</v>
      </c>
    </row>
    <row r="15">
      <c r="A15" s="2">
        <v>1.0</v>
      </c>
      <c r="B15" s="2" t="s">
        <v>79</v>
      </c>
      <c r="C15" s="2" t="s">
        <v>80</v>
      </c>
      <c r="D15" s="2" t="s">
        <v>26</v>
      </c>
      <c r="E15" s="2" t="s">
        <v>27</v>
      </c>
      <c r="F15" s="2" t="s">
        <v>15</v>
      </c>
      <c r="G15" s="2" t="s">
        <v>81</v>
      </c>
      <c r="H15" s="2" t="s">
        <v>29</v>
      </c>
      <c r="I15" s="2" t="str">
        <f>IFERROR(__xludf.DUMMYFUNCTION("GOOGLETRANSLATE(C15,""fr"",""en"")"),"My daughter had a disaster for her first day of subscription, the garage repaired during the week and it was not until 20 days additional for the Olivier to take care of it is shameful!")</f>
        <v>My daughter had a disaster for her first day of subscription, the garage repaired during the week and it was not until 20 days additional for the Olivier to take care of it is shameful!</v>
      </c>
    </row>
    <row r="16">
      <c r="A16" s="2">
        <v>1.0</v>
      </c>
      <c r="B16" s="2" t="s">
        <v>82</v>
      </c>
      <c r="C16" s="2" t="s">
        <v>83</v>
      </c>
      <c r="D16" s="2" t="s">
        <v>84</v>
      </c>
      <c r="E16" s="2" t="s">
        <v>27</v>
      </c>
      <c r="F16" s="2" t="s">
        <v>15</v>
      </c>
      <c r="G16" s="2" t="s">
        <v>85</v>
      </c>
      <c r="H16" s="2" t="s">
        <v>86</v>
      </c>
      <c r="I16" s="2" t="str">
        <f>IFERROR(__xludf.DUMMYFUNCTION("GOOGLETRANSLATE(C16,""fr"",""en"")"),"It has been 4 years now that I have obtained my driving license and my car insurance continues to increase, AXA only lacks money unfortunately I will have to change insurance there is much cheaper elsewhere.")</f>
        <v>It has been 4 years now that I have obtained my driving license and my car insurance continues to increase, AXA only lacks money unfortunately I will have to change insurance there is much cheaper elsewhere.</v>
      </c>
    </row>
    <row r="17">
      <c r="A17" s="2">
        <v>3.0</v>
      </c>
      <c r="B17" s="2" t="s">
        <v>87</v>
      </c>
      <c r="C17" s="2" t="s">
        <v>88</v>
      </c>
      <c r="D17" s="2" t="s">
        <v>60</v>
      </c>
      <c r="E17" s="2" t="s">
        <v>14</v>
      </c>
      <c r="F17" s="2" t="s">
        <v>15</v>
      </c>
      <c r="G17" s="2" t="s">
        <v>89</v>
      </c>
      <c r="H17" s="2" t="s">
        <v>90</v>
      </c>
      <c r="I17" s="2" t="str">
        <f>IFERROR(__xludf.DUMMYFUNCTION("GOOGLETRANSLATE(C17,""fr"",""en"")"),"My Alicia advisor was very polite and pleasant, she provided me with the information I asked for, thank you for her availability and her efficiency. Michèle Geoffroy, future Neoliane member from O1/01/2020.")</f>
        <v>My Alicia advisor was very polite and pleasant, she provided me with the information I asked for, thank you for her availability and her efficiency. Michèle Geoffroy, future Neoliane member from O1/01/2020.</v>
      </c>
    </row>
    <row r="18">
      <c r="A18" s="2">
        <v>1.0</v>
      </c>
      <c r="B18" s="2" t="s">
        <v>91</v>
      </c>
      <c r="C18" s="2" t="s">
        <v>92</v>
      </c>
      <c r="D18" s="2" t="s">
        <v>55</v>
      </c>
      <c r="E18" s="2" t="s">
        <v>14</v>
      </c>
      <c r="F18" s="2" t="s">
        <v>15</v>
      </c>
      <c r="G18" s="2" t="s">
        <v>93</v>
      </c>
      <c r="H18" s="2" t="s">
        <v>94</v>
      </c>
      <c r="I18" s="2" t="str">
        <f>IFERROR(__xludf.DUMMYFUNCTION("GOOGLETRANSLATE(C18,""fr"",""en"")"),"I have subscribed to legal protection in a strong (premium). My feelings from the first phone call!")</f>
        <v>I have subscribed to legal protection in a strong (premium). My feelings from the first phone call!</v>
      </c>
    </row>
    <row r="19">
      <c r="A19" s="2">
        <v>3.0</v>
      </c>
      <c r="B19" s="2" t="s">
        <v>95</v>
      </c>
      <c r="C19" s="2" t="s">
        <v>96</v>
      </c>
      <c r="D19" s="2" t="s">
        <v>44</v>
      </c>
      <c r="E19" s="2" t="s">
        <v>27</v>
      </c>
      <c r="F19" s="2" t="s">
        <v>15</v>
      </c>
      <c r="G19" s="2" t="s">
        <v>97</v>
      </c>
      <c r="H19" s="2" t="s">
        <v>41</v>
      </c>
      <c r="I19" s="2" t="str">
        <f>IFERROR(__xludf.DUMMYFUNCTION("GOOGLETRANSLATE(C19,""fr"",""en"")"),"For the moment we give a satisfactory opinion but we have not yet had a problem since we have been insured at home for a very short time.")</f>
        <v>For the moment we give a satisfactory opinion but we have not yet had a problem since we have been insured at home for a very short time.</v>
      </c>
    </row>
    <row r="20">
      <c r="A20" s="2">
        <v>3.0</v>
      </c>
      <c r="B20" s="2" t="s">
        <v>98</v>
      </c>
      <c r="C20" s="2" t="s">
        <v>99</v>
      </c>
      <c r="D20" s="2" t="s">
        <v>100</v>
      </c>
      <c r="E20" s="2" t="s">
        <v>76</v>
      </c>
      <c r="F20" s="2" t="s">
        <v>15</v>
      </c>
      <c r="G20" s="2" t="s">
        <v>101</v>
      </c>
      <c r="H20" s="2" t="s">
        <v>102</v>
      </c>
      <c r="I20" s="2" t="str">
        <f>IFERROR(__xludf.DUMMYFUNCTION("GOOGLETRANSLATE(C20,""fr"",""en"")"),"Hello since September 1, 2016 I am in invalidity 2nd category. My request made to my foresight since that date I have always been asked for papers. And today I learn that I am refused to portability. Super I would like to copy.")</f>
        <v>Hello since September 1, 2016 I am in invalidity 2nd category. My request made to my foresight since that date I have always been asked for papers. And today I learn that I am refused to portability. Super I would like to copy.</v>
      </c>
    </row>
    <row r="21" ht="15.75" customHeight="1">
      <c r="A21" s="2">
        <v>5.0</v>
      </c>
      <c r="B21" s="2" t="s">
        <v>103</v>
      </c>
      <c r="C21" s="2" t="s">
        <v>104</v>
      </c>
      <c r="D21" s="2" t="s">
        <v>105</v>
      </c>
      <c r="E21" s="2" t="s">
        <v>39</v>
      </c>
      <c r="F21" s="2" t="s">
        <v>15</v>
      </c>
      <c r="G21" s="2" t="s">
        <v>106</v>
      </c>
      <c r="H21" s="2" t="s">
        <v>29</v>
      </c>
      <c r="I21" s="2" t="str">
        <f>IFERROR(__xludf.DUMMYFUNCTION("GOOGLETRANSLATE(C21,""fr"",""en"")"),"I am very satisfied with the telephone contact, reception and information
The price is correct
I will not hesitate to give the AMV site in reference to other people")</f>
        <v>I am very satisfied with the telephone contact, reception and information
The price is correct
I will not hesitate to give the AMV site in reference to other people</v>
      </c>
    </row>
    <row r="22" ht="15.75" customHeight="1">
      <c r="A22" s="2">
        <v>1.0</v>
      </c>
      <c r="B22" s="2" t="s">
        <v>107</v>
      </c>
      <c r="C22" s="2" t="s">
        <v>108</v>
      </c>
      <c r="D22" s="2" t="s">
        <v>109</v>
      </c>
      <c r="E22" s="2" t="s">
        <v>27</v>
      </c>
      <c r="F22" s="2" t="s">
        <v>15</v>
      </c>
      <c r="G22" s="2" t="s">
        <v>110</v>
      </c>
      <c r="H22" s="2" t="s">
        <v>111</v>
      </c>
      <c r="I22" s="2" t="str">
        <f>IFERROR(__xludf.DUMMYFUNCTION("GOOGLETRANSLATE(C22,""fr"",""en"")"),"Insurance to flee. My car was stolen in November 2019 to date I still have to pay the insurance when I still haven't had any feedback. Each service sends me to another service. In addition to that I am asked for documents impossible to have. No informatio"&amp;"n except request documents already provided or impossible to have. Already very difficult to have a real interlocutor. That empty responses: ""We come back to you"". My vehicle has been stolen for 7 months and I still don't know where it is. I am the vict"&amp;"im of theft and limit I am taken for a crook. To flee !!!!!!!!!!")</f>
        <v>Insurance to flee. My car was stolen in November 2019 to date I still have to pay the insurance when I still haven't had any feedback. Each service sends me to another service. In addition to that I am asked for documents impossible to have. No information except request documents already provided or impossible to have. Already very difficult to have a real interlocutor. That empty responses: "We come back to you". My vehicle has been stolen for 7 months and I still don't know where it is. I am the victim of theft and limit I am taken for a crook. To flee !!!!!!!!!!</v>
      </c>
    </row>
    <row r="23" ht="15.75" customHeight="1">
      <c r="A23" s="2">
        <v>2.0</v>
      </c>
      <c r="B23" s="2" t="s">
        <v>112</v>
      </c>
      <c r="C23" s="2" t="s">
        <v>113</v>
      </c>
      <c r="D23" s="2" t="s">
        <v>32</v>
      </c>
      <c r="E23" s="2" t="s">
        <v>27</v>
      </c>
      <c r="F23" s="2" t="s">
        <v>15</v>
      </c>
      <c r="G23" s="2" t="s">
        <v>114</v>
      </c>
      <c r="H23" s="2" t="s">
        <v>29</v>
      </c>
      <c r="I23" s="2" t="str">
        <f>IFERROR(__xludf.DUMMYFUNCTION("GOOGLETRANSLATE(C23,""fr"",""en"")"),"If we could not put an end to this insurance that even in any risk it is useless. I am there and frankly to flee I expect my contract to end. Basically they do not reimburse, they have a lot of parades, it is a bad deal. You give your money the day when y"&amp;"ou have a problem, count on your bank account. Courage !")</f>
        <v>If we could not put an end to this insurance that even in any risk it is useless. I am there and frankly to flee I expect my contract to end. Basically they do not reimburse, they have a lot of parades, it is a bad deal. You give your money the day when you have a problem, count on your bank account. Courage !</v>
      </c>
    </row>
    <row r="24" ht="15.75" customHeight="1">
      <c r="A24" s="2">
        <v>1.0</v>
      </c>
      <c r="B24" s="2" t="s">
        <v>115</v>
      </c>
      <c r="C24" s="2" t="s">
        <v>116</v>
      </c>
      <c r="D24" s="2" t="s">
        <v>117</v>
      </c>
      <c r="E24" s="2" t="s">
        <v>33</v>
      </c>
      <c r="F24" s="2" t="s">
        <v>15</v>
      </c>
      <c r="G24" s="2" t="s">
        <v>118</v>
      </c>
      <c r="H24" s="2" t="s">
        <v>119</v>
      </c>
      <c r="I24" s="2" t="str">
        <f>IFERROR(__xludf.DUMMYFUNCTION("GOOGLETRANSLATE(C24,""fr"",""en"")"),"Can as Insurance I see the advisable was not the victim of a burglary they need 4 months for a paper so I always have news at this time. Is in addition to its to leave a comment they need 200 minimum character. To envoise a paper to the expert who is bloc"&amp;"king in Pacifica for a long time then when we are apel no one knows nothing like Abe they ask us to do their job in their place to note everything as it is necessary but for In the end to wait to wait is to wait once this story and finish I change your in"&amp;"surance done as much I advise it I even feel that I would have no repairing on their part for insurance that we pay 21 . I prefer to pay the triple if it is necessary to deal with you.")</f>
        <v>Can as Insurance I see the advisable was not the victim of a burglary they need 4 months for a paper so I always have news at this time. Is in addition to its to leave a comment they need 200 minimum character. To envoise a paper to the expert who is blocking in Pacifica for a long time then when we are apel no one knows nothing like Abe they ask us to do their job in their place to note everything as it is necessary but for In the end to wait to wait is to wait once this story and finish I change your insurance done as much I advise it I even feel that I would have no repairing on their part for insurance that we pay 21 . I prefer to pay the triple if it is necessary to deal with you.</v>
      </c>
    </row>
    <row r="25" ht="15.75" customHeight="1">
      <c r="A25" s="2">
        <v>5.0</v>
      </c>
      <c r="B25" s="2" t="s">
        <v>120</v>
      </c>
      <c r="C25" s="2" t="s">
        <v>121</v>
      </c>
      <c r="D25" s="2" t="s">
        <v>44</v>
      </c>
      <c r="E25" s="2" t="s">
        <v>27</v>
      </c>
      <c r="F25" s="2" t="s">
        <v>15</v>
      </c>
      <c r="G25" s="2" t="s">
        <v>122</v>
      </c>
      <c r="H25" s="2" t="s">
        <v>57</v>
      </c>
      <c r="I25" s="2" t="str">
        <f>IFERROR(__xludf.DUMMYFUNCTION("GOOGLETRANSLATE(C25,""fr"",""en"")"),"I am very satisfied, direct insurance services, very responsive and the website is very practical.
I think I will see my other contracts again to take them from Direct Insurance.
Cordially")</f>
        <v>I am very satisfied, direct insurance services, very responsive and the website is very practical.
I think I will see my other contracts again to take them from Direct Insurance.
Cordially</v>
      </c>
    </row>
    <row r="26" ht="15.75" customHeight="1">
      <c r="A26" s="2">
        <v>1.0</v>
      </c>
      <c r="B26" s="2" t="s">
        <v>123</v>
      </c>
      <c r="C26" s="2" t="s">
        <v>124</v>
      </c>
      <c r="D26" s="2" t="s">
        <v>125</v>
      </c>
      <c r="E26" s="2" t="s">
        <v>14</v>
      </c>
      <c r="F26" s="2" t="s">
        <v>15</v>
      </c>
      <c r="G26" s="2" t="s">
        <v>126</v>
      </c>
      <c r="H26" s="2" t="s">
        <v>57</v>
      </c>
      <c r="I26" s="2" t="str">
        <f>IFERROR(__xludf.DUMMYFUNCTION("GOOGLETRANSLATE(C26,""fr"",""en"")"),"Very difficult to reach them on the phone, no response to my emails.
I always expect significant reimbursements promised by Cegema on 12/02 on their site ...
I saw that they are part of the Swiss Life group:
TO AVOID !")</f>
        <v>Very difficult to reach them on the phone, no response to my emails.
I always expect significant reimbursements promised by Cegema on 12/02 on their site ...
I saw that they are part of the Swiss Life group:
TO AVOID !</v>
      </c>
    </row>
    <row r="27" ht="15.75" customHeight="1">
      <c r="A27" s="2">
        <v>1.0</v>
      </c>
      <c r="B27" s="2" t="s">
        <v>127</v>
      </c>
      <c r="C27" s="2" t="s">
        <v>128</v>
      </c>
      <c r="D27" s="2" t="s">
        <v>129</v>
      </c>
      <c r="E27" s="2" t="s">
        <v>27</v>
      </c>
      <c r="F27" s="2" t="s">
        <v>15</v>
      </c>
      <c r="G27" s="2" t="s">
        <v>130</v>
      </c>
      <c r="H27" s="2" t="s">
        <v>131</v>
      </c>
      <c r="I27" s="2" t="str">
        <f>IFERROR(__xludf.DUMMYFUNCTION("GOOGLETRANSLATE(C27,""fr"",""en"")"),"Tented after a month as many a priori for a missing paper that my old insurance has still not sent me despite my requests. It seems that it is the game with this insurance. Make the contributions and terminate the contract spent 30 days. To avoid.")</f>
        <v>Tented after a month as many a priori for a missing paper that my old insurance has still not sent me despite my requests. It seems that it is the game with this insurance. Make the contributions and terminate the contract spent 30 days. To avoid.</v>
      </c>
    </row>
    <row r="28" ht="15.75" customHeight="1">
      <c r="A28" s="2">
        <v>3.0</v>
      </c>
      <c r="B28" s="2" t="s">
        <v>132</v>
      </c>
      <c r="C28" s="2" t="s">
        <v>133</v>
      </c>
      <c r="D28" s="2" t="s">
        <v>134</v>
      </c>
      <c r="E28" s="2" t="s">
        <v>27</v>
      </c>
      <c r="F28" s="2" t="s">
        <v>15</v>
      </c>
      <c r="G28" s="2" t="s">
        <v>135</v>
      </c>
      <c r="H28" s="2" t="s">
        <v>29</v>
      </c>
      <c r="I28" s="2" t="str">
        <f>IFERROR(__xludf.DUMMYFUNCTION("GOOGLETRANSLATE(C28,""fr"",""en"")"),"School insurance that GMF offers is useless since schools require school insurance in civil and individual accident responsibility !!
So nothing.")</f>
        <v>School insurance that GMF offers is useless since schools require school insurance in civil and individual accident responsibility !!
So nothing.</v>
      </c>
    </row>
    <row r="29" ht="15.75" customHeight="1">
      <c r="A29" s="2">
        <v>4.0</v>
      </c>
      <c r="B29" s="2" t="s">
        <v>136</v>
      </c>
      <c r="C29" s="2" t="s">
        <v>137</v>
      </c>
      <c r="D29" s="2" t="s">
        <v>105</v>
      </c>
      <c r="E29" s="2" t="s">
        <v>39</v>
      </c>
      <c r="F29" s="2" t="s">
        <v>15</v>
      </c>
      <c r="G29" s="2" t="s">
        <v>138</v>
      </c>
      <c r="H29" s="2" t="s">
        <v>46</v>
      </c>
      <c r="I29" s="2" t="str">
        <f>IFERROR(__xludf.DUMMYFUNCTION("GOOGLETRANSLATE(C29,""fr"",""en"")"),"Very good service, the prices are very correct, I have not yet (fortunately) to have resorting to AMV services so I cannot attest to the right care during a disaster.")</f>
        <v>Very good service, the prices are very correct, I have not yet (fortunately) to have resorting to AMV services so I cannot attest to the right care during a disaster.</v>
      </c>
    </row>
    <row r="30" ht="15.75" customHeight="1">
      <c r="A30" s="2">
        <v>3.0</v>
      </c>
      <c r="B30" s="2" t="s">
        <v>139</v>
      </c>
      <c r="C30" s="2" t="s">
        <v>140</v>
      </c>
      <c r="D30" s="2" t="s">
        <v>141</v>
      </c>
      <c r="E30" s="2" t="s">
        <v>33</v>
      </c>
      <c r="F30" s="2" t="s">
        <v>15</v>
      </c>
      <c r="G30" s="2" t="s">
        <v>142</v>
      </c>
      <c r="H30" s="2" t="s">
        <v>72</v>
      </c>
      <c r="I30" s="2" t="str">
        <f>IFERROR(__xludf.DUMMYFUNCTION("GOOGLETRANSLATE(C30,""fr"",""en"")"),"2 claims 1 waters and fireplace dwellings in 5 years and hop fired from the maaf as well as car and motorcycle insurance without any disaster. To pump us from wheat. J try to contact them by phone 10 times but as soon as I give my name I walk for not expl"&amp;"aining incredible me. Thank you anyway to the advisor of Dinan who sent me the rewards of auto and motorcycle information and tells me that I was going to receive a letter of termination and that it comes from the deslaés.curgement.")</f>
        <v>2 claims 1 waters and fireplace dwellings in 5 years and hop fired from the maaf as well as car and motorcycle insurance without any disaster. To pump us from wheat. J try to contact them by phone 10 times but as soon as I give my name I walk for not explaining incredible me. Thank you anyway to the advisor of Dinan who sent me the rewards of auto and motorcycle information and tells me that I was going to receive a letter of termination and that it comes from the deslaés.curgement.</v>
      </c>
    </row>
    <row r="31" ht="15.75" customHeight="1">
      <c r="A31" s="2">
        <v>3.0</v>
      </c>
      <c r="B31" s="2" t="s">
        <v>143</v>
      </c>
      <c r="C31" s="2" t="s">
        <v>144</v>
      </c>
      <c r="D31" s="2" t="s">
        <v>44</v>
      </c>
      <c r="E31" s="2" t="s">
        <v>27</v>
      </c>
      <c r="F31" s="2" t="s">
        <v>15</v>
      </c>
      <c r="G31" s="2" t="s">
        <v>145</v>
      </c>
      <c r="H31" s="2" t="s">
        <v>41</v>
      </c>
      <c r="I31" s="2" t="str">
        <f>IFERROR(__xludf.DUMMYFUNCTION("GOOGLETRANSLATE(C31,""fr"",""en"")"),"Prices are correct on the other hand to declare an internet accident it is complicated for an unsuitable person on the Internet, the size of the photos is also limited and as I have a device that makes photos of + 3m ° I am bored To reach them on your sit"&amp;"e")</f>
        <v>Prices are correct on the other hand to declare an internet accident it is complicated for an unsuitable person on the Internet, the size of the photos is also limited and as I have a device that makes photos of + 3m ° I am bored To reach them on your site</v>
      </c>
    </row>
    <row r="32" ht="15.75" customHeight="1">
      <c r="A32" s="2">
        <v>1.0</v>
      </c>
      <c r="B32" s="2" t="s">
        <v>146</v>
      </c>
      <c r="C32" s="2" t="s">
        <v>147</v>
      </c>
      <c r="D32" s="2" t="s">
        <v>148</v>
      </c>
      <c r="E32" s="2" t="s">
        <v>27</v>
      </c>
      <c r="F32" s="2" t="s">
        <v>15</v>
      </c>
      <c r="G32" s="2" t="s">
        <v>149</v>
      </c>
      <c r="H32" s="2" t="s">
        <v>41</v>
      </c>
      <c r="I32" s="2" t="str">
        <f>IFERROR(__xludf.DUMMYFUNCTION("GOOGLETRANSLATE(C32,""fr"",""en"")"),"Auto insurance quote requested in April, after 25 years without car insured on my name because I had a service car provided by my employer.
No worries, Maif tells me, ask your history of the fleet manager and remind me of your history.
What I do, raised"&amp;" in hand, I read it in Maif on the phone
""Here is your quote, with bonus 50%"" replied Maif, ""send me the history by email and as soon as you have the registration of your car you can subscribe directly online""
Canon rate, nice welcome, reminders wit"&amp;"h ""mutual greetings""…. I don't even look at competition and therefore commands 10 days later, as soon as I was grayed and a few days before delivery of the car.
And there….!
""Mutualist"" stupor: ""Dear member, forget the bonus 50, you are not entitle"&amp;"d to it, in fact you have to pay 80% more""
… Goodbye Maif!
I reported this abuse to the DGCCRF
Maif is offended ""You ordered online without verifying that the 50% rate was confirmed""
… It is sure, after 10 days since the reception of two quotes a"&amp;"t 50% and their reminders received without any mention of study in progress or possible Alea, I should obviously have understood that ""subject to confirmation"" does not mean ""subject to verifying the information shared before creation of the quote"", b"&amp;"ut rather: ""subject to our goodwill""
Well, no more facade mutual feelings, I found a more honest seller elsewhere.
")</f>
        <v>Auto insurance quote requested in April, after 25 years without car insured on my name because I had a service car provided by my employer.
No worries, Maif tells me, ask your history of the fleet manager and remind me of your history.
What I do, raised in hand, I read it in Maif on the phone
"Here is your quote, with bonus 50%" replied Maif, "send me the history by email and as soon as you have the registration of your car you can subscribe directly online"
Canon rate, nice welcome, reminders with "mutual greetings"…. I don't even look at competition and therefore commands 10 days later, as soon as I was grayed and a few days before delivery of the car.
And there….!
"Mutualist" stupor: "Dear member, forget the bonus 50, you are not entitled to it, in fact you have to pay 80% more"
… Goodbye Maif!
I reported this abuse to the DGCCRF
Maif is offended "You ordered online without verifying that the 50% rate was confirmed"
… It is sure, after 10 days since the reception of two quotes at 50% and their reminders received without any mention of study in progress or possible Alea, I should obviously have understood that "subject to confirmation" does not mean "subject to verifying the information shared before creation of the quote", but rather: "subject to our goodwill"
Well, no more facade mutual feelings, I found a more honest seller elsewhere.
</v>
      </c>
    </row>
    <row r="33" ht="15.75" customHeight="1">
      <c r="A33" s="2">
        <v>1.0</v>
      </c>
      <c r="B33" s="2" t="s">
        <v>150</v>
      </c>
      <c r="C33" s="2" t="s">
        <v>151</v>
      </c>
      <c r="D33" s="2" t="s">
        <v>125</v>
      </c>
      <c r="E33" s="2" t="s">
        <v>14</v>
      </c>
      <c r="F33" s="2" t="s">
        <v>15</v>
      </c>
      <c r="G33" s="2" t="s">
        <v>152</v>
      </c>
      <c r="H33" s="2" t="s">
        <v>41</v>
      </c>
      <c r="I33" s="2" t="str">
        <f>IFERROR(__xludf.DUMMYFUNCTION("GOOGLETRANSLATE(C33,""fr"",""en"")"),"hello I advise you not to take this insurance, he does not hold their commitment to the nivaux additional reimbursements before committed to see the notices more you could not the assets on the phone know how to have information
Overall no customer track"&amp;"ing to avoid")</f>
        <v>hello I advise you not to take this insurance, he does not hold their commitment to the nivaux additional reimbursements before committed to see the notices more you could not the assets on the phone know how to have information
Overall no customer tracking to avoid</v>
      </c>
    </row>
    <row r="34" ht="15.75" customHeight="1">
      <c r="A34" s="2">
        <v>3.0</v>
      </c>
      <c r="B34" s="2" t="s">
        <v>153</v>
      </c>
      <c r="C34" s="2" t="s">
        <v>154</v>
      </c>
      <c r="D34" s="2" t="s">
        <v>26</v>
      </c>
      <c r="E34" s="2" t="s">
        <v>27</v>
      </c>
      <c r="F34" s="2" t="s">
        <v>15</v>
      </c>
      <c r="G34" s="2" t="s">
        <v>155</v>
      </c>
      <c r="H34" s="2" t="s">
        <v>29</v>
      </c>
      <c r="I34" s="2" t="str">
        <f>IFERROR(__xludf.DUMMYFUNCTION("GOOGLETRANSLATE(C34,""fr"",""en"")"),"The telephone reception for my subscription was perfect, after having if there is a problem if it is always so perfect. In terms of a little cheaper will not be negligible")</f>
        <v>The telephone reception for my subscription was perfect, after having if there is a problem if it is always so perfect. In terms of a little cheaper will not be negligible</v>
      </c>
    </row>
    <row r="35" ht="15.75" customHeight="1">
      <c r="A35" s="2">
        <v>4.0</v>
      </c>
      <c r="B35" s="2" t="s">
        <v>156</v>
      </c>
      <c r="C35" s="2" t="s">
        <v>157</v>
      </c>
      <c r="D35" s="2" t="s">
        <v>26</v>
      </c>
      <c r="E35" s="2" t="s">
        <v>27</v>
      </c>
      <c r="F35" s="2" t="s">
        <v>15</v>
      </c>
      <c r="G35" s="2" t="s">
        <v>158</v>
      </c>
      <c r="H35" s="2" t="s">
        <v>159</v>
      </c>
      <c r="I35" s="2" t="str">
        <f>IFERROR(__xludf.DUMMYFUNCTION("GOOGLETRANSLATE(C35,""fr"",""en"")"),"Nothing to say I am satisfied with this auto insurance.
The price is suitable unlike other insurance.
The personnel is really cool.")</f>
        <v>Nothing to say I am satisfied with this auto insurance.
The price is suitable unlike other insurance.
The personnel is really cool.</v>
      </c>
    </row>
    <row r="36" ht="15.75" customHeight="1">
      <c r="A36" s="2">
        <v>5.0</v>
      </c>
      <c r="B36" s="2" t="s">
        <v>160</v>
      </c>
      <c r="C36" s="2" t="s">
        <v>161</v>
      </c>
      <c r="D36" s="2" t="s">
        <v>44</v>
      </c>
      <c r="E36" s="2" t="s">
        <v>27</v>
      </c>
      <c r="F36" s="2" t="s">
        <v>15</v>
      </c>
      <c r="G36" s="2" t="s">
        <v>162</v>
      </c>
      <c r="H36" s="2" t="s">
        <v>29</v>
      </c>
      <c r="I36" s="2" t="str">
        <f>IFERROR(__xludf.DUMMYFUNCTION("GOOGLETRANSLATE(C36,""fr"",""en"")"),"I satisfy prices as well as the services rendered by Direct Insurance.
I satisfy prices as well as the services rendered by Direct Insurance.
I satisfy prices as well as the services rendered by Direct Insurance.
I satisfy prices as well as the service"&amp;"s rendered by Direct Insurance.")</f>
        <v>I satisfy prices as well as the services rendered by Direct Insurance.
I satisfy prices as well as the services rendered by Direct Insurance.
I satisfy prices as well as the services rendered by Direct Insurance.
I satisfy prices as well as the services rendered by Direct Insurance.</v>
      </c>
    </row>
    <row r="37" ht="15.75" customHeight="1">
      <c r="A37" s="2">
        <v>1.0</v>
      </c>
      <c r="B37" s="2" t="s">
        <v>163</v>
      </c>
      <c r="C37" s="2" t="s">
        <v>164</v>
      </c>
      <c r="D37" s="2" t="s">
        <v>165</v>
      </c>
      <c r="E37" s="2" t="s">
        <v>27</v>
      </c>
      <c r="F37" s="2" t="s">
        <v>15</v>
      </c>
      <c r="G37" s="2" t="s">
        <v>166</v>
      </c>
      <c r="H37" s="2" t="s">
        <v>17</v>
      </c>
      <c r="I37" s="2" t="str">
        <f>IFERROR(__xludf.DUMMYFUNCTION("GOOGLETRANSLATE(C37,""fr"",""en"")"),"Client for many years, I have sent them customers. I had only a break of ice and an attempted flight on my vehicle and they have struck me off. Knowing that I have a closed garage. Never subscribe, they are profiteers.")</f>
        <v>Client for many years, I have sent them customers. I had only a break of ice and an attempted flight on my vehicle and they have struck me off. Knowing that I have a closed garage. Never subscribe, they are profiteers.</v>
      </c>
    </row>
    <row r="38" ht="15.75" customHeight="1">
      <c r="A38" s="2">
        <v>5.0</v>
      </c>
      <c r="B38" s="2" t="s">
        <v>167</v>
      </c>
      <c r="C38" s="2" t="s">
        <v>168</v>
      </c>
      <c r="D38" s="2" t="s">
        <v>44</v>
      </c>
      <c r="E38" s="2" t="s">
        <v>27</v>
      </c>
      <c r="F38" s="2" t="s">
        <v>15</v>
      </c>
      <c r="G38" s="2" t="s">
        <v>169</v>
      </c>
      <c r="H38" s="2" t="s">
        <v>29</v>
      </c>
      <c r="I38" s="2" t="str">
        <f>IFERROR(__xludf.DUMMYFUNCTION("GOOGLETRANSLATE(C38,""fr"",""en"")"),"Very buen at prismx levels and speed I did not find better elsewhere
Miles thank you for this efficiency nothing more to say
Cordially")</f>
        <v>Very buen at prismx levels and speed I did not find better elsewhere
Miles thank you for this efficiency nothing more to say
Cordially</v>
      </c>
    </row>
    <row r="39" ht="15.75" customHeight="1">
      <c r="A39" s="2">
        <v>3.0</v>
      </c>
      <c r="B39" s="2" t="s">
        <v>170</v>
      </c>
      <c r="C39" s="2" t="s">
        <v>171</v>
      </c>
      <c r="D39" s="2" t="s">
        <v>165</v>
      </c>
      <c r="E39" s="2" t="s">
        <v>27</v>
      </c>
      <c r="F39" s="2" t="s">
        <v>15</v>
      </c>
      <c r="G39" s="2" t="s">
        <v>172</v>
      </c>
      <c r="H39" s="2" t="s">
        <v>173</v>
      </c>
      <c r="I39" s="2" t="str">
        <f>IFERROR(__xludf.DUMMYFUNCTION("GOOGLETRANSLATE(C39,""fr"",""en"")"),"Dear?
? My Ref 2339065?
48 hours ago I brought my Opel Tigra DM 787 ZG
Because my speeds were hard to pass.
I recovered my car this morning. It broke down on the device this afternoon (the speeds were no longer passing at all)
 I called your assistan"&amp;"ce number who told me I couldn't send me a charter because I was less than 25 k from my home and gave me another number. The barely kind person told me to call the police because it was located on the Periph before hanging up with my nose.
So I was deali"&amp;"ng with a peripheh periphener 124.83 e
 Who threw me at the 1st outing and gave me another troubleshooting number to lead me to my mechanic who was unreachable by phone cost 130 e
 My car is currently at my mechanic.
My contract is 34178961
I am all r"&amp;"isks and never had a problem
I have other contracts at home
 34179032
34179072,
63047442
Needless to say, I am very missing from monitoring my assistance request and that I will use my summer to look for another insurance so as to transfer my contrac"&amp;"ts. I will confirm this to you by LRAR
")</f>
        <v>Dear?
? My Ref 2339065?
48 hours ago I brought my Opel Tigra DM 787 ZG
Because my speeds were hard to pass.
I recovered my car this morning. It broke down on the device this afternoon (the speeds were no longer passing at all)
 I called your assistance number who told me I couldn't send me a charter because I was less than 25 k from my home and gave me another number. The barely kind person told me to call the police because it was located on the Periph before hanging up with my nose.
So I was dealing with a peripheh periphener 124.83 e
 Who threw me at the 1st outing and gave me another troubleshooting number to lead me to my mechanic who was unreachable by phone cost 130 e
 My car is currently at my mechanic.
My contract is 34178961
I am all risks and never had a problem
I have other contracts at home
 34179032
34179072,
63047442
Needless to say, I am very missing from monitoring my assistance request and that I will use my summer to look for another insurance so as to transfer my contracts. I will confirm this to you by LRAR
</v>
      </c>
    </row>
    <row r="40" ht="15.75" customHeight="1">
      <c r="A40" s="2">
        <v>2.0</v>
      </c>
      <c r="B40" s="2" t="s">
        <v>174</v>
      </c>
      <c r="C40" s="2" t="s">
        <v>175</v>
      </c>
      <c r="D40" s="2" t="s">
        <v>134</v>
      </c>
      <c r="E40" s="2" t="s">
        <v>33</v>
      </c>
      <c r="F40" s="2" t="s">
        <v>15</v>
      </c>
      <c r="G40" s="2" t="s">
        <v>176</v>
      </c>
      <c r="H40" s="2" t="s">
        <v>177</v>
      </c>
      <c r="I40" s="2" t="str">
        <f>IFERROR(__xludf.DUMMYFUNCTION("GOOGLETRANSLATE(C40,""fr"",""en"")"),"Water damage on 20/11/2018, I still await the rehabilitation of the premises. The expert takes only half of the confusion wallpaper between Cagibi and laundry room. More than 15 travel to the agency. Several calls on 0149147500 without response after 20 m"&amp;"inutes of waiting. On 09/03/2020 J is still waiting.")</f>
        <v>Water damage on 20/11/2018, I still await the rehabilitation of the premises. The expert takes only half of the confusion wallpaper between Cagibi and laundry room. More than 15 travel to the agency. Several calls on 0149147500 without response after 20 minutes of waiting. On 09/03/2020 J is still waiting.</v>
      </c>
    </row>
    <row r="41" ht="15.75" customHeight="1">
      <c r="A41" s="2">
        <v>4.0</v>
      </c>
      <c r="B41" s="2" t="s">
        <v>178</v>
      </c>
      <c r="C41" s="2" t="s">
        <v>179</v>
      </c>
      <c r="D41" s="2" t="s">
        <v>38</v>
      </c>
      <c r="E41" s="2" t="s">
        <v>39</v>
      </c>
      <c r="F41" s="2" t="s">
        <v>15</v>
      </c>
      <c r="G41" s="2" t="s">
        <v>180</v>
      </c>
      <c r="H41" s="2" t="s">
        <v>62</v>
      </c>
      <c r="I41" s="2" t="str">
        <f>IFERROR(__xludf.DUMMYFUNCTION("GOOGLETRANSLATE(C41,""fr"",""en"")"),"The prices seem correct for a motorcycle that will ride very little it will do the trick. I hope if I see a second motorcycle insured you will be able to make a reduction")</f>
        <v>The prices seem correct for a motorcycle that will ride very little it will do the trick. I hope if I see a second motorcycle insured you will be able to make a reduction</v>
      </c>
    </row>
    <row r="42" ht="15.75" customHeight="1">
      <c r="A42" s="2">
        <v>5.0</v>
      </c>
      <c r="B42" s="2" t="s">
        <v>181</v>
      </c>
      <c r="C42" s="2" t="s">
        <v>182</v>
      </c>
      <c r="D42" s="2" t="s">
        <v>26</v>
      </c>
      <c r="E42" s="2" t="s">
        <v>27</v>
      </c>
      <c r="F42" s="2" t="s">
        <v>15</v>
      </c>
      <c r="G42" s="2" t="s">
        <v>183</v>
      </c>
      <c r="H42" s="2" t="s">
        <v>184</v>
      </c>
      <c r="I42" s="2" t="str">
        <f>IFERROR(__xludf.DUMMYFUNCTION("GOOGLETRANSLATE(C42,""fr"",""en"")"),"Very competing at the price level .... very courteous very friendly at the exchange level emails and documents very fast in requests .... O'Avier the insurance that I recommend atous ... ????????? ????????????")</f>
        <v>Very competing at the price level .... very courteous very friendly at the exchange level emails and documents very fast in requests .... O'Avier the insurance that I recommend atous ... ????????? ????????????</v>
      </c>
    </row>
    <row r="43" ht="15.75" customHeight="1">
      <c r="A43" s="2">
        <v>3.0</v>
      </c>
      <c r="B43" s="2" t="s">
        <v>185</v>
      </c>
      <c r="C43" s="2" t="s">
        <v>186</v>
      </c>
      <c r="D43" s="2" t="s">
        <v>38</v>
      </c>
      <c r="E43" s="2" t="s">
        <v>39</v>
      </c>
      <c r="F43" s="2" t="s">
        <v>15</v>
      </c>
      <c r="G43" s="2" t="s">
        <v>187</v>
      </c>
      <c r="H43" s="2" t="s">
        <v>159</v>
      </c>
      <c r="I43" s="2" t="str">
        <f>IFERROR(__xludf.DUMMYFUNCTION("GOOGLETRANSLATE(C43,""fr"",""en"")"),"
I am satisfied with your services, the price is suitable for
I have all my cars insured at home
It is easy to have on the phone, which is a plus for online insurance
in the top")</f>
        <v>
I am satisfied with your services, the price is suitable for
I have all my cars insured at home
It is easy to have on the phone, which is a plus for online insurance
in the top</v>
      </c>
    </row>
    <row r="44" ht="15.75" customHeight="1">
      <c r="A44" s="2">
        <v>4.0</v>
      </c>
      <c r="B44" s="2" t="s">
        <v>188</v>
      </c>
      <c r="C44" s="2" t="s">
        <v>189</v>
      </c>
      <c r="D44" s="2" t="s">
        <v>190</v>
      </c>
      <c r="E44" s="2" t="s">
        <v>21</v>
      </c>
      <c r="F44" s="2" t="s">
        <v>15</v>
      </c>
      <c r="G44" s="2" t="s">
        <v>191</v>
      </c>
      <c r="H44" s="2" t="s">
        <v>192</v>
      </c>
      <c r="I44" s="2" t="str">
        <f>IFERROR(__xludf.DUMMYFUNCTION("GOOGLETRANSLATE(C44,""fr"",""en"")"),"Important economy carried out thanks to AFI Esc, compared to the insurance of the bank")</f>
        <v>Important economy carried out thanks to AFI Esc, compared to the insurance of the bank</v>
      </c>
    </row>
    <row r="45" ht="15.75" customHeight="1">
      <c r="A45" s="2">
        <v>1.0</v>
      </c>
      <c r="B45" s="2" t="s">
        <v>193</v>
      </c>
      <c r="C45" s="2" t="s">
        <v>194</v>
      </c>
      <c r="D45" s="2" t="s">
        <v>100</v>
      </c>
      <c r="E45" s="2" t="s">
        <v>14</v>
      </c>
      <c r="F45" s="2" t="s">
        <v>15</v>
      </c>
      <c r="G45" s="2" t="s">
        <v>195</v>
      </c>
      <c r="H45" s="2" t="s">
        <v>184</v>
      </c>
      <c r="I45" s="2" t="str">
        <f>IFERROR(__xludf.DUMMYFUNCTION("GOOGLETRANSLATE(C45,""fr"",""en"")"),"A shame: a non -existent customer service, a clearly incompetence below the acceptable average, astounding reimbursement times, telephone calls which are useless, contacts by email that are useless, promises of ghost reminders, Changes of contract without"&amp;" notifying the beneficiary, gross house errors for which we do not even judge to apologize, recommended letters to which we respond by a laconic voice message .....
In other words, if you need nothing you are immediately served.
At Ag2rlamondial, the cu"&amp;"stomer is not king, far from there
We pay a subscription for services not rendered.
To believe that certain contracts do not interest them or no longer interest them .....
Your turn to judge
")</f>
        <v>A shame: a non -existent customer service, a clearly incompetence below the acceptable average, astounding reimbursement times, telephone calls which are useless, contacts by email that are useless, promises of ghost reminders, Changes of contract without notifying the beneficiary, gross house errors for which we do not even judge to apologize, recommended letters to which we respond by a laconic voice message .....
In other words, if you need nothing you are immediately served.
At Ag2rlamondial, the customer is not king, far from there
We pay a subscription for services not rendered.
To believe that certain contracts do not interest them or no longer interest them .....
Your turn to judge
</v>
      </c>
    </row>
    <row r="46" ht="15.75" customHeight="1">
      <c r="A46" s="2">
        <v>5.0</v>
      </c>
      <c r="B46" s="2" t="s">
        <v>196</v>
      </c>
      <c r="C46" s="2" t="s">
        <v>197</v>
      </c>
      <c r="D46" s="2" t="s">
        <v>44</v>
      </c>
      <c r="E46" s="2" t="s">
        <v>27</v>
      </c>
      <c r="F46" s="2" t="s">
        <v>15</v>
      </c>
      <c r="G46" s="2" t="s">
        <v>198</v>
      </c>
      <c r="H46" s="2" t="s">
        <v>29</v>
      </c>
      <c r="I46" s="2" t="str">
        <f>IFERROR(__xludf.DUMMYFUNCTION("GOOGLETRANSLATE(C46,""fr"",""en"")"),"The process is very simple and user -friendly, the website guides users at each stage without any inconvenience. However, the price is very good especially for students")</f>
        <v>The process is very simple and user -friendly, the website guides users at each stage without any inconvenience. However, the price is very good especially for students</v>
      </c>
    </row>
    <row r="47" ht="15.75" customHeight="1">
      <c r="A47" s="2">
        <v>2.0</v>
      </c>
      <c r="B47" s="2" t="s">
        <v>199</v>
      </c>
      <c r="C47" s="2" t="s">
        <v>200</v>
      </c>
      <c r="D47" s="2" t="s">
        <v>32</v>
      </c>
      <c r="E47" s="2" t="s">
        <v>33</v>
      </c>
      <c r="F47" s="2" t="s">
        <v>15</v>
      </c>
      <c r="G47" s="2" t="s">
        <v>201</v>
      </c>
      <c r="H47" s="2" t="s">
        <v>57</v>
      </c>
      <c r="I47" s="2" t="str">
        <f>IFERROR(__xludf.DUMMYFUNCTION("GOOGLETRANSLATE(C47,""fr"",""en"")"),"After more than 20 years at the Macif which seemed to me human and respectful insurance, I leave them !! I discovered a serious conflict of interest with the Suretec expertise firm who came 2x at my home for condensation damage due to a breakdown of the V"&amp;"MC of the building, which this expert refused to highlight a 1st times ..... then did not purely and simply report the 2nd time, refusing to admit the responsibility of the trustee of my building !! Now has happened 1 month since his 2nd visit, several em"&amp;"ails at the Macif who remained shamefully and scandalously unanswered !!!! And always nothing of this report, and even less of compensation ...... I therefore discover maneuvers to say the least doubtful and conflicts of obvious interest that abuse me. An"&amp;"d when I put my finger on it and ask for explanations and the progress of my file ..... nothing, radio silence. This is the reality of insurance that is said to be a societary, human and attentive .....")</f>
        <v>After more than 20 years at the Macif which seemed to me human and respectful insurance, I leave them !! I discovered a serious conflict of interest with the Suretec expertise firm who came 2x at my home for condensation damage due to a breakdown of the VMC of the building, which this expert refused to highlight a 1st times ..... then did not purely and simply report the 2nd time, refusing to admit the responsibility of the trustee of my building !! Now has happened 1 month since his 2nd visit, several emails at the Macif who remained shamefully and scandalously unanswered !!!! And always nothing of this report, and even less of compensation ...... I therefore discover maneuvers to say the least doubtful and conflicts of obvious interest that abuse me. And when I put my finger on it and ask for explanations and the progress of my file ..... nothing, radio silence. This is the reality of insurance that is said to be a societary, human and attentive .....</v>
      </c>
    </row>
    <row r="48" ht="15.75" customHeight="1">
      <c r="A48" s="2">
        <v>2.0</v>
      </c>
      <c r="B48" s="2" t="s">
        <v>202</v>
      </c>
      <c r="C48" s="2" t="s">
        <v>203</v>
      </c>
      <c r="D48" s="2" t="s">
        <v>204</v>
      </c>
      <c r="E48" s="2" t="s">
        <v>27</v>
      </c>
      <c r="F48" s="2" t="s">
        <v>15</v>
      </c>
      <c r="G48" s="2" t="s">
        <v>205</v>
      </c>
      <c r="H48" s="2" t="s">
        <v>206</v>
      </c>
      <c r="I48" s="2" t="str">
        <f>IFERROR(__xludf.DUMMYFUNCTION("GOOGLETRANSLATE(C48,""fr"",""en"")"),"I ask to close my contract when it is due to find a close to my home because customer level nonexistent, the same preservative, just my account deleted one day without any word from them when on the date or other ....
No customer service attention!")</f>
        <v>I ask to close my contract when it is due to find a close to my home because customer level nonexistent, the same preservative, just my account deleted one day without any word from them when on the date or other ....
No customer service attention!</v>
      </c>
    </row>
    <row r="49" ht="15.75" customHeight="1">
      <c r="A49" s="2">
        <v>5.0</v>
      </c>
      <c r="B49" s="2" t="s">
        <v>207</v>
      </c>
      <c r="C49" s="2" t="s">
        <v>208</v>
      </c>
      <c r="D49" s="2" t="s">
        <v>26</v>
      </c>
      <c r="E49" s="2" t="s">
        <v>27</v>
      </c>
      <c r="F49" s="2" t="s">
        <v>15</v>
      </c>
      <c r="G49" s="2" t="s">
        <v>209</v>
      </c>
      <c r="H49" s="2" t="s">
        <v>210</v>
      </c>
      <c r="I49" s="2" t="str">
        <f>IFERROR(__xludf.DUMMYFUNCTION("GOOGLETRANSLATE(C49,""fr"",""en"")"),"Very good responsiveness, reception such a pro, followed by the case excellent in line with the demand")</f>
        <v>Very good responsiveness, reception such a pro, followed by the case excellent in line with the demand</v>
      </c>
    </row>
    <row r="50" ht="15.75" customHeight="1">
      <c r="A50" s="2">
        <v>2.0</v>
      </c>
      <c r="B50" s="2" t="s">
        <v>211</v>
      </c>
      <c r="C50" s="2" t="s">
        <v>212</v>
      </c>
      <c r="D50" s="2" t="s">
        <v>105</v>
      </c>
      <c r="E50" s="2" t="s">
        <v>39</v>
      </c>
      <c r="F50" s="2" t="s">
        <v>15</v>
      </c>
      <c r="G50" s="2" t="s">
        <v>213</v>
      </c>
      <c r="H50" s="2" t="s">
        <v>214</v>
      </c>
      <c r="I50" s="2" t="str">
        <f>IFERROR(__xludf.DUMMYFUNCTION("GOOGLETRANSLATE(C50,""fr"",""en"")"),"Hello,
Insured at AMV for 8 years without any declared claim, I am assured of damage/collision and I just had an accident where I had to brake too violently, my motorcycle slipped and came to hit another vehicle. Following my declaration, AMV does not wa"&amp;"nt to support my motorcycle repairs with the argument that Mam Moto slipped before hitting the other vehicle. In my contract, it is not mentioned in the case of the loss of control of the vehicle is excluded from the guarantee: “The reimbursement of the d"&amp;"amage suffered by your vehicle having a exclusive collision (shock) with an identified third party…. »»
The front of my motorcycle was damaged because of the collision with the other identified vehicle. Insurance does not want to come back to his positio"&amp;"n and does not want to mandate an expert to assess my motorcycle")</f>
        <v>Hello,
Insured at AMV for 8 years without any declared claim, I am assured of damage/collision and I just had an accident where I had to brake too violently, my motorcycle slipped and came to hit another vehicle. Following my declaration, AMV does not want to support my motorcycle repairs with the argument that Mam Moto slipped before hitting the other vehicle. In my contract, it is not mentioned in the case of the loss of control of the vehicle is excluded from the guarantee: “The reimbursement of the damage suffered by your vehicle having a exclusive collision (shock) with an identified third party…. »»
The front of my motorcycle was damaged because of the collision with the other identified vehicle. Insurance does not want to come back to his position and does not want to mandate an expert to assess my motorcycle</v>
      </c>
    </row>
    <row r="51" ht="15.75" customHeight="1">
      <c r="A51" s="2">
        <v>2.0</v>
      </c>
      <c r="B51" s="2" t="s">
        <v>215</v>
      </c>
      <c r="C51" s="2" t="s">
        <v>216</v>
      </c>
      <c r="D51" s="2" t="s">
        <v>44</v>
      </c>
      <c r="E51" s="2" t="s">
        <v>27</v>
      </c>
      <c r="F51" s="2" t="s">
        <v>15</v>
      </c>
      <c r="G51" s="2" t="s">
        <v>217</v>
      </c>
      <c r="H51" s="2" t="s">
        <v>57</v>
      </c>
      <c r="I51" s="2" t="str">
        <f>IFERROR(__xludf.DUMMYFUNCTION("GOOGLETRANSLATE(C51,""fr"",""en"")"),"I was satisfied last 6 years in your home, I had none of no claim any loss of point.
I have a recyclable ethanol car at 95 percent, I have my ECO CONDUCTE attestation, I am registered on the Specialized SAAB RECYCLAGE CASTER.
And when I ask for a commer"&amp;"cial gesture for lowered monthly payment I refuse it.
It is only once I have subscribed elsewhere and asked for the cessation of my contract that we disdain proposed it to me.
icing on the cake I discover that I request a termination contract stopping i"&amp;"s not taken into account
I wanted to stay at home but it was no longer possible.")</f>
        <v>I was satisfied last 6 years in your home, I had none of no claim any loss of point.
I have a recyclable ethanol car at 95 percent, I have my ECO CONDUCTE attestation, I am registered on the Specialized SAAB RECYCLAGE CASTER.
And when I ask for a commercial gesture for lowered monthly payment I refuse it.
It is only once I have subscribed elsewhere and asked for the cessation of my contract that we disdain proposed it to me.
icing on the cake I discover that I request a termination contract stopping is not taken into account
I wanted to stay at home but it was no longer possible.</v>
      </c>
    </row>
    <row r="52" ht="15.75" customHeight="1">
      <c r="A52" s="2">
        <v>2.0</v>
      </c>
      <c r="B52" s="2" t="s">
        <v>218</v>
      </c>
      <c r="C52" s="2" t="s">
        <v>219</v>
      </c>
      <c r="D52" s="2" t="s">
        <v>44</v>
      </c>
      <c r="E52" s="2" t="s">
        <v>27</v>
      </c>
      <c r="F52" s="2" t="s">
        <v>15</v>
      </c>
      <c r="G52" s="2" t="s">
        <v>220</v>
      </c>
      <c r="H52" s="2" t="s">
        <v>173</v>
      </c>
      <c r="I52" s="2" t="str">
        <f>IFERROR(__xludf.DUMMYFUNCTION("GOOGLETRANSLATE(C52,""fr"",""en"")"),"I have breakdown assistance 0 km. I end up with 2 wheels with flat 400 km from my house. I am not entitled to any assistance because for them no guarantee is open for this disaster! Yet they advertise on their website in the event of flat tires you can ha"&amp;"ve the assistance and even at 0km if you undergo the option!")</f>
        <v>I have breakdown assistance 0 km. I end up with 2 wheels with flat 400 km from my house. I am not entitled to any assistance because for them no guarantee is open for this disaster! Yet they advertise on their website in the event of flat tires you can have the assistance and even at 0km if you undergo the option!</v>
      </c>
    </row>
    <row r="53" ht="15.75" customHeight="1">
      <c r="A53" s="2">
        <v>1.0</v>
      </c>
      <c r="B53" s="2" t="s">
        <v>221</v>
      </c>
      <c r="C53" s="2" t="s">
        <v>222</v>
      </c>
      <c r="D53" s="2" t="s">
        <v>44</v>
      </c>
      <c r="E53" s="2" t="s">
        <v>27</v>
      </c>
      <c r="F53" s="2" t="s">
        <v>15</v>
      </c>
      <c r="G53" s="2" t="s">
        <v>223</v>
      </c>
      <c r="H53" s="2" t="s">
        <v>57</v>
      </c>
      <c r="I53" s="2" t="str">
        <f>IFERROR(__xludf.DUMMYFUNCTION("GOOGLETRANSLATE(C53,""fr"",""en"")"),"I am very unhappy with the process. My initial quote was € 380 and it finished at € 472. The quote is lied. Unexplained, it went to 420 € before the initial payment then to € 430 because I seized 45 years of license instead of 43 years (I therefore became"&amp;" less good driver) then passage to € 472 because 12 years without accident did not convince you.
Believe me I won't recommend you.")</f>
        <v>I am very unhappy with the process. My initial quote was € 380 and it finished at € 472. The quote is lied. Unexplained, it went to 420 € before the initial payment then to € 430 because I seized 45 years of license instead of 43 years (I therefore became less good driver) then passage to € 472 because 12 years without accident did not convince you.
Believe me I won't recommend you.</v>
      </c>
    </row>
    <row r="54" ht="15.75" customHeight="1">
      <c r="A54" s="2">
        <v>4.0</v>
      </c>
      <c r="B54" s="2" t="s">
        <v>224</v>
      </c>
      <c r="C54" s="2" t="s">
        <v>225</v>
      </c>
      <c r="D54" s="2" t="s">
        <v>134</v>
      </c>
      <c r="E54" s="2" t="s">
        <v>27</v>
      </c>
      <c r="F54" s="2" t="s">
        <v>15</v>
      </c>
      <c r="G54" s="2" t="s">
        <v>226</v>
      </c>
      <c r="H54" s="2" t="s">
        <v>57</v>
      </c>
      <c r="I54" s="2" t="str">
        <f>IFERROR(__xludf.DUMMYFUNCTION("GOOGLETRANSLATE(C54,""fr"",""en"")"),"I am satisfied . GMF is very reactive. Listening and professionalism towards its customers, the GMF every time I needed help or information has always accompanied me.")</f>
        <v>I am satisfied . GMF is very reactive. Listening and professionalism towards its customers, the GMF every time I needed help or information has always accompanied me.</v>
      </c>
    </row>
    <row r="55" ht="15.75" customHeight="1">
      <c r="A55" s="2">
        <v>1.0</v>
      </c>
      <c r="B55" s="2" t="s">
        <v>227</v>
      </c>
      <c r="C55" s="2" t="s">
        <v>228</v>
      </c>
      <c r="D55" s="2" t="s">
        <v>44</v>
      </c>
      <c r="E55" s="2" t="s">
        <v>27</v>
      </c>
      <c r="F55" s="2" t="s">
        <v>15</v>
      </c>
      <c r="G55" s="2" t="s">
        <v>229</v>
      </c>
      <c r="H55" s="2" t="s">
        <v>230</v>
      </c>
      <c r="I55" s="2" t="str">
        <f>IFERROR(__xludf.DUMMYFUNCTION("GOOGLETRANSLATE(C55,""fr"",""en"")"),"Direct to flee!
Thanks to the quotes provided by a comparator, we have chosen to provide Da 2 additional vehicles in ""all risks"" (Civic 9 + Yaris 3 in addition to a Yaris 1 in ""Maxi"" and our accommodation):
Contract subscribed online for the Hon"&amp;"da Civic 9 in February 2018:
Driver 50% bonus for 12 years and more on April 1, 2018
Annual contribution including tax: 401.03 euros
Payment frequency: monthly (33.41 euros per month)
Contract subscribed online for the Toyota Yaris 3 in March 2018:
"&amp;"
Driver 50% bonus for 12 years and more on April 1, 2018
Annual contribution including tax: 329.02 euros
Payment frequency: annual
In March, DA proposed 40 euro of discount for any new contract subscribed to them before March 31.
By phone they downr"&amp;"ight told us that this promotional offer did not concern us because the Yaris 3 would replace our Yaris 1 (once sold) provided at home since 2013 but under another contract number with 50% bonuses for 12 years and more on April 1.
A few days after havi"&amp;"ng validated, digitally signed the contract and fully paid for the 329.02 euros of annual subscription of our Yaris 3, we receive an email from DA informing that the amount of our subscription is wrong and non -compliant.
From 329.02 euros (price offered"&amp;" by the comparator) we drop to 389.73 euros!
Why an increase of 60.71 euros ...?! Because 15 days before April 1, we have been 50% bonus for 11 years and not 12 years !!!!!! It's been dear the week! How much the subscription with 50% bonus has been mount"&amp;"ed for 11 years and 1 day ... ???!
Despite the 329.02 euros paid in 1 time for our Yaris 3, Da we now threaten to make sure if we do not electronically sign their new personal conditions and do not pay the 60,71 euro remaining before April 15.
In shor"&amp;"t, we are taken in hostages!
Scandalized by advantageous false rates, the absence of consideration and any commercial gesture to rectify the shooting, we have warned them of our intention to close all our contracts and to reveal their questionable prac"&amp;"tices.
To this, one of the customer service advisers has, in an irritated and condescending tone, directly oriented towards the service of terminations.")</f>
        <v>Direct to flee!
Thanks to the quotes provided by a comparator, we have chosen to provide Da 2 additional vehicles in "all risks" (Civic 9 + Yaris 3 in addition to a Yaris 1 in "Maxi" and our accommodation):
Contract subscribed online for the Honda Civic 9 in February 2018:
Driver 50% bonus for 12 years and more on April 1, 2018
Annual contribution including tax: 401.03 euros
Payment frequency: monthly (33.41 euros per month)
Contract subscribed online for the Toyota Yaris 3 in March 2018:
Driver 50% bonus for 12 years and more on April 1, 2018
Annual contribution including tax: 329.02 euros
Payment frequency: annual
In March, DA proposed 40 euro of discount for any new contract subscribed to them before March 31.
By phone they downright told us that this promotional offer did not concern us because the Yaris 3 would replace our Yaris 1 (once sold) provided at home since 2013 but under another contract number with 50% bonuses for 12 years and more on April 1.
A few days after having validated, digitally signed the contract and fully paid for the 329.02 euros of annual subscription of our Yaris 3, we receive an email from DA informing that the amount of our subscription is wrong and non -compliant.
From 329.02 euros (price offered by the comparator) we drop to 389.73 euros!
Why an increase of 60.71 euros ...?! Because 15 days before April 1, we have been 50% bonus for 11 years and not 12 years !!!!!! It's been dear the week! How much the subscription with 50% bonus has been mounted for 11 years and 1 day ... ???!
Despite the 329.02 euros paid in 1 time for our Yaris 3, Da we now threaten to make sure if we do not electronically sign their new personal conditions and do not pay the 60,71 euro remaining before April 15.
In short, we are taken in hostages!
Scandalized by advantageous false rates, the absence of consideration and any commercial gesture to rectify the shooting, we have warned them of our intention to close all our contracts and to reveal their questionable practices.
To this, one of the customer service advisers has, in an irritated and condescending tone, directly oriented towards the service of terminations.</v>
      </c>
    </row>
    <row r="56" ht="15.75" customHeight="1">
      <c r="A56" s="2">
        <v>2.0</v>
      </c>
      <c r="B56" s="2" t="s">
        <v>231</v>
      </c>
      <c r="C56" s="2" t="s">
        <v>232</v>
      </c>
      <c r="D56" s="2" t="s">
        <v>141</v>
      </c>
      <c r="E56" s="2" t="s">
        <v>33</v>
      </c>
      <c r="F56" s="2" t="s">
        <v>15</v>
      </c>
      <c r="G56" s="2" t="s">
        <v>233</v>
      </c>
      <c r="H56" s="2" t="s">
        <v>234</v>
      </c>
      <c r="I56" s="2" t="str">
        <f>IFERROR(__xludf.DUMMYFUNCTION("GOOGLETRANSLATE(C56,""fr"",""en"")"),"In the case of a recent disaster declaration for break -in, degradations, theft and probable stay of the intruder (s) for at least a few hours in a second home: Maaf advisers for weeks; Information provided contradictory and ultimately compensation propos"&amp;"ed ridiculous: € 33 for reimbursement of a fractured lock that I replaced myself in an emergency to avoid new intrusion, that after having made 300 km to get to the scene for a complaint that Maaf had told me essential to be able to specify compensation!")</f>
        <v>In the case of a recent disaster declaration for break -in, degradations, theft and probable stay of the intruder (s) for at least a few hours in a second home: Maaf advisers for weeks; Information provided contradictory and ultimately compensation proposed ridiculous: € 33 for reimbursement of a fractured lock that I replaced myself in an emergency to avoid new intrusion, that after having made 300 km to get to the scene for a complaint that Maaf had told me essential to be able to specify compensation!</v>
      </c>
    </row>
    <row r="57" ht="15.75" customHeight="1">
      <c r="A57" s="2">
        <v>1.0</v>
      </c>
      <c r="B57" s="2" t="s">
        <v>235</v>
      </c>
      <c r="C57" s="2" t="s">
        <v>236</v>
      </c>
      <c r="D57" s="2" t="s">
        <v>237</v>
      </c>
      <c r="E57" s="2" t="s">
        <v>14</v>
      </c>
      <c r="F57" s="2" t="s">
        <v>15</v>
      </c>
      <c r="G57" s="2" t="s">
        <v>238</v>
      </c>
      <c r="H57" s="2" t="s">
        <v>35</v>
      </c>
      <c r="I57" s="2" t="str">
        <f>IFERROR(__xludf.DUMMYFUNCTION("GOOGLETRANSLATE(C57,""fr"",""en"")"),"Totally agree with the opinions. The worst mutual that I have known. Orthodentic care of my daughter in January and reimbursement which arrives after 4 months after almost one call per week. I have never seen that, all that because they don't want to take"&amp;" my security number into account (separate parents) to connect my children. We have the very clear impression that the staff is formatted to reassure and that the leaders drag the RBSMT as much as possible .......")</f>
        <v>Totally agree with the opinions. The worst mutual that I have known. Orthodentic care of my daughter in January and reimbursement which arrives after 4 months after almost one call per week. I have never seen that, all that because they don't want to take my security number into account (separate parents) to connect my children. We have the very clear impression that the staff is formatted to reassure and that the leaders drag the RBSMT as much as possible .......</v>
      </c>
    </row>
    <row r="58" ht="15.75" customHeight="1">
      <c r="A58" s="2">
        <v>5.0</v>
      </c>
      <c r="B58" s="2" t="s">
        <v>239</v>
      </c>
      <c r="C58" s="2" t="s">
        <v>240</v>
      </c>
      <c r="D58" s="2" t="s">
        <v>44</v>
      </c>
      <c r="E58" s="2" t="s">
        <v>27</v>
      </c>
      <c r="F58" s="2" t="s">
        <v>15</v>
      </c>
      <c r="G58" s="2" t="s">
        <v>241</v>
      </c>
      <c r="H58" s="2" t="s">
        <v>41</v>
      </c>
      <c r="I58" s="2" t="str">
        <f>IFERROR(__xludf.DUMMYFUNCTION("GOOGLETRANSLATE(C58,""fr"",""en"")"),"Excellent advisor excellent value for money everything is perfect nothing to complain about I highly recommend direct insurance to everyone. Congratulations again for this quality and these prices.")</f>
        <v>Excellent advisor excellent value for money everything is perfect nothing to complain about I highly recommend direct insurance to everyone. Congratulations again for this quality and these prices.</v>
      </c>
    </row>
    <row r="59" ht="15.75" customHeight="1">
      <c r="A59" s="2">
        <v>5.0</v>
      </c>
      <c r="B59" s="2" t="s">
        <v>242</v>
      </c>
      <c r="C59" s="2" t="s">
        <v>243</v>
      </c>
      <c r="D59" s="2" t="s">
        <v>44</v>
      </c>
      <c r="E59" s="2" t="s">
        <v>27</v>
      </c>
      <c r="F59" s="2" t="s">
        <v>15</v>
      </c>
      <c r="G59" s="2" t="s">
        <v>244</v>
      </c>
      <c r="H59" s="2" t="s">
        <v>35</v>
      </c>
      <c r="I59" s="2" t="str">
        <f>IFERROR(__xludf.DUMMYFUNCTION("GOOGLETRANSLATE(C59,""fr"",""en"")"),"Customer for over ten years car home I regret that we cannot ensure the motorhome and the motorcycle, the services and the prices are very satisfied")</f>
        <v>Customer for over ten years car home I regret that we cannot ensure the motorhome and the motorcycle, the services and the prices are very satisfied</v>
      </c>
    </row>
    <row r="60" ht="15.75" customHeight="1">
      <c r="A60" s="2">
        <v>3.0</v>
      </c>
      <c r="B60" s="2" t="s">
        <v>245</v>
      </c>
      <c r="C60" s="2" t="s">
        <v>246</v>
      </c>
      <c r="D60" s="2" t="s">
        <v>204</v>
      </c>
      <c r="E60" s="2" t="s">
        <v>33</v>
      </c>
      <c r="F60" s="2" t="s">
        <v>15</v>
      </c>
      <c r="G60" s="2" t="s">
        <v>247</v>
      </c>
      <c r="H60" s="2" t="s">
        <v>210</v>
      </c>
      <c r="I60" s="2" t="str">
        <f>IFERROR(__xludf.DUMMYFUNCTION("GOOGLETRANSLATE(C60,""fr"",""en"")"),"My father 84 years old was terminated by this insurance following 2 claims in 2016
The first is a window broken by the firefighters who came to him as a rescue following a fall with his home because he had pressed his TV medallion (COL DU FEMUR CARSE)
T"&amp;"he second time his fence was damaged by a neighbor who forgot the hand brake of his car and after the repair my father was a loser of € 500.
I took the lead with the broker who is multi -card; Allianz, Thelem Swiss Lif etc but the latter did not want to "&amp;"know anything and I think it is the cause of the breach of contract")</f>
        <v>My father 84 years old was terminated by this insurance following 2 claims in 2016
The first is a window broken by the firefighters who came to him as a rescue following a fall with his home because he had pressed his TV medallion (COL DU FEMUR CARSE)
The second time his fence was damaged by a neighbor who forgot the hand brake of his car and after the repair my father was a loser of € 500.
I took the lead with the broker who is multi -card; Allianz, Thelem Swiss Lif etc but the latter did not want to know anything and I think it is the cause of the breach of contract</v>
      </c>
    </row>
    <row r="61" ht="15.75" customHeight="1">
      <c r="A61" s="2">
        <v>2.0</v>
      </c>
      <c r="B61" s="2" t="s">
        <v>248</v>
      </c>
      <c r="C61" s="2" t="s">
        <v>249</v>
      </c>
      <c r="D61" s="2" t="s">
        <v>44</v>
      </c>
      <c r="E61" s="2" t="s">
        <v>27</v>
      </c>
      <c r="F61" s="2" t="s">
        <v>15</v>
      </c>
      <c r="G61" s="2" t="s">
        <v>81</v>
      </c>
      <c r="H61" s="2" t="s">
        <v>29</v>
      </c>
      <c r="I61" s="2" t="str">
        <f>IFERROR(__xludf.DUMMYFUNCTION("GOOGLETRANSLATE(C61,""fr"",""en"")"),"Too expensive for young driver and student insurance. Hoping to have more suitable prices very quickly.
Speed ​​level I can give a 10/10.
")</f>
        <v>Too expensive for young driver and student insurance. Hoping to have more suitable prices very quickly.
Speed ​​level I can give a 10/10.
</v>
      </c>
    </row>
    <row r="62" ht="15.75" customHeight="1">
      <c r="A62" s="2">
        <v>1.0</v>
      </c>
      <c r="B62" s="2" t="s">
        <v>250</v>
      </c>
      <c r="C62" s="2" t="s">
        <v>251</v>
      </c>
      <c r="D62" s="2" t="s">
        <v>252</v>
      </c>
      <c r="E62" s="2" t="s">
        <v>14</v>
      </c>
      <c r="F62" s="2" t="s">
        <v>15</v>
      </c>
      <c r="G62" s="2" t="s">
        <v>253</v>
      </c>
      <c r="H62" s="2" t="s">
        <v>102</v>
      </c>
      <c r="I62" s="2" t="str">
        <f>IFERROR(__xludf.DUMMYFUNCTION("GOOGLETRANSLATE(C62,""fr"",""en"")"),"Unnecessary mutual, not recommended. Mutual very expensive compared to the services it offers, for what it reimburses take a mutual insurance for 1 euro you will be a winner. Do not offer any real protection, let's talk about customer service total incomp"&amp;"etence ... Not surprising that I hear about this mutual insurance company in unlisting terms ...")</f>
        <v>Unnecessary mutual, not recommended. Mutual very expensive compared to the services it offers, for what it reimburses take a mutual insurance for 1 euro you will be a winner. Do not offer any real protection, let's talk about customer service total incompetence ... Not surprising that I hear about this mutual insurance company in unlisting terms ...</v>
      </c>
    </row>
    <row r="63" ht="15.75" customHeight="1">
      <c r="A63" s="2">
        <v>1.0</v>
      </c>
      <c r="B63" s="2" t="s">
        <v>254</v>
      </c>
      <c r="C63" s="2" t="s">
        <v>255</v>
      </c>
      <c r="D63" s="2" t="s">
        <v>134</v>
      </c>
      <c r="E63" s="2" t="s">
        <v>27</v>
      </c>
      <c r="F63" s="2" t="s">
        <v>15</v>
      </c>
      <c r="G63" s="2" t="s">
        <v>256</v>
      </c>
      <c r="H63" s="2" t="s">
        <v>94</v>
      </c>
      <c r="I63" s="2" t="str">
        <f>IFERROR(__xludf.DUMMYFUNCTION("GOOGLETRANSLATE(C63,""fr"",""en"")"),"2 non -responsible claims and the GMF Vire. In addition, the GMF wants me to make a termination letter.
They were the ones who saw me to terminate
Watch out for this insurance")</f>
        <v>2 non -responsible claims and the GMF Vire. In addition, the GMF wants me to make a termination letter.
They were the ones who saw me to terminate
Watch out for this insurance</v>
      </c>
    </row>
    <row r="64" ht="15.75" customHeight="1">
      <c r="A64" s="2">
        <v>2.0</v>
      </c>
      <c r="B64" s="2" t="s">
        <v>257</v>
      </c>
      <c r="C64" s="2" t="s">
        <v>258</v>
      </c>
      <c r="D64" s="2" t="s">
        <v>44</v>
      </c>
      <c r="E64" s="2" t="s">
        <v>27</v>
      </c>
      <c r="F64" s="2" t="s">
        <v>15</v>
      </c>
      <c r="G64" s="2" t="s">
        <v>126</v>
      </c>
      <c r="H64" s="2" t="s">
        <v>57</v>
      </c>
      <c r="I64" s="2" t="str">
        <f>IFERROR(__xludf.DUMMYFUNCTION("GOOGLETRANSLATE(C64,""fr"",""en"")"),"I am a little disappointed to see that my subscription has increased! Without any valid explanation or justification when I had no statement of a claim in 2 years. So I think I change insurance quickly")</f>
        <v>I am a little disappointed to see that my subscription has increased! Without any valid explanation or justification when I had no statement of a claim in 2 years. So I think I change insurance quickly</v>
      </c>
    </row>
    <row r="65" ht="15.75" customHeight="1">
      <c r="A65" s="2">
        <v>5.0</v>
      </c>
      <c r="B65" s="2" t="s">
        <v>259</v>
      </c>
      <c r="C65" s="2" t="s">
        <v>260</v>
      </c>
      <c r="D65" s="2" t="s">
        <v>26</v>
      </c>
      <c r="E65" s="2" t="s">
        <v>27</v>
      </c>
      <c r="F65" s="2" t="s">
        <v>15</v>
      </c>
      <c r="G65" s="2" t="s">
        <v>261</v>
      </c>
      <c r="H65" s="2" t="s">
        <v>159</v>
      </c>
      <c r="I65" s="2" t="str">
        <f>IFERROR(__xludf.DUMMYFUNCTION("GOOGLETRANSLATE(C65,""fr"",""en"")"),"I am very satisfied, is price I but 4 star without doubt, thank you is you wish a good day to all thank you is good day")</f>
        <v>I am very satisfied, is price I but 4 star without doubt, thank you is you wish a good day to all thank you is good day</v>
      </c>
    </row>
    <row r="66" ht="15.75" customHeight="1">
      <c r="A66" s="2">
        <v>4.0</v>
      </c>
      <c r="B66" s="2" t="s">
        <v>262</v>
      </c>
      <c r="C66" s="2" t="s">
        <v>263</v>
      </c>
      <c r="D66" s="2" t="s">
        <v>44</v>
      </c>
      <c r="E66" s="2" t="s">
        <v>27</v>
      </c>
      <c r="F66" s="2" t="s">
        <v>15</v>
      </c>
      <c r="G66" s="2" t="s">
        <v>264</v>
      </c>
      <c r="H66" s="2" t="s">
        <v>23</v>
      </c>
      <c r="I66" s="2" t="str">
        <f>IFERROR(__xludf.DUMMYFUNCTION("GOOGLETRANSLATE(C66,""fr"",""en"")"),"Satisfied with the price and more I will recommend you to certain people. Therefore does not exist a sponsorship in your home. If so, please confirm it by email")</f>
        <v>Satisfied with the price and more I will recommend you to certain people. Therefore does not exist a sponsorship in your home. If so, please confirm it by email</v>
      </c>
    </row>
    <row r="67" ht="15.75" customHeight="1">
      <c r="A67" s="2">
        <v>1.0</v>
      </c>
      <c r="B67" s="2" t="s">
        <v>265</v>
      </c>
      <c r="C67" s="2" t="s">
        <v>266</v>
      </c>
      <c r="D67" s="2" t="s">
        <v>129</v>
      </c>
      <c r="E67" s="2" t="s">
        <v>27</v>
      </c>
      <c r="F67" s="2" t="s">
        <v>15</v>
      </c>
      <c r="G67" s="2" t="s">
        <v>267</v>
      </c>
      <c r="H67" s="2" t="s">
        <v>268</v>
      </c>
      <c r="I67" s="2" t="str">
        <f>IFERROR(__xludf.DUMMYFUNCTION("GOOGLETRANSLATE(C67,""fr"",""en"")"),"Contract n ° 230526 I signed a contract at this insurance I did not receive a green card all the year of insurance 30/10/2016 at 30/10/2017 However I paid all year. Impossible communication, call center incompetent cord an incorrect address. He does not w"&amp;"ant to terminate my contract. I did not receive a information statement. catastrophic assurance.")</f>
        <v>Contract n ° 230526 I signed a contract at this insurance I did not receive a green card all the year of insurance 30/10/2016 at 30/10/2017 However I paid all year. Impossible communication, call center incompetent cord an incorrect address. He does not want to terminate my contract. I did not receive a information statement. catastrophic assurance.</v>
      </c>
    </row>
    <row r="68" ht="15.75" customHeight="1">
      <c r="A68" s="2">
        <v>2.0</v>
      </c>
      <c r="B68" s="2" t="s">
        <v>269</v>
      </c>
      <c r="C68" s="2" t="s">
        <v>270</v>
      </c>
      <c r="D68" s="2" t="s">
        <v>44</v>
      </c>
      <c r="E68" s="2" t="s">
        <v>27</v>
      </c>
      <c r="F68" s="2" t="s">
        <v>15</v>
      </c>
      <c r="G68" s="2" t="s">
        <v>40</v>
      </c>
      <c r="H68" s="2" t="s">
        <v>41</v>
      </c>
      <c r="I68" s="2" t="str">
        <f>IFERROR(__xludf.DUMMYFUNCTION("GOOGLETRANSLATE(C68,""fr"",""en"")"),"The idea is very interesting. However, the implementation is catastrophic for me. The module works once out of 10. Lately, he put me a very bad note, so I decided to be very careful and to drive quietly to balance everything and the note received is worse"&amp;" than before! incomprehensible.")</f>
        <v>The idea is very interesting. However, the implementation is catastrophic for me. The module works once out of 10. Lately, he put me a very bad note, so I decided to be very careful and to drive quietly to balance everything and the note received is worse than before! incomprehensible.</v>
      </c>
    </row>
    <row r="69" ht="15.75" customHeight="1">
      <c r="A69" s="2">
        <v>1.0</v>
      </c>
      <c r="B69" s="2" t="s">
        <v>271</v>
      </c>
      <c r="C69" s="2" t="s">
        <v>272</v>
      </c>
      <c r="D69" s="2" t="s">
        <v>273</v>
      </c>
      <c r="E69" s="2" t="s">
        <v>33</v>
      </c>
      <c r="F69" s="2" t="s">
        <v>15</v>
      </c>
      <c r="G69" s="2" t="s">
        <v>274</v>
      </c>
      <c r="H69" s="2" t="s">
        <v>41</v>
      </c>
      <c r="I69" s="2" t="str">
        <f>IFERROR(__xludf.DUMMYFUNCTION("GOOGLETRANSLATE(C69,""fr"",""en"")"),"Hello
Groupama insurance for shareholders not to assume them
I am really disappointed with the Groupama (for a disaster at 65 €
Following a claim our son to send the ball on the pair of glasses of the sports teacher
The sum for repairs is € 65 but the"&amp;" deductible is € 140
So Groupama does not reimburse repairs to the teacher.
I am so ashamed of Groupama
I will pay with respect for the repairs of degradation for the sum of € 65
Our son at 16 and always was assured in Groupama a claim in 13 years
Fo"&amp;"r the sum D 65 €
And strongly advise against groupama")</f>
        <v>Hello
Groupama insurance for shareholders not to assume them
I am really disappointed with the Groupama (for a disaster at 65 €
Following a claim our son to send the ball on the pair of glasses of the sports teacher
The sum for repairs is € 65 but the deductible is € 140
So Groupama does not reimburse repairs to the teacher.
I am so ashamed of Groupama
I will pay with respect for the repairs of degradation for the sum of € 65
Our son at 16 and always was assured in Groupama a claim in 13 years
For the sum D 65 €
And strongly advise against groupama</v>
      </c>
    </row>
    <row r="70" ht="15.75" customHeight="1">
      <c r="A70" s="2">
        <v>1.0</v>
      </c>
      <c r="B70" s="2" t="s">
        <v>275</v>
      </c>
      <c r="C70" s="2" t="s">
        <v>276</v>
      </c>
      <c r="D70" s="2" t="s">
        <v>148</v>
      </c>
      <c r="E70" s="2" t="s">
        <v>27</v>
      </c>
      <c r="F70" s="2" t="s">
        <v>15</v>
      </c>
      <c r="G70" s="2" t="s">
        <v>277</v>
      </c>
      <c r="H70" s="2" t="s">
        <v>278</v>
      </c>
      <c r="I70" s="2" t="str">
        <f>IFERROR(__xludf.DUMMYFUNCTION("GOOGLETRANSLATE(C70,""fr"",""en"")"),"To follow up on the previous one I have also just received the same mail, that my contracts were terminated following the alteration of our commercial relationship. After several calls nobody knew how to give me a reason for all that. In any case I wanted"&amp;" to greet the mutualist spirit of Maif, with which I find myself paying double contribution to the near another insurer when I was terminated without reason, and something that is on they are Faster to terminate you than helping you in your efforts in the"&amp;" event of a claim.")</f>
        <v>To follow up on the previous one I have also just received the same mail, that my contracts were terminated following the alteration of our commercial relationship. After several calls nobody knew how to give me a reason for all that. In any case I wanted to greet the mutualist spirit of Maif, with which I find myself paying double contribution to the near another insurer when I was terminated without reason, and something that is on they are Faster to terminate you than helping you in your efforts in the event of a claim.</v>
      </c>
    </row>
    <row r="71" ht="15.75" customHeight="1">
      <c r="A71" s="2">
        <v>4.0</v>
      </c>
      <c r="B71" s="2" t="s">
        <v>279</v>
      </c>
      <c r="C71" s="2" t="s">
        <v>280</v>
      </c>
      <c r="D71" s="2" t="s">
        <v>26</v>
      </c>
      <c r="E71" s="2" t="s">
        <v>27</v>
      </c>
      <c r="F71" s="2" t="s">
        <v>15</v>
      </c>
      <c r="G71" s="2" t="s">
        <v>281</v>
      </c>
      <c r="H71" s="2" t="s">
        <v>23</v>
      </c>
      <c r="I71" s="2" t="str">
        <f>IFERROR(__xludf.DUMMYFUNCTION("GOOGLETRANSLATE(C71,""fr"",""en"")"),"I am satisfied with the service.
The advisers are very friendly and attentive. Little waiting on telephone service
The prices are respectable.")</f>
        <v>I am satisfied with the service.
The advisers are very friendly and attentive. Little waiting on telephone service
The prices are respectable.</v>
      </c>
    </row>
    <row r="72" ht="15.75" customHeight="1">
      <c r="A72" s="2">
        <v>1.0</v>
      </c>
      <c r="B72" s="2" t="s">
        <v>282</v>
      </c>
      <c r="C72" s="2" t="s">
        <v>283</v>
      </c>
      <c r="D72" s="2" t="s">
        <v>100</v>
      </c>
      <c r="E72" s="2" t="s">
        <v>76</v>
      </c>
      <c r="F72" s="2" t="s">
        <v>15</v>
      </c>
      <c r="G72" s="2" t="s">
        <v>284</v>
      </c>
      <c r="H72" s="2" t="s">
        <v>278</v>
      </c>
      <c r="I72" s="2" t="str">
        <f>IFERROR(__xludf.DUMMYFUNCTION("GOOGLETRANSLATE(C72,""fr"",""en"")"),"Hello,
My husband has been in ALD since April 7, 2020 we have sent the documents by the site and to date all of us live at 5 with 440 euros every 15 days of the SS when I call them the same answer we went up Info at the management department we are in a "&amp;"critical financial situation but nothing to do with it she tells me that she puts herself in our place how she can tell us that when she receives her full salary. Today on 11/23/2020 The management service deals with the complaints of 08/19/2020 and we co"&amp;"mplaint dates back to 09/21/2020 It is not conceivable insurance like that must be denounced and that nobody takes A contract with them I am seeing for a legal appeal I ask those who have already been to give me pipes because I can no longer.
Thank you f"&amp;"or reading me")</f>
        <v>Hello,
My husband has been in ALD since April 7, 2020 we have sent the documents by the site and to date all of us live at 5 with 440 euros every 15 days of the SS when I call them the same answer we went up Info at the management department we are in a critical financial situation but nothing to do with it she tells me that she puts herself in our place how she can tell us that when she receives her full salary. Today on 11/23/2020 The management service deals with the complaints of 08/19/2020 and we complaint dates back to 09/21/2020 It is not conceivable insurance like that must be denounced and that nobody takes A contract with them I am seeing for a legal appeal I ask those who have already been to give me pipes because I can no longer.
Thank you for reading me</v>
      </c>
    </row>
    <row r="73" ht="15.75" customHeight="1">
      <c r="A73" s="2">
        <v>4.0</v>
      </c>
      <c r="B73" s="2" t="s">
        <v>285</v>
      </c>
      <c r="C73" s="2" t="s">
        <v>286</v>
      </c>
      <c r="D73" s="2" t="s">
        <v>26</v>
      </c>
      <c r="E73" s="2" t="s">
        <v>27</v>
      </c>
      <c r="F73" s="2" t="s">
        <v>15</v>
      </c>
      <c r="G73" s="2" t="s">
        <v>287</v>
      </c>
      <c r="H73" s="2" t="s">
        <v>23</v>
      </c>
      <c r="I73" s="2" t="str">
        <f>IFERROR(__xludf.DUMMYFUNCTION("GOOGLETRANSLATE(C73,""fr"",""en"")"),"Satisfied with the connection with customers.
Nice and warm staff.
Good price/price report.
Intuitive website is well developed.")</f>
        <v>Satisfied with the connection with customers.
Nice and warm staff.
Good price/price report.
Intuitive website is well developed.</v>
      </c>
    </row>
    <row r="74" ht="15.75" customHeight="1">
      <c r="A74" s="2">
        <v>4.0</v>
      </c>
      <c r="B74" s="2" t="s">
        <v>288</v>
      </c>
      <c r="C74" s="2" t="s">
        <v>289</v>
      </c>
      <c r="D74" s="2" t="s">
        <v>60</v>
      </c>
      <c r="E74" s="2" t="s">
        <v>14</v>
      </c>
      <c r="F74" s="2" t="s">
        <v>15</v>
      </c>
      <c r="G74" s="2" t="s">
        <v>290</v>
      </c>
      <c r="H74" s="2" t="s">
        <v>159</v>
      </c>
      <c r="I74" s="2" t="str">
        <f>IFERROR(__xludf.DUMMYFUNCTION("GOOGLETRANSLATE(C74,""fr"",""en"")"),"Client for 2 years, very good customer relations service, the Lamia advisor solved my problem and guided me as best as possible, very satisfied!")</f>
        <v>Client for 2 years, very good customer relations service, the Lamia advisor solved my problem and guided me as best as possible, very satisfied!</v>
      </c>
    </row>
    <row r="75" ht="15.75" customHeight="1">
      <c r="A75" s="2">
        <v>1.0</v>
      </c>
      <c r="B75" s="2" t="s">
        <v>291</v>
      </c>
      <c r="C75" s="2" t="s">
        <v>292</v>
      </c>
      <c r="D75" s="2" t="s">
        <v>55</v>
      </c>
      <c r="E75" s="2" t="s">
        <v>14</v>
      </c>
      <c r="F75" s="2" t="s">
        <v>15</v>
      </c>
      <c r="G75" s="2" t="s">
        <v>293</v>
      </c>
      <c r="H75" s="2" t="s">
        <v>294</v>
      </c>
      <c r="I75" s="2" t="str">
        <f>IFERROR(__xludf.DUMMYFUNCTION("GOOGLETRANSLATE(C75,""fr"",""en"")"),"Cut the Noémie connection before the final termination date which requires advancing medical costs knowing that it had already taken a certain period for the implementation. No card renewal sending therefore without rights for pharmacies that make you pas"&amp;"s for a bad payer then EU of course.")</f>
        <v>Cut the Noémie connection before the final termination date which requires advancing medical costs knowing that it had already taken a certain period for the implementation. No card renewal sending therefore without rights for pharmacies that make you pass for a bad payer then EU of course.</v>
      </c>
    </row>
    <row r="76" ht="15.75" customHeight="1">
      <c r="A76" s="2">
        <v>4.0</v>
      </c>
      <c r="B76" s="2" t="s">
        <v>295</v>
      </c>
      <c r="C76" s="2" t="s">
        <v>296</v>
      </c>
      <c r="D76" s="2" t="s">
        <v>44</v>
      </c>
      <c r="E76" s="2" t="s">
        <v>27</v>
      </c>
      <c r="F76" s="2" t="s">
        <v>15</v>
      </c>
      <c r="G76" s="2" t="s">
        <v>297</v>
      </c>
      <c r="H76" s="2" t="s">
        <v>46</v>
      </c>
      <c r="I76" s="2" t="str">
        <f>IFERROR(__xludf.DUMMYFUNCTION("GOOGLETRANSLATE(C76,""fr"",""en"")"),"I am very satisfied with the service if I do not receive calls without stopping advisers who do not answer. The prices are very affordable, a pity that we should think at once, and not in monthly payments!")</f>
        <v>I am very satisfied with the service if I do not receive calls without stopping advisers who do not answer. The prices are very affordable, a pity that we should think at once, and not in monthly payments!</v>
      </c>
    </row>
    <row r="77" ht="15.75" customHeight="1">
      <c r="A77" s="2">
        <v>1.0</v>
      </c>
      <c r="B77" s="2" t="s">
        <v>298</v>
      </c>
      <c r="C77" s="2" t="s">
        <v>299</v>
      </c>
      <c r="D77" s="2" t="s">
        <v>148</v>
      </c>
      <c r="E77" s="2" t="s">
        <v>33</v>
      </c>
      <c r="F77" s="2" t="s">
        <v>15</v>
      </c>
      <c r="G77" s="2" t="s">
        <v>300</v>
      </c>
      <c r="H77" s="2" t="s">
        <v>301</v>
      </c>
      <c r="I77" s="2" t="str">
        <f>IFERROR(__xludf.DUMMYFUNCTION("GOOGLETRANSLATE(C77,""fr"",""en"")"),"Nullissime insurance. Very important concerns of the structure of my house, probably due to field movements: first emergency call, my case does not enter the boxes, recall tomorrow; Subsequently: Total refusal to take care of anything, expert, compensatio"&amp;"n, nor anything. Only contempt.")</f>
        <v>Nullissime insurance. Very important concerns of the structure of my house, probably due to field movements: first emergency call, my case does not enter the boxes, recall tomorrow; Subsequently: Total refusal to take care of anything, expert, compensation, nor anything. Only contempt.</v>
      </c>
    </row>
    <row r="78" ht="15.75" customHeight="1">
      <c r="A78" s="2">
        <v>1.0</v>
      </c>
      <c r="B78" s="2" t="s">
        <v>302</v>
      </c>
      <c r="C78" s="2" t="s">
        <v>303</v>
      </c>
      <c r="D78" s="2" t="s">
        <v>109</v>
      </c>
      <c r="E78" s="2" t="s">
        <v>27</v>
      </c>
      <c r="F78" s="2" t="s">
        <v>15</v>
      </c>
      <c r="G78" s="2" t="s">
        <v>304</v>
      </c>
      <c r="H78" s="2" t="s">
        <v>17</v>
      </c>
      <c r="I78" s="2" t="str">
        <f>IFERROR(__xludf.DUMMYFUNCTION("GOOGLETRANSLATE(C78,""fr"",""en"")"),"To flee!!! With them for more than 15 years, I had 2 sinister Casi at the same time, hail + vandalism. They made me pay 2 franchises at 480 each because 2 different files. I therefore ask them for a commercial gesture on the 2nd franchise .... a big one w"&amp;"ill see elsewhere if I am there. I closed all my insurances at home and left to see elsewhere and it is much better among others.
Incompetents who do not listen to their insured.")</f>
        <v>To flee!!! With them for more than 15 years, I had 2 sinister Casi at the same time, hail + vandalism. They made me pay 2 franchises at 480 each because 2 different files. I therefore ask them for a commercial gesture on the 2nd franchise .... a big one will see elsewhere if I am there. I closed all my insurances at home and left to see elsewhere and it is much better among others.
Incompetents who do not listen to their insured.</v>
      </c>
    </row>
    <row r="79" ht="15.75" customHeight="1">
      <c r="A79" s="2">
        <v>3.0</v>
      </c>
      <c r="B79" s="2" t="s">
        <v>305</v>
      </c>
      <c r="C79" s="2" t="s">
        <v>306</v>
      </c>
      <c r="D79" s="2" t="s">
        <v>55</v>
      </c>
      <c r="E79" s="2" t="s">
        <v>14</v>
      </c>
      <c r="F79" s="2" t="s">
        <v>15</v>
      </c>
      <c r="G79" s="2" t="s">
        <v>118</v>
      </c>
      <c r="H79" s="2" t="s">
        <v>119</v>
      </c>
      <c r="I79" s="2" t="str">
        <f>IFERROR(__xludf.DUMMYFUNCTION("GOOGLETRANSLATE(C79,""fr"",""en"")"),"Erika very pleasant to talk to the phone and listening to the customer includes the problem quickly")</f>
        <v>Erika very pleasant to talk to the phone and listening to the customer includes the problem quickly</v>
      </c>
    </row>
    <row r="80" ht="15.75" customHeight="1">
      <c r="A80" s="2">
        <v>5.0</v>
      </c>
      <c r="B80" s="2" t="s">
        <v>307</v>
      </c>
      <c r="C80" s="2" t="s">
        <v>308</v>
      </c>
      <c r="D80" s="2" t="s">
        <v>26</v>
      </c>
      <c r="E80" s="2" t="s">
        <v>27</v>
      </c>
      <c r="F80" s="2" t="s">
        <v>15</v>
      </c>
      <c r="G80" s="2" t="s">
        <v>309</v>
      </c>
      <c r="H80" s="2" t="s">
        <v>29</v>
      </c>
      <c r="I80" s="2" t="str">
        <f>IFERROR(__xludf.DUMMYFUNCTION("GOOGLETRANSLATE(C80,""fr"",""en"")"),"Satisfied, the price is correct with regard to the guarantees offered
The advisor was nice and listening, he answered all my questions, do not hesitate to give him money in addition at the end of this month, he did not ask me anything, I Write this becau"&amp;"se if you have a customer relations manager, it will probably be laughing at reading this, however, still think of giving him money after laughing ...")</f>
        <v>Satisfied, the price is correct with regard to the guarantees offered
The advisor was nice and listening, he answered all my questions, do not hesitate to give him money in addition at the end of this month, he did not ask me anything, I Write this because if you have a customer relations manager, it will probably be laughing at reading this, however, still think of giving him money after laughing ...</v>
      </c>
    </row>
    <row r="81" ht="15.75" customHeight="1">
      <c r="A81" s="2">
        <v>5.0</v>
      </c>
      <c r="B81" s="2" t="s">
        <v>310</v>
      </c>
      <c r="C81" s="2" t="s">
        <v>311</v>
      </c>
      <c r="D81" s="2" t="s">
        <v>26</v>
      </c>
      <c r="E81" s="2" t="s">
        <v>27</v>
      </c>
      <c r="F81" s="2" t="s">
        <v>15</v>
      </c>
      <c r="G81" s="2" t="s">
        <v>312</v>
      </c>
      <c r="H81" s="2" t="s">
        <v>35</v>
      </c>
      <c r="I81" s="2" t="str">
        <f>IFERROR(__xludf.DUMMYFUNCTION("GOOGLETRANSLATE(C81,""fr"",""en"")"),"I am satisfied with the price and the services that I was told.
In addition, the guarantees are clear for me.
Now all you have to do is see with this insurance if everything is going well!")</f>
        <v>I am satisfied with the price and the services that I was told.
In addition, the guarantees are clear for me.
Now all you have to do is see with this insurance if everything is going well!</v>
      </c>
    </row>
    <row r="82" ht="15.75" customHeight="1">
      <c r="A82" s="2">
        <v>3.0</v>
      </c>
      <c r="B82" s="2" t="s">
        <v>313</v>
      </c>
      <c r="C82" s="2" t="s">
        <v>314</v>
      </c>
      <c r="D82" s="2" t="s">
        <v>315</v>
      </c>
      <c r="E82" s="2" t="s">
        <v>21</v>
      </c>
      <c r="F82" s="2" t="s">
        <v>15</v>
      </c>
      <c r="G82" s="2" t="s">
        <v>316</v>
      </c>
      <c r="H82" s="2" t="s">
        <v>184</v>
      </c>
      <c r="I82" s="2" t="str">
        <f>IFERROR(__xludf.DUMMYFUNCTION("GOOGLETRANSLATE(C82,""fr"",""en"")"),"Hi there,
Like many people here first seen, find that the Sogecap its incompetent and well I confirm it!
I have been 2 years since I was fighting with them for a performance that I pay every month!
Lost document, request for duplicates, we tell you I r"&amp;"emind you but no one reminds you etc .....
Clearly I do not recommend this insurance!
In July 2018 I fell ill in their contract it is specifying that the Sogecap take over at the end of the 91th day but it started to take care of after 330 days that is "&amp;"11 months later and after its monthly transfer but Always claimed parts and in addition already provided in order to save time !!!!
It's been 2 years that I have been unable to work but he still has it to ask me for parts
To date I am in disability and "&amp;"its facts 5 months the SOGECAP does not pay me for a parking it takes well every month from my account.
So made like me, I am no longer at 6 months ready so I take a procedure with the court article 1103 and 1231-1 of the civil code finally that this ins"&amp;"urance is punished by law.
I will put a petition against SOGECAP online or I will send you the links so that it respects their contract.
Thanking you
 ")</f>
        <v>Hi there,
Like many people here first seen, find that the Sogecap its incompetent and well I confirm it!
I have been 2 years since I was fighting with them for a performance that I pay every month!
Lost document, request for duplicates, we tell you I remind you but no one reminds you etc .....
Clearly I do not recommend this insurance!
In July 2018 I fell ill in their contract it is specifying that the Sogecap take over at the end of the 91th day but it started to take care of after 330 days that is 11 months later and after its monthly transfer but Always claimed parts and in addition already provided in order to save time !!!!
It's been 2 years that I have been unable to work but he still has it to ask me for parts
To date I am in disability and its facts 5 months the SOGECAP does not pay me for a parking it takes well every month from my account.
So made like me, I am no longer at 6 months ready so I take a procedure with the court article 1103 and 1231-1 of the civil code finally that this insurance is punished by law.
I will put a petition against SOGECAP online or I will send you the links so that it respects their contract.
Thanking you
 </v>
      </c>
    </row>
    <row r="83" ht="15.75" customHeight="1">
      <c r="A83" s="2">
        <v>1.0</v>
      </c>
      <c r="B83" s="2" t="s">
        <v>317</v>
      </c>
      <c r="C83" s="2" t="s">
        <v>318</v>
      </c>
      <c r="D83" s="2" t="s">
        <v>204</v>
      </c>
      <c r="E83" s="2" t="s">
        <v>27</v>
      </c>
      <c r="F83" s="2" t="s">
        <v>15</v>
      </c>
      <c r="G83" s="2" t="s">
        <v>319</v>
      </c>
      <c r="H83" s="2" t="s">
        <v>320</v>
      </c>
      <c r="I83" s="2" t="str">
        <f>IFERROR(__xludf.DUMMYFUNCTION("GOOGLETRANSLATE(C83,""fr"",""en"")"),"to flee !!!!! not responsible for all if you have children don't care !!
Several months to reimburse BCP of paperwork to save time even during a non -responsible disaster with children.
Finally I gave up and I changed assaarnce, I can tell you that it i"&amp;"s different relationship level and processing file during a sinister")</f>
        <v>to flee !!!!! not responsible for all if you have children don't care !!
Several months to reimburse BCP of paperwork to save time even during a non -responsible disaster with children.
Finally I gave up and I changed assaarnce, I can tell you that it is different relationship level and processing file during a sinister</v>
      </c>
    </row>
    <row r="84" ht="15.75" customHeight="1">
      <c r="A84" s="2">
        <v>2.0</v>
      </c>
      <c r="B84" s="2" t="s">
        <v>321</v>
      </c>
      <c r="C84" s="2" t="s">
        <v>322</v>
      </c>
      <c r="D84" s="2" t="s">
        <v>44</v>
      </c>
      <c r="E84" s="2" t="s">
        <v>27</v>
      </c>
      <c r="F84" s="2" t="s">
        <v>15</v>
      </c>
      <c r="G84" s="2" t="s">
        <v>323</v>
      </c>
      <c r="H84" s="2" t="s">
        <v>324</v>
      </c>
      <c r="I84" s="2" t="str">
        <f>IFERROR(__xludf.DUMMYFUNCTION("GOOGLETRANSLATE(C84,""fr"",""en"")"),"Insatistant customer service - fairly high deductible in the event of a disaster, which explains the monthly price can rise.
")</f>
        <v>Insatistant customer service - fairly high deductible in the event of a disaster, which explains the monthly price can rise.
</v>
      </c>
    </row>
    <row r="85" ht="15.75" customHeight="1">
      <c r="A85" s="2">
        <v>4.0</v>
      </c>
      <c r="B85" s="2" t="s">
        <v>325</v>
      </c>
      <c r="C85" s="2" t="s">
        <v>326</v>
      </c>
      <c r="D85" s="2" t="s">
        <v>44</v>
      </c>
      <c r="E85" s="2" t="s">
        <v>27</v>
      </c>
      <c r="F85" s="2" t="s">
        <v>15</v>
      </c>
      <c r="G85" s="2" t="s">
        <v>238</v>
      </c>
      <c r="H85" s="2" t="s">
        <v>35</v>
      </c>
      <c r="I85" s="2" t="str">
        <f>IFERROR(__xludf.DUMMYFUNCTION("GOOGLETRANSLATE(C85,""fr"",""en"")"),"Interesting price, more logical compared to my old insurance too high despite any claims for years by counting my bonuses, and having had an increase in the contribution")</f>
        <v>Interesting price, more logical compared to my old insurance too high despite any claims for years by counting my bonuses, and having had an increase in the contribution</v>
      </c>
    </row>
    <row r="86" ht="15.75" customHeight="1">
      <c r="A86" s="2">
        <v>2.0</v>
      </c>
      <c r="B86" s="2" t="s">
        <v>327</v>
      </c>
      <c r="C86" s="2" t="s">
        <v>328</v>
      </c>
      <c r="D86" s="2" t="s">
        <v>273</v>
      </c>
      <c r="E86" s="2" t="s">
        <v>33</v>
      </c>
      <c r="F86" s="2" t="s">
        <v>15</v>
      </c>
      <c r="G86" s="2" t="s">
        <v>329</v>
      </c>
      <c r="H86" s="2" t="s">
        <v>206</v>
      </c>
      <c r="I86" s="2" t="str">
        <f>IFERROR(__xludf.DUMMYFUNCTION("GOOGLETRANSLATE(C86,""fr"",""en"")"),"The insurer Groupama terminated us on a claim not even taken care of in the contract (on a field in joint ownership), so they did not pay anything ... and worth 100 € ...")</f>
        <v>The insurer Groupama terminated us on a claim not even taken care of in the contract (on a field in joint ownership), so they did not pay anything ... and worth 100 € ...</v>
      </c>
    </row>
    <row r="87" ht="15.75" customHeight="1">
      <c r="A87" s="2">
        <v>1.0</v>
      </c>
      <c r="B87" s="2" t="s">
        <v>330</v>
      </c>
      <c r="C87" s="2" t="s">
        <v>331</v>
      </c>
      <c r="D87" s="2" t="s">
        <v>332</v>
      </c>
      <c r="E87" s="2" t="s">
        <v>21</v>
      </c>
      <c r="F87" s="2" t="s">
        <v>15</v>
      </c>
      <c r="G87" s="2" t="s">
        <v>126</v>
      </c>
      <c r="H87" s="2" t="s">
        <v>57</v>
      </c>
      <c r="I87" s="2" t="str">
        <f>IFERROR(__xludf.DUMMYFUNCTION("GOOGLETRANSLATE(C87,""fr"",""en"")"),"The proposal you made to us satisfied with us, the file is very simple and very fast validation, our interlocutor Benjamin is very friendly, and always available.
Thanking you.")</f>
        <v>The proposal you made to us satisfied with us, the file is very simple and very fast validation, our interlocutor Benjamin is very friendly, and always available.
Thanking you.</v>
      </c>
    </row>
    <row r="88" ht="15.75" customHeight="1">
      <c r="A88" s="2">
        <v>4.0</v>
      </c>
      <c r="B88" s="2" t="s">
        <v>333</v>
      </c>
      <c r="C88" s="2" t="s">
        <v>334</v>
      </c>
      <c r="D88" s="2" t="s">
        <v>44</v>
      </c>
      <c r="E88" s="2" t="s">
        <v>27</v>
      </c>
      <c r="F88" s="2" t="s">
        <v>15</v>
      </c>
      <c r="G88" s="2" t="s">
        <v>335</v>
      </c>
      <c r="H88" s="2" t="s">
        <v>29</v>
      </c>
      <c r="I88" s="2" t="str">
        <f>IFERROR(__xludf.DUMMYFUNCTION("GOOGLETRANSLATE(C88,""fr"",""en"")"),"Satisfied with service and telephone reception. A call, a quote, a subscription.
Claire net and precise.
All information is transmitted and immediate subscription")</f>
        <v>Satisfied with service and telephone reception. A call, a quote, a subscription.
Claire net and precise.
All information is transmitted and immediate subscription</v>
      </c>
    </row>
    <row r="89" ht="15.75" customHeight="1">
      <c r="A89" s="2">
        <v>5.0</v>
      </c>
      <c r="B89" s="2" t="s">
        <v>336</v>
      </c>
      <c r="C89" s="2" t="s">
        <v>337</v>
      </c>
      <c r="D89" s="2" t="s">
        <v>55</v>
      </c>
      <c r="E89" s="2" t="s">
        <v>14</v>
      </c>
      <c r="F89" s="2" t="s">
        <v>15</v>
      </c>
      <c r="G89" s="2" t="s">
        <v>338</v>
      </c>
      <c r="H89" s="2" t="s">
        <v>339</v>
      </c>
      <c r="I89" s="2" t="str">
        <f>IFERROR(__xludf.DUMMYFUNCTION("GOOGLETRANSLATE(C89,""fr"",""en"")"),"I was satisfied with my Mutual Santée coverage in Neoliane for 1 years; This is why I come back to you today, the price and the reimbursements are satisfactory.")</f>
        <v>I was satisfied with my Mutual Santée coverage in Neoliane for 1 years; This is why I come back to you today, the price and the reimbursements are satisfactory.</v>
      </c>
    </row>
    <row r="90" ht="15.75" customHeight="1">
      <c r="A90" s="2">
        <v>1.0</v>
      </c>
      <c r="B90" s="2" t="s">
        <v>340</v>
      </c>
      <c r="C90" s="2" t="s">
        <v>341</v>
      </c>
      <c r="D90" s="2" t="s">
        <v>204</v>
      </c>
      <c r="E90" s="2" t="s">
        <v>27</v>
      </c>
      <c r="F90" s="2" t="s">
        <v>15</v>
      </c>
      <c r="G90" s="2" t="s">
        <v>342</v>
      </c>
      <c r="H90" s="2" t="s">
        <v>343</v>
      </c>
      <c r="I90" s="2" t="str">
        <f>IFERROR(__xludf.DUMMYFUNCTION("GOOGLETRANSLATE(C90,""fr"",""en"")"),"Unreachable, whether by email by phone, I called 25 times + 8 emails and I even tried by private message on Twitter ^^ (I am pissed off and desperate) I still have no response, today I Just want to terminate and no one is able to answer me either ?? I bit"&amp;"terly regret having left my old insurer ...")</f>
        <v>Unreachable, whether by email by phone, I called 25 times + 8 emails and I even tried by private message on Twitter ^^ (I am pissed off and desperate) I still have no response, today I Just want to terminate and no one is able to answer me either ?? I bitterly regret having left my old insurer ...</v>
      </c>
    </row>
    <row r="91" ht="15.75" customHeight="1">
      <c r="A91" s="2">
        <v>5.0</v>
      </c>
      <c r="B91" s="2" t="s">
        <v>344</v>
      </c>
      <c r="C91" s="2" t="s">
        <v>345</v>
      </c>
      <c r="D91" s="2" t="s">
        <v>55</v>
      </c>
      <c r="E91" s="2" t="s">
        <v>14</v>
      </c>
      <c r="F91" s="2" t="s">
        <v>15</v>
      </c>
      <c r="G91" s="2" t="s">
        <v>346</v>
      </c>
      <c r="H91" s="2" t="s">
        <v>177</v>
      </c>
      <c r="I91" s="2" t="str">
        <f>IFERROR(__xludf.DUMMYFUNCTION("GOOGLETRANSLATE(C91,""fr"",""en"")"),"Very pleasant and very professional. The advisor has referred to me perfectly. I highly recommend. Very attractive prices and the guarantees of Noliane Santé Senior We make the difference")</f>
        <v>Very pleasant and very professional. The advisor has referred to me perfectly. I highly recommend. Very attractive prices and the guarantees of Noliane Santé Senior We make the difference</v>
      </c>
    </row>
    <row r="92" ht="15.75" customHeight="1">
      <c r="A92" s="2">
        <v>4.0</v>
      </c>
      <c r="B92" s="2" t="s">
        <v>347</v>
      </c>
      <c r="C92" s="2" t="s">
        <v>348</v>
      </c>
      <c r="D92" s="2" t="s">
        <v>26</v>
      </c>
      <c r="E92" s="2" t="s">
        <v>27</v>
      </c>
      <c r="F92" s="2" t="s">
        <v>15</v>
      </c>
      <c r="G92" s="2" t="s">
        <v>198</v>
      </c>
      <c r="H92" s="2" t="s">
        <v>29</v>
      </c>
      <c r="I92" s="2" t="str">
        <f>IFERROR(__xludf.DUMMYFUNCTION("GOOGLETRANSLATE(C92,""fr"",""en"")"),"Efficient team In the event of information, car contracts remain interesting at the guaranteed point and price. To see for surely other contracts with this company.")</f>
        <v>Efficient team In the event of information, car contracts remain interesting at the guaranteed point and price. To see for surely other contracts with this company.</v>
      </c>
    </row>
    <row r="93" ht="15.75" customHeight="1">
      <c r="A93" s="2">
        <v>2.0</v>
      </c>
      <c r="B93" s="2" t="s">
        <v>349</v>
      </c>
      <c r="C93" s="2" t="s">
        <v>350</v>
      </c>
      <c r="D93" s="2" t="s">
        <v>129</v>
      </c>
      <c r="E93" s="2" t="s">
        <v>27</v>
      </c>
      <c r="F93" s="2" t="s">
        <v>15</v>
      </c>
      <c r="G93" s="2" t="s">
        <v>351</v>
      </c>
      <c r="H93" s="2" t="s">
        <v>268</v>
      </c>
      <c r="I93" s="2" t="str">
        <f>IFERROR(__xludf.DUMMYFUNCTION("GOOGLETRANSLATE(C93,""fr"",""en"")"),"To flee, in case of cancellation they never reimburse, they are unreachable, no response to emails. When they answer on the phone they are very slow 80 cents per minute !!!! The day after we paid by card our card was suddenly used in Mexico 3 times and ou"&amp;"r bank blocked the card fortunately. We reported this company to the police.")</f>
        <v>To flee, in case of cancellation they never reimburse, they are unreachable, no response to emails. When they answer on the phone they are very slow 80 cents per minute !!!! The day after we paid by card our card was suddenly used in Mexico 3 times and our bank blocked the card fortunately. We reported this company to the police.</v>
      </c>
    </row>
    <row r="94" ht="15.75" customHeight="1">
      <c r="A94" s="2">
        <v>5.0</v>
      </c>
      <c r="B94" s="2" t="s">
        <v>352</v>
      </c>
      <c r="C94" s="2" t="s">
        <v>353</v>
      </c>
      <c r="D94" s="2" t="s">
        <v>44</v>
      </c>
      <c r="E94" s="2" t="s">
        <v>27</v>
      </c>
      <c r="F94" s="2" t="s">
        <v>15</v>
      </c>
      <c r="G94" s="2" t="s">
        <v>354</v>
      </c>
      <c r="H94" s="2" t="s">
        <v>46</v>
      </c>
      <c r="I94" s="2" t="str">
        <f>IFERROR(__xludf.DUMMYFUNCTION("GOOGLETRANSLATE(C94,""fr"",""en"")"),"Satisfied with the Internet service and attractive price
I'm waiting to see the rest if there must be a concern
Competitive price guarantees seem correct")</f>
        <v>Satisfied with the Internet service and attractive price
I'm waiting to see the rest if there must be a concern
Competitive price guarantees seem correct</v>
      </c>
    </row>
    <row r="95" ht="15.75" customHeight="1">
      <c r="A95" s="2">
        <v>3.0</v>
      </c>
      <c r="B95" s="2" t="s">
        <v>355</v>
      </c>
      <c r="C95" s="2" t="s">
        <v>356</v>
      </c>
      <c r="D95" s="2" t="s">
        <v>26</v>
      </c>
      <c r="E95" s="2" t="s">
        <v>27</v>
      </c>
      <c r="F95" s="2" t="s">
        <v>15</v>
      </c>
      <c r="G95" s="2" t="s">
        <v>138</v>
      </c>
      <c r="H95" s="2" t="s">
        <v>46</v>
      </c>
      <c r="I95" s="2" t="str">
        <f>IFERROR(__xludf.DUMMYFUNCTION("GOOGLETRANSLATE(C95,""fr"",""en"")"),"satisfied with your services. But thank you again for lowering your prices. I will have to see my other contracts with you of two other cars")</f>
        <v>satisfied with your services. But thank you again for lowering your prices. I will have to see my other contracts with you of two other cars</v>
      </c>
    </row>
    <row r="96" ht="15.75" customHeight="1">
      <c r="A96" s="2">
        <v>4.0</v>
      </c>
      <c r="B96" s="2" t="s">
        <v>357</v>
      </c>
      <c r="C96" s="2" t="s">
        <v>358</v>
      </c>
      <c r="D96" s="2" t="s">
        <v>44</v>
      </c>
      <c r="E96" s="2" t="s">
        <v>27</v>
      </c>
      <c r="F96" s="2" t="s">
        <v>15</v>
      </c>
      <c r="G96" s="2" t="s">
        <v>359</v>
      </c>
      <c r="H96" s="2" t="s">
        <v>343</v>
      </c>
      <c r="I96" s="2" t="str">
        <f>IFERROR(__xludf.DUMMYFUNCTION("GOOGLETRANSLATE(C96,""fr"",""en"")"),"Super for retiree quality / price.
I have 2 children with 2 other vehicles to insure, I hope to have a reduction code for each of them.
To be continued on the quality of the services.")</f>
        <v>Super for retiree quality / price.
I have 2 children with 2 other vehicles to insure, I hope to have a reduction code for each of them.
To be continued on the quality of the services.</v>
      </c>
    </row>
    <row r="97" ht="15.75" customHeight="1">
      <c r="A97" s="2">
        <v>2.0</v>
      </c>
      <c r="B97" s="2" t="s">
        <v>360</v>
      </c>
      <c r="C97" s="2" t="s">
        <v>361</v>
      </c>
      <c r="D97" s="2" t="s">
        <v>273</v>
      </c>
      <c r="E97" s="2" t="s">
        <v>33</v>
      </c>
      <c r="F97" s="2" t="s">
        <v>15</v>
      </c>
      <c r="G97" s="2" t="s">
        <v>362</v>
      </c>
      <c r="H97" s="2" t="s">
        <v>57</v>
      </c>
      <c r="I97" s="2" t="str">
        <f>IFERROR(__xludf.DUMMYFUNCTION("GOOGLETRANSLATE(C97,""fr"",""en"")"),"Insurance that likes to collect but that does not like to restore money in the event of problems. We are disgusted! I do not recommend at all !!!")</f>
        <v>Insurance that likes to collect but that does not like to restore money in the event of problems. We are disgusted! I do not recommend at all !!!</v>
      </c>
    </row>
    <row r="98" ht="15.75" customHeight="1">
      <c r="A98" s="2">
        <v>1.0</v>
      </c>
      <c r="B98" s="2" t="s">
        <v>363</v>
      </c>
      <c r="C98" s="2" t="s">
        <v>364</v>
      </c>
      <c r="D98" s="2" t="s">
        <v>109</v>
      </c>
      <c r="E98" s="2" t="s">
        <v>27</v>
      </c>
      <c r="F98" s="2" t="s">
        <v>15</v>
      </c>
      <c r="G98" s="2" t="s">
        <v>365</v>
      </c>
      <c r="H98" s="2" t="s">
        <v>78</v>
      </c>
      <c r="I98" s="2" t="str">
        <f>IFERROR(__xludf.DUMMYFUNCTION("GOOGLETRANSLATE(C98,""fr"",""en"")"),"We stole all the rated seats raised ... from my car in front of the house, there is only the carcass left people were disturbed around 5 am they were lifting the doors. That's 24 'days we offered me a rental car 15 days and investigation insurance because"&amp;" according to the expert there was no break -in as if by chance that evening I had omitted to close the door and as by chance of good people Equipped has been there while even on television we are shown how to open an more break -in car the pro thieves ar"&amp;"e equipped to open more than a clio3 !! In addition, some agents who answer on the phone do not let me speak they do not listen to the floor, badly informed and there is one who did not have the right file she told me anything and when she I reported on i"&amp;"t she took me from above instead of at least I do not say apologize but have a correct behavior.")</f>
        <v>We stole all the rated seats raised ... from my car in front of the house, there is only the carcass left people were disturbed around 5 am they were lifting the doors. That's 24 'days we offered me a rental car 15 days and investigation insurance because according to the expert there was no break -in as if by chance that evening I had omitted to close the door and as by chance of good people Equipped has been there while even on television we are shown how to open an more break -in car the pro thieves are equipped to open more than a clio3 !! In addition, some agents who answer on the phone do not let me speak they do not listen to the floor, badly informed and there is one who did not have the right file she told me anything and when she I reported on it she took me from above instead of at least I do not say apologize but have a correct behavior.</v>
      </c>
    </row>
    <row r="99" ht="15.75" customHeight="1">
      <c r="A99" s="2">
        <v>2.0</v>
      </c>
      <c r="B99" s="2" t="s">
        <v>366</v>
      </c>
      <c r="C99" s="2" t="s">
        <v>367</v>
      </c>
      <c r="D99" s="2" t="s">
        <v>84</v>
      </c>
      <c r="E99" s="2" t="s">
        <v>33</v>
      </c>
      <c r="F99" s="2" t="s">
        <v>15</v>
      </c>
      <c r="G99" s="2" t="s">
        <v>368</v>
      </c>
      <c r="H99" s="2" t="s">
        <v>339</v>
      </c>
      <c r="I99" s="2" t="str">
        <f>IFERROR(__xludf.DUMMYFUNCTION("GOOGLETRANSLATE(C99,""fr"",""en"")"),"Ensure for years I have just suffered a break -in no help to replace my window so I make a quote at Lapeyre Price 1013 Euro Axa wants to or even down my quote because I have to mark it simple glazing replacement by double it offers me 729 euros on the qu4"&amp;"el I am deduced 163 euro from 566 euro franchise so I pay half the window while I am ensuring the flight to axa are escorts to flee")</f>
        <v>Ensure for years I have just suffered a break -in no help to replace my window so I make a quote at Lapeyre Price 1013 Euro Axa wants to or even down my quote because I have to mark it simple glazing replacement by double it offers me 729 euros on the qu4el I am deduced 163 euro from 566 euro franchise so I pay half the window while I am ensuring the flight to axa are escorts to flee</v>
      </c>
    </row>
    <row r="100" ht="15.75" customHeight="1">
      <c r="A100" s="2">
        <v>3.0</v>
      </c>
      <c r="B100" s="2" t="s">
        <v>369</v>
      </c>
      <c r="C100" s="2" t="s">
        <v>370</v>
      </c>
      <c r="D100" s="2" t="s">
        <v>44</v>
      </c>
      <c r="E100" s="2" t="s">
        <v>27</v>
      </c>
      <c r="F100" s="2" t="s">
        <v>15</v>
      </c>
      <c r="G100" s="2" t="s">
        <v>371</v>
      </c>
      <c r="H100" s="2" t="s">
        <v>372</v>
      </c>
      <c r="I100" s="2" t="str">
        <f>IFERROR(__xludf.DUMMYFUNCTION("GOOGLETRANSLATE(C100,""fr"",""en"")"),"Currently with this insurer, I wanted to modify my contract to put my wife in the 2nd driver (young license). To make the quote, no worries, but during the call to modify my contract in the direction of their quote, their response was no, because your wif"&amp;"e within 3 years of license. Ok she is less than 3 years old, but it was stipulating on their offer. Suddenly he does not provide. So I have a quote that is useless !!!")</f>
        <v>Currently with this insurer, I wanted to modify my contract to put my wife in the 2nd driver (young license). To make the quote, no worries, but during the call to modify my contract in the direction of their quote, their response was no, because your wife within 3 years of license. Ok she is less than 3 years old, but it was stipulating on their offer. Suddenly he does not provide. So I have a quote that is useless !!!</v>
      </c>
    </row>
    <row r="101" ht="15.75" customHeight="1">
      <c r="A101" s="2">
        <v>1.0</v>
      </c>
      <c r="B101" s="2" t="s">
        <v>373</v>
      </c>
      <c r="C101" s="2" t="s">
        <v>374</v>
      </c>
      <c r="D101" s="2" t="s">
        <v>117</v>
      </c>
      <c r="E101" s="2" t="s">
        <v>33</v>
      </c>
      <c r="F101" s="2" t="s">
        <v>15</v>
      </c>
      <c r="G101" s="2" t="s">
        <v>375</v>
      </c>
      <c r="H101" s="2" t="s">
        <v>177</v>
      </c>
      <c r="I101" s="2" t="str">
        <f>IFERROR(__xludf.DUMMYFUNCTION("GOOGLETRANSLATE(C101,""fr"",""en"")"),"I had a disaster, which they refuse to pay me entirely, under the pretext that the invoices that I would have sent to them would be false. Now they are many real.
They try to intimidate me so that I accept to give up compensation. I find it scandalous")</f>
        <v>I had a disaster, which they refuse to pay me entirely, under the pretext that the invoices that I would have sent to them would be false. Now they are many real.
They try to intimidate me so that I accept to give up compensation. I find it scandalous</v>
      </c>
    </row>
    <row r="102" ht="15.75" customHeight="1">
      <c r="A102" s="2">
        <v>5.0</v>
      </c>
      <c r="B102" s="2" t="s">
        <v>376</v>
      </c>
      <c r="C102" s="2" t="s">
        <v>377</v>
      </c>
      <c r="D102" s="2" t="s">
        <v>38</v>
      </c>
      <c r="E102" s="2" t="s">
        <v>39</v>
      </c>
      <c r="F102" s="2" t="s">
        <v>15</v>
      </c>
      <c r="G102" s="2" t="s">
        <v>378</v>
      </c>
      <c r="H102" s="2" t="s">
        <v>62</v>
      </c>
      <c r="I102" s="2" t="str">
        <f>IFERROR(__xludf.DUMMYFUNCTION("GOOGLETRANSLATE(C102,""fr"",""en"")"),"Impeccable I am really satisfied with the price and the options add for the more guarantees, I highly recommend this insurance which offers attractive prices")</f>
        <v>Impeccable I am really satisfied with the price and the options add for the more guarantees, I highly recommend this insurance which offers attractive prices</v>
      </c>
    </row>
    <row r="103" ht="15.75" customHeight="1">
      <c r="A103" s="2">
        <v>4.0</v>
      </c>
      <c r="B103" s="2" t="s">
        <v>379</v>
      </c>
      <c r="C103" s="2" t="s">
        <v>380</v>
      </c>
      <c r="D103" s="2" t="s">
        <v>60</v>
      </c>
      <c r="E103" s="2" t="s">
        <v>14</v>
      </c>
      <c r="F103" s="2" t="s">
        <v>15</v>
      </c>
      <c r="G103" s="2" t="s">
        <v>381</v>
      </c>
      <c r="H103" s="2" t="s">
        <v>382</v>
      </c>
      <c r="I103" s="2" t="str">
        <f>IFERROR(__xludf.DUMMYFUNCTION("GOOGLETRANSLATE(C103,""fr"",""en"")"),"I have been the formula since 2015 and I am satisfied")</f>
        <v>I have been the formula since 2015 and I am satisfied</v>
      </c>
    </row>
    <row r="104" ht="15.75" customHeight="1">
      <c r="A104" s="2">
        <v>5.0</v>
      </c>
      <c r="B104" s="2" t="s">
        <v>383</v>
      </c>
      <c r="C104" s="2" t="s">
        <v>384</v>
      </c>
      <c r="D104" s="2" t="s">
        <v>60</v>
      </c>
      <c r="E104" s="2" t="s">
        <v>14</v>
      </c>
      <c r="F104" s="2" t="s">
        <v>15</v>
      </c>
      <c r="G104" s="2" t="s">
        <v>385</v>
      </c>
      <c r="H104" s="2" t="s">
        <v>29</v>
      </c>
      <c r="I104" s="2" t="str">
        <f>IFERROR(__xludf.DUMMYFUNCTION("GOOGLETRANSLATE(C104,""fr"",""en"")"),"Hello,
Very satisfied with this mutual, reasonable price, satisfactory reimbursements.
Practical site for fast communication.
I called the other day for a refund, I had Emeline on the phone, very courteous, serious and professional, she was able to sol"&amp;"ve my problem.
I recommend this mutual.
")</f>
        <v>Hello,
Very satisfied with this mutual, reasonable price, satisfactory reimbursements.
Practical site for fast communication.
I called the other day for a refund, I had Emeline on the phone, very courteous, serious and professional, she was able to solve my problem.
I recommend this mutual.
</v>
      </c>
    </row>
    <row r="105" ht="15.75" customHeight="1">
      <c r="A105" s="2">
        <v>2.0</v>
      </c>
      <c r="B105" s="2" t="s">
        <v>386</v>
      </c>
      <c r="C105" s="2" t="s">
        <v>387</v>
      </c>
      <c r="D105" s="2" t="s">
        <v>44</v>
      </c>
      <c r="E105" s="2" t="s">
        <v>27</v>
      </c>
      <c r="F105" s="2" t="s">
        <v>15</v>
      </c>
      <c r="G105" s="2" t="s">
        <v>388</v>
      </c>
      <c r="H105" s="2" t="s">
        <v>324</v>
      </c>
      <c r="I105" s="2" t="str">
        <f>IFERROR(__xludf.DUMMYFUNCTION("GOOGLETRANSLATE(C105,""fr"",""en"")"),"A disaster! To flee absolutely. AD offers you a low -cost quote for subscription, then enhance the price under the pretext of internal regulations that do not authorize them to take up your history - accepts by Macif, MMA, Arkea etc .... - and you double "&amp;"the price. You therefore request termination and there ... all possible obstacles are placed on your way. Refusal of customer service, LR request, request for the return of the recommended letters to another address than that specified in the general cond"&amp;"itions, hanging up Advisors on the phone. The icing on the cake, unauthorized direct debit on your CB of the ""proposed"" and not signed rate difference (therefore unlikely contract!). A strategy
Deliberate. A shame for AXA which will be postponed to the"&amp;" general meeting of shareholders, justice and consumer associations.
Perhaps this site (or their marketing is present) will it allow to speak to the other interlocutors that parrots - no animosity against themselves - but drawn up to give stereotypical a"&amp;"nd illegal non -answers!
")</f>
        <v>A disaster! To flee absolutely. AD offers you a low -cost quote for subscription, then enhance the price under the pretext of internal regulations that do not authorize them to take up your history - accepts by Macif, MMA, Arkea etc .... - and you double the price. You therefore request termination and there ... all possible obstacles are placed on your way. Refusal of customer service, LR request, request for the return of the recommended letters to another address than that specified in the general conditions, hanging up Advisors on the phone. The icing on the cake, unauthorized direct debit on your CB of the "proposed" and not signed rate difference (therefore unlikely contract!). A strategy
Deliberate. A shame for AXA which will be postponed to the general meeting of shareholders, justice and consumer associations.
Perhaps this site (or their marketing is present) will it allow to speak to the other interlocutors that parrots - no animosity against themselves - but drawn up to give stereotypical and illegal non -answers!
</v>
      </c>
    </row>
    <row r="106" ht="15.75" customHeight="1">
      <c r="A106" s="2">
        <v>3.0</v>
      </c>
      <c r="B106" s="2" t="s">
        <v>389</v>
      </c>
      <c r="C106" s="2" t="s">
        <v>390</v>
      </c>
      <c r="D106" s="2" t="s">
        <v>38</v>
      </c>
      <c r="E106" s="2" t="s">
        <v>39</v>
      </c>
      <c r="F106" s="2" t="s">
        <v>15</v>
      </c>
      <c r="G106" s="2" t="s">
        <v>391</v>
      </c>
      <c r="H106" s="2" t="s">
        <v>159</v>
      </c>
      <c r="I106" s="2" t="str">
        <f>IFERROR(__xludf.DUMMYFUNCTION("GOOGLETRANSLATE(C106,""fr"",""en"")"),"Ras everything is very good. Ease of understanding. Nickel Explication Level.
 Nothing to say it was perfect more than waiting for the papers.")</f>
        <v>Ras everything is very good. Ease of understanding. Nickel Explication Level.
 Nothing to say it was perfect more than waiting for the papers.</v>
      </c>
    </row>
    <row r="107" ht="15.75" customHeight="1">
      <c r="A107" s="2">
        <v>4.0</v>
      </c>
      <c r="B107" s="2" t="s">
        <v>392</v>
      </c>
      <c r="C107" s="2" t="s">
        <v>393</v>
      </c>
      <c r="D107" s="2" t="s">
        <v>44</v>
      </c>
      <c r="E107" s="2" t="s">
        <v>27</v>
      </c>
      <c r="F107" s="2" t="s">
        <v>15</v>
      </c>
      <c r="G107" s="2" t="s">
        <v>201</v>
      </c>
      <c r="H107" s="2" t="s">
        <v>57</v>
      </c>
      <c r="I107" s="2" t="str">
        <f>IFERROR(__xludf.DUMMYFUNCTION("GOOGLETRANSLATE(C107,""fr"",""en"")"),"Attractive price, the risks compared to vehicles and types of use have been well analyzed. Speed ​​of proposal for very clear quote and quotes.")</f>
        <v>Attractive price, the risks compared to vehicles and types of use have been well analyzed. Speed ​​of proposal for very clear quote and quotes.</v>
      </c>
    </row>
    <row r="108" ht="15.75" customHeight="1">
      <c r="A108" s="2">
        <v>1.0</v>
      </c>
      <c r="B108" s="2" t="s">
        <v>394</v>
      </c>
      <c r="C108" s="2" t="s">
        <v>395</v>
      </c>
      <c r="D108" s="2" t="s">
        <v>26</v>
      </c>
      <c r="E108" s="2" t="s">
        <v>27</v>
      </c>
      <c r="F108" s="2" t="s">
        <v>15</v>
      </c>
      <c r="G108" s="2" t="s">
        <v>396</v>
      </c>
      <c r="H108" s="2" t="s">
        <v>29</v>
      </c>
      <c r="I108" s="2" t="str">
        <f>IFERROR(__xludf.DUMMYFUNCTION("GOOGLETRANSLATE(C108,""fr"",""en"")"),"I am satisfied with the service and the price suits me thank you for your kindness and your attention in me I would do the same for you to show my gratitude")</f>
        <v>I am satisfied with the service and the price suits me thank you for your kindness and your attention in me I would do the same for you to show my gratitude</v>
      </c>
    </row>
    <row r="109" ht="15.75" customHeight="1">
      <c r="A109" s="2">
        <v>3.0</v>
      </c>
      <c r="B109" s="2" t="s">
        <v>397</v>
      </c>
      <c r="C109" s="2" t="s">
        <v>398</v>
      </c>
      <c r="D109" s="2" t="s">
        <v>44</v>
      </c>
      <c r="E109" s="2" t="s">
        <v>27</v>
      </c>
      <c r="F109" s="2" t="s">
        <v>15</v>
      </c>
      <c r="G109" s="2" t="s">
        <v>399</v>
      </c>
      <c r="H109" s="2" t="s">
        <v>23</v>
      </c>
      <c r="I109" s="2" t="str">
        <f>IFERROR(__xludf.DUMMYFUNCTION("GOOGLETRANSLATE(C109,""fr"",""en"")"),"Service satisfactory and close to the customer, on the other hand, during our disaster, the company responsible for changing our door was too slow ... almost a year to change a door ...")</f>
        <v>Service satisfactory and close to the customer, on the other hand, during our disaster, the company responsible for changing our door was too slow ... almost a year to change a door ...</v>
      </c>
    </row>
    <row r="110" ht="15.75" customHeight="1">
      <c r="A110" s="2">
        <v>1.0</v>
      </c>
      <c r="B110" s="2" t="s">
        <v>400</v>
      </c>
      <c r="C110" s="2" t="s">
        <v>401</v>
      </c>
      <c r="D110" s="2" t="s">
        <v>165</v>
      </c>
      <c r="E110" s="2" t="s">
        <v>27</v>
      </c>
      <c r="F110" s="2" t="s">
        <v>15</v>
      </c>
      <c r="G110" s="2" t="s">
        <v>402</v>
      </c>
      <c r="H110" s="2" t="s">
        <v>403</v>
      </c>
      <c r="I110" s="2" t="str">
        <f>IFERROR(__xludf.DUMMYFUNCTION("GOOGLETRANSLATE(C110,""fr"",""en"")"),"After making a comparison on an insurance comparator, Eurofin was the second on the list (obviously, well -established marketing strategy), an advisor calls me and begins to tell me about the details of the quote. As she talks to me about the price that i"&amp;"s to be paid in one go and it will become more expensive with it by paying per month, the advisor tells me ""we will have tried sir"" and repacks me, limits she hangs up on the nose. That's good I was already on the site when I told him about it!
The Com"&amp;"munity Manager: No need to put an answer I will not come back anymore and I advise everyone to do the same !!")</f>
        <v>After making a comparison on an insurance comparator, Eurofin was the second on the list (obviously, well -established marketing strategy), an advisor calls me and begins to tell me about the details of the quote. As she talks to me about the price that is to be paid in one go and it will become more expensive with it by paying per month, the advisor tells me "we will have tried sir" and repacks me, limits she hangs up on the nose. That's good I was already on the site when I told him about it!
The Community Manager: No need to put an answer I will not come back anymore and I advise everyone to do the same !!</v>
      </c>
    </row>
    <row r="111" ht="15.75" customHeight="1">
      <c r="A111" s="2">
        <v>3.0</v>
      </c>
      <c r="B111" s="2" t="s">
        <v>404</v>
      </c>
      <c r="C111" s="2" t="s">
        <v>405</v>
      </c>
      <c r="D111" s="2" t="s">
        <v>148</v>
      </c>
      <c r="E111" s="2" t="s">
        <v>33</v>
      </c>
      <c r="F111" s="2" t="s">
        <v>15</v>
      </c>
      <c r="G111" s="2" t="s">
        <v>406</v>
      </c>
      <c r="H111" s="2" t="s">
        <v>278</v>
      </c>
      <c r="I111" s="2" t="str">
        <f>IFERROR(__xludf.DUMMYFUNCTION("GOOGLETRANSLATE(C111,""fr"",""en"")"),"I have a sinister file (M 20 0788491 R / Ref. Expert: 2020ST01771) which has been the subject of an expertise that I dispute. Refusal to take care of work following a destructive leakage search, on the grounds that the plumber would like to replace my WC."&amp;" However, it has been deposited and rested identically and, far from improvement work, there is a loss of area of ​​the toilet (for technical reasons). I have been asking for an expertise review without success for a month, the initial expert who does not"&amp;" want to come back to his decision. Until then, I was entirely satisfied with the responsiveness of the Maif and the quality of its expertise. But I see a degradation. Commercial relations always very cordial but with a strategic aim of time saving (I am "&amp;"asked to wait awaiting the expert's response). Shared file until I request a third expertise. Same strategy: the new person in charge of the file must take another 8 days to read it. I am very disappointed and start to seriously doubt the displayed mutual"&amp;" values ​​which are only worth when the customer ratio is favorable. However, I have 7 contracts to the mayf (5 housing and 2 cars) and has been a client for several years. But I probably don't have to put together ""report"" enough, having had the disast"&amp;"er disadvantage lately. I will start looking at other insurers.
")</f>
        <v>I have a sinister file (M 20 0788491 R / Ref. Expert: 2020ST01771) which has been the subject of an expertise that I dispute. Refusal to take care of work following a destructive leakage search, on the grounds that the plumber would like to replace my WC. However, it has been deposited and rested identically and, far from improvement work, there is a loss of area of ​​the toilet (for technical reasons). I have been asking for an expertise review without success for a month, the initial expert who does not want to come back to his decision. Until then, I was entirely satisfied with the responsiveness of the Maif and the quality of its expertise. But I see a degradation. Commercial relations always very cordial but with a strategic aim of time saving (I am asked to wait awaiting the expert's response). Shared file until I request a third expertise. Same strategy: the new person in charge of the file must take another 8 days to read it. I am very disappointed and start to seriously doubt the displayed mutual values ​​which are only worth when the customer ratio is favorable. However, I have 7 contracts to the mayf (5 housing and 2 cars) and has been a client for several years. But I probably don't have to put together "report" enough, having had the disaster disadvantage lately. I will start looking at other insurers.
</v>
      </c>
    </row>
    <row r="112" ht="15.75" customHeight="1">
      <c r="A112" s="2">
        <v>1.0</v>
      </c>
      <c r="B112" s="2" t="s">
        <v>407</v>
      </c>
      <c r="C112" s="2" t="s">
        <v>408</v>
      </c>
      <c r="D112" s="2" t="s">
        <v>165</v>
      </c>
      <c r="E112" s="2" t="s">
        <v>27</v>
      </c>
      <c r="F112" s="2" t="s">
        <v>15</v>
      </c>
      <c r="G112" s="2" t="s">
        <v>409</v>
      </c>
      <c r="H112" s="2" t="s">
        <v>86</v>
      </c>
      <c r="I112" s="2" t="str">
        <f>IFERROR(__xludf.DUMMYFUNCTION("GOOGLETRANSLATE(C112,""fr"",""en"")"),"
False commercial arguments:
We talk to you about special derogation that does not exist and the words are vague.
For a job that requires a lot of rigor because a car accident can upset an entire life, this company is dangerous (for having lived it, on"&amp;"e evening at 5:00 p.m. you receive a mind -blowing call from this pseudo insurance company which informs you that The next day your vehicle will no longer be guaranteed! Without any reason, they let you go like a M .... and manage to find insurance at the"&amp;" end of the day for the next day!) They are unconscious.
There can only be better elsewhere.
A good hearing.")</f>
        <v>
False commercial arguments:
We talk to you about special derogation that does not exist and the words are vague.
For a job that requires a lot of rigor because a car accident can upset an entire life, this company is dangerous (for having lived it, one evening at 5:00 p.m. you receive a mind -blowing call from this pseudo insurance company which informs you that The next day your vehicle will no longer be guaranteed! Without any reason, they let you go like a M .... and manage to find insurance at the end of the day for the next day!) They are unconscious.
There can only be better elsewhere.
A good hearing.</v>
      </c>
    </row>
    <row r="113" ht="15.75" customHeight="1">
      <c r="A113" s="2">
        <v>1.0</v>
      </c>
      <c r="B113" s="2" t="s">
        <v>410</v>
      </c>
      <c r="C113" s="2" t="s">
        <v>411</v>
      </c>
      <c r="D113" s="2" t="s">
        <v>84</v>
      </c>
      <c r="E113" s="2" t="s">
        <v>27</v>
      </c>
      <c r="F113" s="2" t="s">
        <v>15</v>
      </c>
      <c r="G113" s="2" t="s">
        <v>412</v>
      </c>
      <c r="H113" s="2" t="s">
        <v>29</v>
      </c>
      <c r="I113" s="2" t="str">
        <f>IFERROR(__xludf.DUMMYFUNCTION("GOOGLETRANSLATE(C113,""fr"",""en"")"),"To flee !
Or in any case, do not coach the error to take their all risks.
In the event of a disaster, we will do everything so as not to reimburse you.
I have a sinister on a new car, the day of return from vacation, damage everywhere on both sides cov"&amp;"ered by black paint. Their mandated expert, without any maintenance or exchange with me, is pronounced to give a vague conclusion to the disaster. Insurance sends me walking between her and the expert. She refuses to indemnize in the end.
Next step: lawy"&amp;"er and court against this catastrophic AXA ​​service.
Too bad and sad that we are taken for sheep!
")</f>
        <v>To flee !
Or in any case, do not coach the error to take their all risks.
In the event of a disaster, we will do everything so as not to reimburse you.
I have a sinister on a new car, the day of return from vacation, damage everywhere on both sides covered by black paint. Their mandated expert, without any maintenance or exchange with me, is pronounced to give a vague conclusion to the disaster. Insurance sends me walking between her and the expert. She refuses to indemnize in the end.
Next step: lawyer and court against this catastrophic AXA ​​service.
Too bad and sad that we are taken for sheep!
</v>
      </c>
    </row>
    <row r="114" ht="15.75" customHeight="1">
      <c r="A114" s="2">
        <v>1.0</v>
      </c>
      <c r="B114" s="2" t="s">
        <v>413</v>
      </c>
      <c r="C114" s="2" t="s">
        <v>414</v>
      </c>
      <c r="D114" s="2" t="s">
        <v>204</v>
      </c>
      <c r="E114" s="2" t="s">
        <v>33</v>
      </c>
      <c r="F114" s="2" t="s">
        <v>15</v>
      </c>
      <c r="G114" s="2" t="s">
        <v>290</v>
      </c>
      <c r="H114" s="2" t="s">
        <v>159</v>
      </c>
      <c r="I114" s="2" t="str">
        <f>IFERROR(__xludf.DUMMYFUNCTION("GOOGLETRANSLATE(C114,""fr"",""en"")"),"It's a catastrophe. Waiting times are endless, and when we manage to have an advisor, we are redirected to ""more competent"" services which never arrive at the end of the request. I passed and counting, 4 hours in total last week and I still have no answ"&amp;"er to my questions. Flee, but really flee far from them!")</f>
        <v>It's a catastrophe. Waiting times are endless, and when we manage to have an advisor, we are redirected to "more competent" services which never arrive at the end of the request. I passed and counting, 4 hours in total last week and I still have no answer to my questions. Flee, but really flee far from them!</v>
      </c>
    </row>
    <row r="115" ht="15.75" customHeight="1">
      <c r="A115" s="2">
        <v>1.0</v>
      </c>
      <c r="B115" s="2" t="s">
        <v>415</v>
      </c>
      <c r="C115" s="2" t="s">
        <v>416</v>
      </c>
      <c r="D115" s="2" t="s">
        <v>109</v>
      </c>
      <c r="E115" s="2" t="s">
        <v>27</v>
      </c>
      <c r="F115" s="2" t="s">
        <v>15</v>
      </c>
      <c r="G115" s="2" t="s">
        <v>417</v>
      </c>
      <c r="H115" s="2" t="s">
        <v>418</v>
      </c>
      <c r="I115" s="2" t="str">
        <f>IFERROR(__xludf.DUMMYFUNCTION("GOOGLETRANSLATE(C115,""fr"",""en"")"),"My mother 90 years old assured for 35 years at the Matmut. Water damage in 2020 and another in 2017. She receives a registered letter that the Matmut can no longer assure it! Despite a complaint letter. Nothing changes, it remains on their positions. And "&amp;"they dare to advertise on TV !! Inadmissible. I really do not recommend this insurance.")</f>
        <v>My mother 90 years old assured for 35 years at the Matmut. Water damage in 2020 and another in 2017. She receives a registered letter that the Matmut can no longer assure it! Despite a complaint letter. Nothing changes, it remains on their positions. And they dare to advertise on TV !! Inadmissible. I really do not recommend this insurance.</v>
      </c>
    </row>
    <row r="116" ht="15.75" customHeight="1">
      <c r="A116" s="2">
        <v>1.0</v>
      </c>
      <c r="B116" s="2" t="s">
        <v>419</v>
      </c>
      <c r="C116" s="2" t="s">
        <v>420</v>
      </c>
      <c r="D116" s="2" t="s">
        <v>100</v>
      </c>
      <c r="E116" s="2" t="s">
        <v>14</v>
      </c>
      <c r="F116" s="2" t="s">
        <v>15</v>
      </c>
      <c r="G116" s="2" t="s">
        <v>421</v>
      </c>
      <c r="H116" s="2" t="s">
        <v>422</v>
      </c>
      <c r="I116" s="2" t="str">
        <f>IFERROR(__xludf.DUMMYFUNCTION("GOOGLETRANSLATE(C116,""fr"",""en"")"),"Having undergone a surgical an ambulatory act in a clinic, I had to pay (excess costs) the sum of € 963, between the surgeon, the anesthesiologist and the room for the day, I note today that I will not be Refunded only 206 €. A crumb. Ridiculous, but abov"&amp;"e all disappointed. If some people wonder about which mutual to choose, do not take it. Look at the other insurers.")</f>
        <v>Having undergone a surgical an ambulatory act in a clinic, I had to pay (excess costs) the sum of € 963, between the surgeon, the anesthesiologist and the room for the day, I note today that I will not be Refunded only 206 €. A crumb. Ridiculous, but above all disappointed. If some people wonder about which mutual to choose, do not take it. Look at the other insurers.</v>
      </c>
    </row>
    <row r="117" ht="15.75" customHeight="1">
      <c r="A117" s="2">
        <v>4.0</v>
      </c>
      <c r="B117" s="2" t="s">
        <v>423</v>
      </c>
      <c r="C117" s="2" t="s">
        <v>424</v>
      </c>
      <c r="D117" s="2" t="s">
        <v>26</v>
      </c>
      <c r="E117" s="2" t="s">
        <v>27</v>
      </c>
      <c r="F117" s="2" t="s">
        <v>15</v>
      </c>
      <c r="G117" s="2" t="s">
        <v>425</v>
      </c>
      <c r="H117" s="2" t="s">
        <v>278</v>
      </c>
      <c r="I117" s="2" t="str">
        <f>IFERROR(__xludf.DUMMYFUNCTION("GOOGLETRANSLATE(C117,""fr"",""en"")"),"The Olivier service has been welcoming, understanding, effective. The process is carried out round, the reactivity to requests is good. Until then, I have only reasons for satisfaction.")</f>
        <v>The Olivier service has been welcoming, understanding, effective. The process is carried out round, the reactivity to requests is good. Until then, I have only reasons for satisfaction.</v>
      </c>
    </row>
    <row r="118" ht="15.75" customHeight="1">
      <c r="A118" s="2">
        <v>1.0</v>
      </c>
      <c r="B118" s="2" t="s">
        <v>426</v>
      </c>
      <c r="C118" s="2" t="s">
        <v>427</v>
      </c>
      <c r="D118" s="2" t="s">
        <v>148</v>
      </c>
      <c r="E118" s="2" t="s">
        <v>27</v>
      </c>
      <c r="F118" s="2" t="s">
        <v>15</v>
      </c>
      <c r="G118" s="2" t="s">
        <v>428</v>
      </c>
      <c r="H118" s="2" t="s">
        <v>234</v>
      </c>
      <c r="I118" s="2" t="str">
        <f>IFERROR(__xludf.DUMMYFUNCTION("GOOGLETRANSLATE(C118,""fr"",""en"")"),"The email wants to ensure my son as a driver when he does not yet have a driving license?")</f>
        <v>The email wants to ensure my son as a driver when he does not yet have a driving license?</v>
      </c>
    </row>
    <row r="119" ht="15.75" customHeight="1">
      <c r="A119" s="2">
        <v>3.0</v>
      </c>
      <c r="B119" s="2" t="s">
        <v>429</v>
      </c>
      <c r="C119" s="2" t="s">
        <v>430</v>
      </c>
      <c r="D119" s="2" t="s">
        <v>60</v>
      </c>
      <c r="E119" s="2" t="s">
        <v>14</v>
      </c>
      <c r="F119" s="2" t="s">
        <v>15</v>
      </c>
      <c r="G119" s="2" t="s">
        <v>431</v>
      </c>
      <c r="H119" s="2" t="s">
        <v>432</v>
      </c>
      <c r="I119" s="2" t="str">
        <f>IFERROR(__xludf.DUMMYFUNCTION("GOOGLETRANSLATE(C119,""fr"",""en"")"),"Thanks to Glendale for his kindness and his advice. He met my expectations very well because he was attentive")</f>
        <v>Thanks to Glendale for his kindness and his advice. He met my expectations very well because he was attentive</v>
      </c>
    </row>
    <row r="120" ht="15.75" customHeight="1">
      <c r="A120" s="2">
        <v>2.0</v>
      </c>
      <c r="B120" s="2" t="s">
        <v>433</v>
      </c>
      <c r="C120" s="2" t="s">
        <v>434</v>
      </c>
      <c r="D120" s="2" t="s">
        <v>129</v>
      </c>
      <c r="E120" s="2" t="s">
        <v>27</v>
      </c>
      <c r="F120" s="2" t="s">
        <v>15</v>
      </c>
      <c r="G120" s="2" t="s">
        <v>435</v>
      </c>
      <c r="H120" s="2" t="s">
        <v>268</v>
      </c>
      <c r="I120" s="2" t="str">
        <f>IFERROR(__xludf.DUMMYFUNCTION("GOOGLETRANSLATE(C120,""fr"",""en"")"),"I too find unacceptable that the call number is surcharged, I am today at 25 € call. On the other hand, I am now unable to take out a contract for my new vehicle. Despite proof of the total payment of my insurance premium for my former vehicle (certificat"&amp;"e from the bailiff sent by email to Active Insurance), a vehicle that I have sold since, they refuse to ensure my new vehicle (which I need to go to work) before having the rules that the bailiff must send them on December 8. Active very competitive insur"&amp;"ance at the price level but incompetent customer service because we never have the same person on the phone and that they give us different information each time. To flee as soon as possible")</f>
        <v>I too find unacceptable that the call number is surcharged, I am today at 25 € call. On the other hand, I am now unable to take out a contract for my new vehicle. Despite proof of the total payment of my insurance premium for my former vehicle (certificate from the bailiff sent by email to Active Insurance), a vehicle that I have sold since, they refuse to ensure my new vehicle (which I need to go to work) before having the rules that the bailiff must send them on December 8. Active very competitive insurance at the price level but incompetent customer service because we never have the same person on the phone and that they give us different information each time. To flee as soon as possible</v>
      </c>
    </row>
    <row r="121" ht="15.75" customHeight="1">
      <c r="A121" s="2">
        <v>2.0</v>
      </c>
      <c r="B121" s="2" t="s">
        <v>436</v>
      </c>
      <c r="C121" s="2" t="s">
        <v>437</v>
      </c>
      <c r="D121" s="2" t="s">
        <v>134</v>
      </c>
      <c r="E121" s="2" t="s">
        <v>33</v>
      </c>
      <c r="F121" s="2" t="s">
        <v>15</v>
      </c>
      <c r="G121" s="2" t="s">
        <v>438</v>
      </c>
      <c r="H121" s="2" t="s">
        <v>339</v>
      </c>
      <c r="I121" s="2" t="str">
        <f>IFERROR(__xludf.DUMMYFUNCTION("GOOGLETRANSLATE(C121,""fr"",""en"")"),"Bad advice on the choice of guarantees (high franchises to bait with a lower price), not active in the management of a disaster, costs to monthly and during renewal!")</f>
        <v>Bad advice on the choice of guarantees (high franchises to bait with a lower price), not active in the management of a disaster, costs to monthly and during renewal!</v>
      </c>
    </row>
    <row r="122" ht="15.75" customHeight="1">
      <c r="A122" s="2">
        <v>1.0</v>
      </c>
      <c r="B122" s="2" t="s">
        <v>439</v>
      </c>
      <c r="C122" s="2" t="s">
        <v>440</v>
      </c>
      <c r="D122" s="2" t="s">
        <v>125</v>
      </c>
      <c r="E122" s="2" t="s">
        <v>14</v>
      </c>
      <c r="F122" s="2" t="s">
        <v>15</v>
      </c>
      <c r="G122" s="2" t="s">
        <v>441</v>
      </c>
      <c r="H122" s="2" t="s">
        <v>57</v>
      </c>
      <c r="I122" s="2" t="str">
        <f>IFERROR(__xludf.DUMMYFUNCTION("GOOGLETRANSLATE(C122,""fr"",""en"")"),"hello I terminated my health contract on 19-02-2021 to date no answer whether by email or by phone the broker read my email no answer I have more than stop my levy. I do not recommend this mutual no contact.")</f>
        <v>hello I terminated my health contract on 19-02-2021 to date no answer whether by email or by phone the broker read my email no answer I have more than stop my levy. I do not recommend this mutual no contact.</v>
      </c>
    </row>
    <row r="123" ht="15.75" customHeight="1">
      <c r="A123" s="2">
        <v>5.0</v>
      </c>
      <c r="B123" s="2" t="s">
        <v>442</v>
      </c>
      <c r="C123" s="2" t="s">
        <v>443</v>
      </c>
      <c r="D123" s="2" t="s">
        <v>26</v>
      </c>
      <c r="E123" s="2" t="s">
        <v>27</v>
      </c>
      <c r="F123" s="2" t="s">
        <v>15</v>
      </c>
      <c r="G123" s="2" t="s">
        <v>444</v>
      </c>
      <c r="H123" s="2" t="s">
        <v>41</v>
      </c>
      <c r="I123" s="2" t="str">
        <f>IFERROR(__xludf.DUMMYFUNCTION("GOOGLETRANSLATE(C123,""fr"",""en"")"),"The quote is clear, the speed of the internet service is impressive. Information requests are concise and fast. The ""STEP by Step"" procedure is EFICACE!")</f>
        <v>The quote is clear, the speed of the internet service is impressive. Information requests are concise and fast. The "STEP by Step" procedure is EFICACE!</v>
      </c>
    </row>
    <row r="124" ht="15.75" customHeight="1">
      <c r="A124" s="2">
        <v>2.0</v>
      </c>
      <c r="B124" s="2" t="s">
        <v>445</v>
      </c>
      <c r="C124" s="2" t="s">
        <v>446</v>
      </c>
      <c r="D124" s="2" t="s">
        <v>44</v>
      </c>
      <c r="E124" s="2" t="s">
        <v>27</v>
      </c>
      <c r="F124" s="2" t="s">
        <v>15</v>
      </c>
      <c r="G124" s="2" t="s">
        <v>447</v>
      </c>
      <c r="H124" s="2" t="s">
        <v>448</v>
      </c>
      <c r="I124" s="2" t="str">
        <f>IFERROR(__xludf.DUMMYFUNCTION("GOOGLETRANSLATE(C124,""fr"",""en"")"),"My vehicle was hit by a parking truck, the luck in all of this is that the police were on the scene and noted the driver's identity. From this moment begins pilgrimage. Total cleansing in the hotline about the procedure to be carried out, bad and/or lack "&amp;"of information on care. Ex: ask myself in which garage I want my vehicle to be towed (hotline troubleshooting). 1 hour after I am made to understand that it is better to choose a garage ... approved otherwise I have to advance the costs (hotline claims ma"&amp;"nagement). I had to recall the hotline ""Depannage"" (yes you understood, there are 2 numbers !!). I learn in passing that very few garage owners access to work with directory.
I had to re -explain my incident several times to the same and several people"&amp;".
1 month later, my vehicle is still in the garage awaiting confirmation of the care, we forgot to tell me that the procedure could take ... 6 months (I learned it a few days ago).
I thank this great advisor who understood my dismay and who let off stea"&amp;"m to make him move forward.
Being better advised upstream would have allowed me to take the front.
Advance the costs is in the insurer's strings, especially since the procedure is very likely to succeed.
In the meantime, I ask for quotes from competing"&amp;" companies and of course I read your opinions on this site.")</f>
        <v>My vehicle was hit by a parking truck, the luck in all of this is that the police were on the scene and noted the driver's identity. From this moment begins pilgrimage. Total cleansing in the hotline about the procedure to be carried out, bad and/or lack of information on care. Ex: ask myself in which garage I want my vehicle to be towed (hotline troubleshooting). 1 hour after I am made to understand that it is better to choose a garage ... approved otherwise I have to advance the costs (hotline claims management). I had to recall the hotline "Depannage" (yes you understood, there are 2 numbers !!). I learn in passing that very few garage owners access to work with directory.
I had to re -explain my incident several times to the same and several people.
1 month later, my vehicle is still in the garage awaiting confirmation of the care, we forgot to tell me that the procedure could take ... 6 months (I learned it a few days ago).
I thank this great advisor who understood my dismay and who let off steam to make him move forward.
Being better advised upstream would have allowed me to take the front.
Advance the costs is in the insurer's strings, especially since the procedure is very likely to succeed.
In the meantime, I ask for quotes from competing companies and of course I read your opinions on this site.</v>
      </c>
    </row>
    <row r="125" ht="15.75" customHeight="1">
      <c r="A125" s="2">
        <v>1.0</v>
      </c>
      <c r="B125" s="2" t="s">
        <v>449</v>
      </c>
      <c r="C125" s="2" t="s">
        <v>450</v>
      </c>
      <c r="D125" s="2" t="s">
        <v>70</v>
      </c>
      <c r="E125" s="2" t="s">
        <v>14</v>
      </c>
      <c r="F125" s="2" t="s">
        <v>15</v>
      </c>
      <c r="G125" s="2" t="s">
        <v>451</v>
      </c>
      <c r="H125" s="2" t="s">
        <v>452</v>
      </c>
      <c r="I125" s="2" t="str">
        <f>IFERROR(__xludf.DUMMYFUNCTION("GOOGLETRANSLATE(C125,""fr"",""en"")"),"After making a quote, I made a first approach to make the papers he asks me, after reflection I changed my mind after 1 test to retract by sending an email, changing part another insurance less expensive ! Despite this, I received a letter of formal notic"&amp;"e to pay 200 euros when I did not even use their insurance, I did not stop calling them to tell them that I retracted, he said ok no Worried and sorry! But after 1 week still received a letter E putting in payment, so in lines of the months they are ended"&amp;" up understanding, but what a galley, to avoid absolutely")</f>
        <v>After making a quote, I made a first approach to make the papers he asks me, after reflection I changed my mind after 1 test to retract by sending an email, changing part another insurance less expensive ! Despite this, I received a letter of formal notice to pay 200 euros when I did not even use their insurance, I did not stop calling them to tell them that I retracted, he said ok no Worried and sorry! But after 1 week still received a letter E putting in payment, so in lines of the months they are ended up understanding, but what a galley, to avoid absolutely</v>
      </c>
    </row>
    <row r="126" ht="15.75" customHeight="1">
      <c r="A126" s="2">
        <v>2.0</v>
      </c>
      <c r="B126" s="2" t="s">
        <v>453</v>
      </c>
      <c r="C126" s="2" t="s">
        <v>454</v>
      </c>
      <c r="D126" s="2" t="s">
        <v>455</v>
      </c>
      <c r="E126" s="2" t="s">
        <v>76</v>
      </c>
      <c r="F126" s="2" t="s">
        <v>15</v>
      </c>
      <c r="G126" s="2" t="s">
        <v>456</v>
      </c>
      <c r="H126" s="2" t="s">
        <v>86</v>
      </c>
      <c r="I126" s="2" t="str">
        <f>IFERROR(__xludf.DUMMYFUNCTION("GOOGLETRANSLATE(C126,""fr"",""en"")"),"Hello,
Malakoff put me in a catastrophic situation. He did not pay the quarterly rent in early January. I find myself in a catastrophic financial situation.
After waiting 45 minutes on the phone today (surcharged number ..) the operator stipulates t"&amp;"hat he does not know why. I have no visibility.
Unreliable mutual. Do not pay in time. Catastrophic customer service on the phone.
")</f>
        <v>Hello,
Malakoff put me in a catastrophic situation. He did not pay the quarterly rent in early January. I find myself in a catastrophic financial situation.
After waiting 45 minutes on the phone today (surcharged number ..) the operator stipulates that he does not know why. I have no visibility.
Unreliable mutual. Do not pay in time. Catastrophic customer service on the phone.
</v>
      </c>
    </row>
    <row r="127" ht="15.75" customHeight="1">
      <c r="A127" s="2">
        <v>1.0</v>
      </c>
      <c r="B127" s="2" t="s">
        <v>457</v>
      </c>
      <c r="C127" s="2" t="s">
        <v>458</v>
      </c>
      <c r="D127" s="2" t="s">
        <v>459</v>
      </c>
      <c r="E127" s="2" t="s">
        <v>460</v>
      </c>
      <c r="F127" s="2" t="s">
        <v>15</v>
      </c>
      <c r="G127" s="2" t="s">
        <v>461</v>
      </c>
      <c r="H127" s="2" t="s">
        <v>422</v>
      </c>
      <c r="I127" s="2" t="str">
        <f>IFERROR(__xludf.DUMMYFUNCTION("GOOGLETRANSLATE(C127,""fr"",""en"")"),"To date this company is in the incapacitated to pay me the life insurance that is not due. they do not know where the money is spent")</f>
        <v>To date this company is in the incapacitated to pay me the life insurance that is not due. they do not know where the money is spent</v>
      </c>
    </row>
    <row r="128" ht="15.75" customHeight="1">
      <c r="A128" s="2">
        <v>1.0</v>
      </c>
      <c r="B128" s="2" t="s">
        <v>462</v>
      </c>
      <c r="C128" s="2" t="s">
        <v>463</v>
      </c>
      <c r="D128" s="2" t="s">
        <v>44</v>
      </c>
      <c r="E128" s="2" t="s">
        <v>27</v>
      </c>
      <c r="F128" s="2" t="s">
        <v>15</v>
      </c>
      <c r="G128" s="2" t="s">
        <v>464</v>
      </c>
      <c r="H128" s="2" t="s">
        <v>465</v>
      </c>
      <c r="I128" s="2" t="str">
        <f>IFERROR(__xludf.DUMMYFUNCTION("GOOGLETRANSLATE(C128,""fr"",""en"")"),"Insurer to avoid! After having signed an auto insurance contract for € 510, Direct imposed an increase of € 90 following an error in their services.")</f>
        <v>Insurer to avoid! After having signed an auto insurance contract for € 510, Direct imposed an increase of € 90 following an error in their services.</v>
      </c>
    </row>
    <row r="129" ht="15.75" customHeight="1">
      <c r="A129" s="2">
        <v>4.0</v>
      </c>
      <c r="B129" s="2" t="s">
        <v>466</v>
      </c>
      <c r="C129" s="2" t="s">
        <v>467</v>
      </c>
      <c r="D129" s="2" t="s">
        <v>55</v>
      </c>
      <c r="E129" s="2" t="s">
        <v>14</v>
      </c>
      <c r="F129" s="2" t="s">
        <v>15</v>
      </c>
      <c r="G129" s="2" t="s">
        <v>339</v>
      </c>
      <c r="H129" s="2" t="s">
        <v>339</v>
      </c>
      <c r="I129" s="2" t="str">
        <f>IFERROR(__xludf.DUMMYFUNCTION("GOOGLETRANSLATE(C129,""fr"",""en"")"),"Very happy with the service who advised me my mutual insurance
very good telephonic welcome and manage well and orient towards the best solution adapt
 ")</f>
        <v>Very happy with the service who advised me my mutual insurance
very good telephonic welcome and manage well and orient towards the best solution adapt
 </v>
      </c>
    </row>
    <row r="130" ht="15.75" customHeight="1">
      <c r="A130" s="2">
        <v>5.0</v>
      </c>
      <c r="B130" s="2" t="s">
        <v>468</v>
      </c>
      <c r="C130" s="2" t="s">
        <v>469</v>
      </c>
      <c r="D130" s="2" t="s">
        <v>26</v>
      </c>
      <c r="E130" s="2" t="s">
        <v>27</v>
      </c>
      <c r="F130" s="2" t="s">
        <v>15</v>
      </c>
      <c r="G130" s="2" t="s">
        <v>470</v>
      </c>
      <c r="H130" s="2" t="s">
        <v>57</v>
      </c>
      <c r="I130" s="2" t="str">
        <f>IFERROR(__xludf.DUMMYFUNCTION("GOOGLETRANSLATE(C130,""fr"",""en"")"),"Very satisfied with the service I recommend, very efficient staff on the phone and very responsive. The all -competition challenges. Thanks to the Olivier Assurance.")</f>
        <v>Very satisfied with the service I recommend, very efficient staff on the phone and very responsive. The all -competition challenges. Thanks to the Olivier Assurance.</v>
      </c>
    </row>
    <row r="131" ht="15.75" customHeight="1">
      <c r="A131" s="2">
        <v>1.0</v>
      </c>
      <c r="B131" s="2" t="s">
        <v>471</v>
      </c>
      <c r="C131" s="2" t="s">
        <v>472</v>
      </c>
      <c r="D131" s="2" t="s">
        <v>252</v>
      </c>
      <c r="E131" s="2" t="s">
        <v>21</v>
      </c>
      <c r="F131" s="2" t="s">
        <v>15</v>
      </c>
      <c r="G131" s="2" t="s">
        <v>473</v>
      </c>
      <c r="H131" s="2" t="s">
        <v>465</v>
      </c>
      <c r="I131" s="2" t="str">
        <f>IFERROR(__xludf.DUMMYFUNCTION("GOOGLETRANSLATE(C131,""fr"",""en"")"),"They did not update my file and it blocks the automatic remote transmission of payments to my complementary health.")</f>
        <v>They did not update my file and it blocks the automatic remote transmission of payments to my complementary health.</v>
      </c>
    </row>
    <row r="132" ht="15.75" customHeight="1">
      <c r="A132" s="2">
        <v>5.0</v>
      </c>
      <c r="B132" s="2" t="s">
        <v>474</v>
      </c>
      <c r="C132" s="2" t="s">
        <v>475</v>
      </c>
      <c r="D132" s="2" t="s">
        <v>44</v>
      </c>
      <c r="E132" s="2" t="s">
        <v>27</v>
      </c>
      <c r="F132" s="2" t="s">
        <v>15</v>
      </c>
      <c r="G132" s="2" t="s">
        <v>476</v>
      </c>
      <c r="H132" s="2" t="s">
        <v>57</v>
      </c>
      <c r="I132" s="2" t="str">
        <f>IFERROR(__xludf.DUMMYFUNCTION("GOOGLETRANSLATE(C132,""fr"",""en"")"),"A good listening to the technician.
Very professional and accommodating times and reminders.
Excellent price for having toured your competitors.
Easy to use site.")</f>
        <v>A good listening to the technician.
Very professional and accommodating times and reminders.
Excellent price for having toured your competitors.
Easy to use site.</v>
      </c>
    </row>
    <row r="133" ht="15.75" customHeight="1">
      <c r="A133" s="2">
        <v>5.0</v>
      </c>
      <c r="B133" s="2" t="s">
        <v>477</v>
      </c>
      <c r="C133" s="2" t="s">
        <v>478</v>
      </c>
      <c r="D133" s="2" t="s">
        <v>55</v>
      </c>
      <c r="E133" s="2" t="s">
        <v>14</v>
      </c>
      <c r="F133" s="2" t="s">
        <v>15</v>
      </c>
      <c r="G133" s="2" t="s">
        <v>479</v>
      </c>
      <c r="H133" s="2" t="s">
        <v>343</v>
      </c>
      <c r="I133" s="2" t="str">
        <f>IFERROR(__xludf.DUMMYFUNCTION("GOOGLETRANSLATE(C133,""fr"",""en"")"),"Serious insurance, in case of illness they are reactive the reimbursement was rapid and at the height of what I expected. I am happy with service Neoliane")</f>
        <v>Serious insurance, in case of illness they are reactive the reimbursement was rapid and at the height of what I expected. I am happy with service Neoliane</v>
      </c>
    </row>
    <row r="134" ht="15.75" customHeight="1">
      <c r="A134" s="2">
        <v>1.0</v>
      </c>
      <c r="B134" s="2" t="s">
        <v>480</v>
      </c>
      <c r="C134" s="2" t="s">
        <v>481</v>
      </c>
      <c r="D134" s="2" t="s">
        <v>84</v>
      </c>
      <c r="E134" s="2" t="s">
        <v>460</v>
      </c>
      <c r="F134" s="2" t="s">
        <v>15</v>
      </c>
      <c r="G134" s="2" t="s">
        <v>482</v>
      </c>
      <c r="H134" s="2" t="s">
        <v>278</v>
      </c>
      <c r="I134" s="2" t="str">
        <f>IFERROR(__xludf.DUMMYFUNCTION("GOOGLETRANSLATE(C134,""fr"",""en"")"),"Disappointed with this life insurance over 3 years to lose money while Axa plays with our money and shoots the strings so that it brings them more for them than their insured ... to buy my contracts at loss with difficulties. ..")</f>
        <v>Disappointed with this life insurance over 3 years to lose money while Axa plays with our money and shoots the strings so that it brings them more for them than their insured ... to buy my contracts at loss with difficulties. ..</v>
      </c>
    </row>
    <row r="135" ht="15.75" customHeight="1">
      <c r="A135" s="2">
        <v>2.0</v>
      </c>
      <c r="B135" s="2" t="s">
        <v>483</v>
      </c>
      <c r="C135" s="2" t="s">
        <v>484</v>
      </c>
      <c r="D135" s="2" t="s">
        <v>44</v>
      </c>
      <c r="E135" s="2" t="s">
        <v>27</v>
      </c>
      <c r="F135" s="2" t="s">
        <v>15</v>
      </c>
      <c r="G135" s="2" t="s">
        <v>138</v>
      </c>
      <c r="H135" s="2" t="s">
        <v>46</v>
      </c>
      <c r="I135" s="2" t="str">
        <f>IFERROR(__xludf.DUMMYFUNCTION("GOOGLETRANSLATE(C135,""fr"",""en"")"),"A welcome price offer at the beginning but then the prices increase, in the end, despite the advertisements, my experience makes me say that Direct Insurance are not the cheapest, despite the advertisements and there is no possible negotiations on their p"&amp;"art , customer service remains of quality, however, fortunately listening.")</f>
        <v>A welcome price offer at the beginning but then the prices increase, in the end, despite the advertisements, my experience makes me say that Direct Insurance are not the cheapest, despite the advertisements and there is no possible negotiations on their part , customer service remains of quality, however, fortunately listening.</v>
      </c>
    </row>
    <row r="136" ht="15.75" customHeight="1">
      <c r="A136" s="2">
        <v>2.0</v>
      </c>
      <c r="B136" s="2" t="s">
        <v>485</v>
      </c>
      <c r="C136" s="2" t="s">
        <v>486</v>
      </c>
      <c r="D136" s="2" t="s">
        <v>109</v>
      </c>
      <c r="E136" s="2" t="s">
        <v>33</v>
      </c>
      <c r="F136" s="2" t="s">
        <v>15</v>
      </c>
      <c r="G136" s="2" t="s">
        <v>487</v>
      </c>
      <c r="H136" s="2" t="s">
        <v>57</v>
      </c>
      <c r="I136" s="2" t="str">
        <f>IFERROR(__xludf.DUMMYFUNCTION("GOOGLETRANSLATE(C136,""fr"",""en"")"),"Hello,
After 20 years of seniority with this insurance for my home, my cars (s) and life accident contracts, my contract was terminated because I had 3 damage, (climatic causes) in 3 years for a total sum of 'About 2500 euros ...
I found that it was goo"&amp;"d insurance, good contact and good follow -up, and I realize with a lot of naivety I concede it, that it is only a company like the others for whom only profitability.
Complete termination without regret.
")</f>
        <v>Hello,
After 20 years of seniority with this insurance for my home, my cars (s) and life accident contracts, my contract was terminated because I had 3 damage, (climatic causes) in 3 years for a total sum of 'About 2500 euros ...
I found that it was good insurance, good contact and good follow -up, and I realize with a lot of naivety I concede it, that it is only a company like the others for whom only profitability.
Complete termination without regret.
</v>
      </c>
    </row>
    <row r="137" ht="15.75" customHeight="1">
      <c r="A137" s="2">
        <v>5.0</v>
      </c>
      <c r="B137" s="2" t="s">
        <v>488</v>
      </c>
      <c r="C137" s="2" t="s">
        <v>489</v>
      </c>
      <c r="D137" s="2" t="s">
        <v>26</v>
      </c>
      <c r="E137" s="2" t="s">
        <v>27</v>
      </c>
      <c r="F137" s="2" t="s">
        <v>15</v>
      </c>
      <c r="G137" s="2" t="s">
        <v>490</v>
      </c>
      <c r="H137" s="2" t="s">
        <v>343</v>
      </c>
      <c r="I137" s="2" t="str">
        <f>IFERROR(__xludf.DUMMYFUNCTION("GOOGLETRANSLATE(C137,""fr"",""en"")"),"Young driver, I was insured in another company but I paid too much. I changed easily in a short time by doing everything by phone: very practical! Nothing to say, nice advise and listening. They explained everything to me in detail and answered my questio"&amp;"ns")</f>
        <v>Young driver, I was insured in another company but I paid too much. I changed easily in a short time by doing everything by phone: very practical! Nothing to say, nice advise and listening. They explained everything to me in detail and answered my questions</v>
      </c>
    </row>
    <row r="138" ht="15.75" customHeight="1">
      <c r="A138" s="2">
        <v>4.0</v>
      </c>
      <c r="B138" s="2" t="s">
        <v>491</v>
      </c>
      <c r="C138" s="2" t="s">
        <v>492</v>
      </c>
      <c r="D138" s="2" t="s">
        <v>26</v>
      </c>
      <c r="E138" s="2" t="s">
        <v>27</v>
      </c>
      <c r="F138" s="2" t="s">
        <v>15</v>
      </c>
      <c r="G138" s="2" t="s">
        <v>23</v>
      </c>
      <c r="H138" s="2" t="s">
        <v>23</v>
      </c>
      <c r="I138" s="2" t="str">
        <f>IFERROR(__xludf.DUMMYFUNCTION("GOOGLETRANSLATE(C138,""fr"",""en"")"),"Very happy with the result. A good understanding on the part of the Nterlocutor for the troubleshooting concern. Very satisfied with listening.
Thank you again for the gesture made.")</f>
        <v>Very happy with the result. A good understanding on the part of the Nterlocutor for the troubleshooting concern. Very satisfied with listening.
Thank you again for the gesture made.</v>
      </c>
    </row>
    <row r="139" ht="15.75" customHeight="1">
      <c r="A139" s="2">
        <v>2.0</v>
      </c>
      <c r="B139" s="2" t="s">
        <v>493</v>
      </c>
      <c r="C139" s="2" t="s">
        <v>494</v>
      </c>
      <c r="D139" s="2" t="s">
        <v>455</v>
      </c>
      <c r="E139" s="2" t="s">
        <v>76</v>
      </c>
      <c r="F139" s="2" t="s">
        <v>15</v>
      </c>
      <c r="G139" s="2" t="s">
        <v>495</v>
      </c>
      <c r="H139" s="2" t="s">
        <v>278</v>
      </c>
      <c r="I139" s="2" t="str">
        <f>IFERROR(__xludf.DUMMYFUNCTION("GOOGLETRANSLATE(C139,""fr"",""en"")"),"This day receive my 2021 schedule, increase of 31 % without justification !! Inadmissible. I leave this mutual for an establishment more concerned with its members.")</f>
        <v>This day receive my 2021 schedule, increase of 31 % without justification !! Inadmissible. I leave this mutual for an establishment more concerned with its members.</v>
      </c>
    </row>
    <row r="140" ht="15.75" customHeight="1">
      <c r="A140" s="2">
        <v>3.0</v>
      </c>
      <c r="B140" s="2" t="s">
        <v>496</v>
      </c>
      <c r="C140" s="2" t="s">
        <v>497</v>
      </c>
      <c r="D140" s="2" t="s">
        <v>134</v>
      </c>
      <c r="E140" s="2" t="s">
        <v>27</v>
      </c>
      <c r="F140" s="2" t="s">
        <v>15</v>
      </c>
      <c r="G140" s="2" t="s">
        <v>412</v>
      </c>
      <c r="H140" s="2" t="s">
        <v>29</v>
      </c>
      <c r="I140" s="2" t="str">
        <f>IFERROR(__xludf.DUMMYFUNCTION("GOOGLETRANSLATE(C140,""fr"",""en"")"),"The monthly sampling fees are exorbitant. It is the only organization whose monthly payments are billed. It is a shame that this policy is not reviewed to help members.")</f>
        <v>The monthly sampling fees are exorbitant. It is the only organization whose monthly payments are billed. It is a shame that this policy is not reviewed to help members.</v>
      </c>
    </row>
    <row r="141" ht="15.75" customHeight="1">
      <c r="A141" s="2">
        <v>4.0</v>
      </c>
      <c r="B141" s="2" t="s">
        <v>498</v>
      </c>
      <c r="C141" s="2" t="s">
        <v>499</v>
      </c>
      <c r="D141" s="2" t="s">
        <v>134</v>
      </c>
      <c r="E141" s="2" t="s">
        <v>27</v>
      </c>
      <c r="F141" s="2" t="s">
        <v>15</v>
      </c>
      <c r="G141" s="2" t="s">
        <v>500</v>
      </c>
      <c r="H141" s="2" t="s">
        <v>177</v>
      </c>
      <c r="I141" s="2" t="str">
        <f>IFERROR(__xludf.DUMMYFUNCTION("GOOGLETRANSLATE(C141,""fr"",""en"")"),"Easy and quick contacts with GMF whether on their site or by phone.
Completely satisfactory support in driving claims.")</f>
        <v>Easy and quick contacts with GMF whether on their site or by phone.
Completely satisfactory support in driving claims.</v>
      </c>
    </row>
    <row r="142" ht="15.75" customHeight="1">
      <c r="A142" s="2">
        <v>4.0</v>
      </c>
      <c r="B142" s="2" t="s">
        <v>501</v>
      </c>
      <c r="C142" s="2" t="s">
        <v>502</v>
      </c>
      <c r="D142" s="2" t="s">
        <v>44</v>
      </c>
      <c r="E142" s="2" t="s">
        <v>27</v>
      </c>
      <c r="F142" s="2" t="s">
        <v>15</v>
      </c>
      <c r="G142" s="2" t="s">
        <v>503</v>
      </c>
      <c r="H142" s="2" t="s">
        <v>41</v>
      </c>
      <c r="I142" s="2" t="str">
        <f>IFERROR(__xludf.DUMMYFUNCTION("GOOGLETRANSLATE(C142,""fr"",""en"")"),"I am satisfied with the service .... but I am waiting for my insurance certificate before May 23, 2021 because the management of the HLM of Tours my already sent a ""threat"" !!! If I do not send them the paper justifying my app insurance. thank you")</f>
        <v>I am satisfied with the service .... but I am waiting for my insurance certificate before May 23, 2021 because the management of the HLM of Tours my already sent a "threat" !!! If I do not send them the paper justifying my app insurance. thank you</v>
      </c>
    </row>
    <row r="143" ht="15.75" customHeight="1">
      <c r="A143" s="2">
        <v>4.0</v>
      </c>
      <c r="B143" s="2" t="s">
        <v>504</v>
      </c>
      <c r="C143" s="2" t="s">
        <v>505</v>
      </c>
      <c r="D143" s="2" t="s">
        <v>26</v>
      </c>
      <c r="E143" s="2" t="s">
        <v>27</v>
      </c>
      <c r="F143" s="2" t="s">
        <v>15</v>
      </c>
      <c r="G143" s="2" t="s">
        <v>506</v>
      </c>
      <c r="H143" s="2" t="s">
        <v>35</v>
      </c>
      <c r="I143" s="2" t="str">
        <f>IFERROR(__xludf.DUMMYFUNCTION("GOOGLETRANSLATE(C143,""fr"",""en"")"),"Very good contact on the phone and quality assistance (provision of stakeholders and speed)
I would gladly recommend this insurance company")</f>
        <v>Very good contact on the phone and quality assistance (provision of stakeholders and speed)
I would gladly recommend this insurance company</v>
      </c>
    </row>
    <row r="144" ht="15.75" customHeight="1">
      <c r="A144" s="2">
        <v>2.0</v>
      </c>
      <c r="B144" s="2" t="s">
        <v>507</v>
      </c>
      <c r="C144" s="2" t="s">
        <v>508</v>
      </c>
      <c r="D144" s="2" t="s">
        <v>55</v>
      </c>
      <c r="E144" s="2" t="s">
        <v>14</v>
      </c>
      <c r="F144" s="2" t="s">
        <v>15</v>
      </c>
      <c r="G144" s="2" t="s">
        <v>509</v>
      </c>
      <c r="H144" s="2" t="s">
        <v>86</v>
      </c>
      <c r="I144" s="2" t="str">
        <f>IFERROR(__xludf.DUMMYFUNCTION("GOOGLETRANSLATE(C144,""fr"",""en"")"),"According to my Ameli account I am not a mutual and from what I read it does not feel very good I regret not having inquired before I leave them until the end")</f>
        <v>According to my Ameli account I am not a mutual and from what I read it does not feel very good I regret not having inquired before I leave them until the end</v>
      </c>
    </row>
    <row r="145" ht="15.75" customHeight="1">
      <c r="A145" s="2">
        <v>4.0</v>
      </c>
      <c r="B145" s="2" t="s">
        <v>510</v>
      </c>
      <c r="C145" s="2" t="s">
        <v>511</v>
      </c>
      <c r="D145" s="2" t="s">
        <v>26</v>
      </c>
      <c r="E145" s="2" t="s">
        <v>27</v>
      </c>
      <c r="F145" s="2" t="s">
        <v>15</v>
      </c>
      <c r="G145" s="2" t="s">
        <v>45</v>
      </c>
      <c r="H145" s="2" t="s">
        <v>46</v>
      </c>
      <c r="I145" s="2" t="str">
        <f>IFERROR(__xludf.DUMMYFUNCTION("GOOGLETRANSLATE(C145,""fr"",""en"")"),"The establishment and contract completion are easy to set up, as are calls for the platform.
More than to see in the event of a claim, but I am not in a hurry !!")</f>
        <v>The establishment and contract completion are easy to set up, as are calls for the platform.
More than to see in the event of a claim, but I am not in a hurry !!</v>
      </c>
    </row>
    <row r="146" ht="15.75" customHeight="1">
      <c r="A146" s="2">
        <v>1.0</v>
      </c>
      <c r="B146" s="2" t="s">
        <v>512</v>
      </c>
      <c r="C146" s="2" t="s">
        <v>513</v>
      </c>
      <c r="D146" s="2" t="s">
        <v>129</v>
      </c>
      <c r="E146" s="2" t="s">
        <v>27</v>
      </c>
      <c r="F146" s="2" t="s">
        <v>15</v>
      </c>
      <c r="G146" s="2" t="s">
        <v>514</v>
      </c>
      <c r="H146" s="2" t="s">
        <v>62</v>
      </c>
      <c r="I146" s="2" t="str">
        <f>IFERROR(__xludf.DUMMYFUNCTION("GOOGLETRANSLATE(C146,""fr"",""en"")"),"To flee !
Inexpensive insurance because no service.
Nice standardists but without results
The documents were lost twice between the services.
Assessment: X2 case fees
Telephone hours for 0 services!")</f>
        <v>To flee !
Inexpensive insurance because no service.
Nice standardists but without results
The documents were lost twice between the services.
Assessment: X2 case fees
Telephone hours for 0 services!</v>
      </c>
    </row>
    <row r="147" ht="15.75" customHeight="1">
      <c r="A147" s="2">
        <v>4.0</v>
      </c>
      <c r="B147" s="2" t="s">
        <v>515</v>
      </c>
      <c r="C147" s="2" t="s">
        <v>516</v>
      </c>
      <c r="D147" s="2" t="s">
        <v>517</v>
      </c>
      <c r="E147" s="2" t="s">
        <v>76</v>
      </c>
      <c r="F147" s="2" t="s">
        <v>15</v>
      </c>
      <c r="G147" s="2" t="s">
        <v>518</v>
      </c>
      <c r="H147" s="2" t="s">
        <v>519</v>
      </c>
      <c r="I147" s="2" t="str">
        <f>IFERROR(__xludf.DUMMYFUNCTION("GOOGLETRANSLATE(C147,""fr"",""en"")"),"I have been a member for some time and I was taken care of quickly and accompanied by the best in the phone during an ITT of several months.
I am satisfied with the quality of interior service and proximity to customer service.
I am satisfied with the"&amp;" quality of interior service and proximity to customer service.")</f>
        <v>I have been a member for some time and I was taken care of quickly and accompanied by the best in the phone during an ITT of several months.
I am satisfied with the quality of interior service and proximity to customer service.
I am satisfied with the quality of interior service and proximity to customer service.</v>
      </c>
    </row>
    <row r="148" ht="15.75" customHeight="1">
      <c r="A148" s="2">
        <v>2.0</v>
      </c>
      <c r="B148" s="2" t="s">
        <v>520</v>
      </c>
      <c r="C148" s="2" t="s">
        <v>521</v>
      </c>
      <c r="D148" s="2" t="s">
        <v>105</v>
      </c>
      <c r="E148" s="2" t="s">
        <v>39</v>
      </c>
      <c r="F148" s="2" t="s">
        <v>15</v>
      </c>
      <c r="G148" s="2" t="s">
        <v>522</v>
      </c>
      <c r="H148" s="2" t="s">
        <v>343</v>
      </c>
      <c r="I148" s="2" t="str">
        <f>IFERROR(__xludf.DUMMYFUNCTION("GOOGLETRANSLATE(C148,""fr"",""en"")"),"Sending documents + payment of insurance by transfer for the first three months .... and since then it is .... radio silence! I sent emails, tried to reach them, etc ... So they make me laugh with their covid but it is not the covid which forces this insu"&amp;"rance to close its standard 3/4 of the time, it is Lack of staff ...! I'm going to switch my two motorcycle insurance elsewhere if it is not set in the week, fed up for a pigeon ... I still don't have a green card ...!")</f>
        <v>Sending documents + payment of insurance by transfer for the first three months .... and since then it is .... radio silence! I sent emails, tried to reach them, etc ... So they make me laugh with their covid but it is not the covid which forces this insurance to close its standard 3/4 of the time, it is Lack of staff ...! I'm going to switch my two motorcycle insurance elsewhere if it is not set in the week, fed up for a pigeon ... I still don't have a green card ...!</v>
      </c>
    </row>
    <row r="149" ht="15.75" customHeight="1">
      <c r="A149" s="2">
        <v>2.0</v>
      </c>
      <c r="B149" s="2" t="s">
        <v>523</v>
      </c>
      <c r="C149" s="2" t="s">
        <v>524</v>
      </c>
      <c r="D149" s="2" t="s">
        <v>44</v>
      </c>
      <c r="E149" s="2" t="s">
        <v>27</v>
      </c>
      <c r="F149" s="2" t="s">
        <v>15</v>
      </c>
      <c r="G149" s="2" t="s">
        <v>525</v>
      </c>
      <c r="H149" s="2" t="s">
        <v>234</v>
      </c>
      <c r="I149" s="2" t="str">
        <f>IFERROR(__xludf.DUMMYFUNCTION("GOOGLETRANSLATE(C149,""fr"",""en"")"),"To flee !!! Doubtful commercial practices, price increase every year and does not recognize her wrongs when she makes a mistake. A disaster !")</f>
        <v>To flee !!! Doubtful commercial practices, price increase every year and does not recognize her wrongs when she makes a mistake. A disaster !</v>
      </c>
    </row>
    <row r="150" ht="15.75" customHeight="1">
      <c r="A150" s="2">
        <v>1.0</v>
      </c>
      <c r="B150" s="2" t="s">
        <v>526</v>
      </c>
      <c r="C150" s="2" t="s">
        <v>527</v>
      </c>
      <c r="D150" s="2" t="s">
        <v>32</v>
      </c>
      <c r="E150" s="2" t="s">
        <v>33</v>
      </c>
      <c r="F150" s="2" t="s">
        <v>15</v>
      </c>
      <c r="G150" s="2" t="s">
        <v>528</v>
      </c>
      <c r="H150" s="2" t="s">
        <v>529</v>
      </c>
      <c r="I150" s="2" t="str">
        <f>IFERROR(__xludf.DUMMYFUNCTION("GOOGLETRANSLATE(C150,""fr"",""en"")"),"We remain awaiting our compensation relating to a fire fire fire since February. Apart from 5 days of rehousing at the hotel, that's all we got. We were told that a cleaning company would pass, we are still waiting for it. We have no way to heat up proper"&amp;"ly at home, winter is difficult. We have no return from insurance, in short, totally disappointed, several years of subscription, and it will be the last ...")</f>
        <v>We remain awaiting our compensation relating to a fire fire fire since February. Apart from 5 days of rehousing at the hotel, that's all we got. We were told that a cleaning company would pass, we are still waiting for it. We have no way to heat up properly at home, winter is difficult. We have no return from insurance, in short, totally disappointed, several years of subscription, and it will be the last ...</v>
      </c>
    </row>
    <row r="151" ht="15.75" customHeight="1">
      <c r="A151" s="2">
        <v>4.0</v>
      </c>
      <c r="B151" s="2" t="s">
        <v>530</v>
      </c>
      <c r="C151" s="2" t="s">
        <v>531</v>
      </c>
      <c r="D151" s="2" t="s">
        <v>38</v>
      </c>
      <c r="E151" s="2" t="s">
        <v>39</v>
      </c>
      <c r="F151" s="2" t="s">
        <v>15</v>
      </c>
      <c r="G151" s="2" t="s">
        <v>532</v>
      </c>
      <c r="H151" s="2" t="s">
        <v>159</v>
      </c>
      <c r="I151" s="2" t="str">
        <f>IFERROR(__xludf.DUMMYFUNCTION("GOOGLETRANSLATE(C151,""fr"",""en"")"),"Nothing to say I am Trers satifies the price offers ..... I would recommend with great pleasure your company for friends who are looking for June assurance for their 2 wheels")</f>
        <v>Nothing to say I am Trers satifies the price offers ..... I would recommend with great pleasure your company for friends who are looking for June assurance for their 2 wheels</v>
      </c>
    </row>
    <row r="152" ht="15.75" customHeight="1">
      <c r="A152" s="2">
        <v>1.0</v>
      </c>
      <c r="B152" s="2" t="s">
        <v>533</v>
      </c>
      <c r="C152" s="2" t="s">
        <v>534</v>
      </c>
      <c r="D152" s="2" t="s">
        <v>70</v>
      </c>
      <c r="E152" s="2" t="s">
        <v>14</v>
      </c>
      <c r="F152" s="2" t="s">
        <v>15</v>
      </c>
      <c r="G152" s="2" t="s">
        <v>238</v>
      </c>
      <c r="H152" s="2" t="s">
        <v>35</v>
      </c>
      <c r="I152" s="2" t="str">
        <f>IFERROR(__xludf.DUMMYFUNCTION("GOOGLETRANSLATE(C152,""fr"",""en"")"),"Insurance that does not facilitate the steps of its customers: does not provide email to transmit documents, obliges to create an account or send letters.
Very long treatment deadlines (2 months that I am waiting for a refund!) And no prioritization of c"&amp;"omplaints.
For 1 week my RIB has not been changed, and I continue to wait, since of course Mutual Harmony does not keep you posted.
Deplorable customer service that does not offer a solution and says ""go make a complaint""
It was my mutual company and"&amp;" well believe me it is a disaster. To flee!")</f>
        <v>Insurance that does not facilitate the steps of its customers: does not provide email to transmit documents, obliges to create an account or send letters.
Very long treatment deadlines (2 months that I am waiting for a refund!) And no prioritization of complaints.
For 1 week my RIB has not been changed, and I continue to wait, since of course Mutual Harmony does not keep you posted.
Deplorable customer service that does not offer a solution and says "go make a complaint"
It was my mutual company and well believe me it is a disaster. To flee!</v>
      </c>
    </row>
    <row r="153" ht="15.75" customHeight="1">
      <c r="A153" s="2">
        <v>3.0</v>
      </c>
      <c r="B153" s="2" t="s">
        <v>535</v>
      </c>
      <c r="C153" s="2" t="s">
        <v>536</v>
      </c>
      <c r="D153" s="2" t="s">
        <v>44</v>
      </c>
      <c r="E153" s="2" t="s">
        <v>27</v>
      </c>
      <c r="F153" s="2" t="s">
        <v>15</v>
      </c>
      <c r="G153" s="2" t="s">
        <v>537</v>
      </c>
      <c r="H153" s="2" t="s">
        <v>57</v>
      </c>
      <c r="I153" s="2" t="str">
        <f>IFERROR(__xludf.DUMMYFUNCTION("GOOGLETRANSLATE(C153,""fr"",""en"")"),"I am satisfied with the service via the Internet The prices remain average, can do better for prices could be adjusted according to the number of claims per family")</f>
        <v>I am satisfied with the service via the Internet The prices remain average, can do better for prices could be adjusted according to the number of claims per family</v>
      </c>
    </row>
    <row r="154" ht="15.75" customHeight="1">
      <c r="A154" s="2">
        <v>4.0</v>
      </c>
      <c r="B154" s="2" t="s">
        <v>538</v>
      </c>
      <c r="C154" s="2" t="s">
        <v>539</v>
      </c>
      <c r="D154" s="2" t="s">
        <v>540</v>
      </c>
      <c r="E154" s="2" t="s">
        <v>14</v>
      </c>
      <c r="F154" s="2" t="s">
        <v>15</v>
      </c>
      <c r="G154" s="2" t="s">
        <v>155</v>
      </c>
      <c r="H154" s="2" t="s">
        <v>29</v>
      </c>
      <c r="I154" s="2" t="str">
        <f>IFERROR(__xludf.DUMMYFUNCTION("GOOGLETRANSLATE(C154,""fr"",""en"")"),"Hello,
I am completely satisfied with the MGP health mutual. Mutual that I have been for 42 years.
When you are satisfied, there is nothing to add.
Best regards")</f>
        <v>Hello,
I am completely satisfied with the MGP health mutual. Mutual that I have been for 42 years.
When you are satisfied, there is nothing to add.
Best regards</v>
      </c>
    </row>
    <row r="155" ht="15.75" customHeight="1">
      <c r="A155" s="2">
        <v>1.0</v>
      </c>
      <c r="B155" s="2" t="s">
        <v>541</v>
      </c>
      <c r="C155" s="2" t="s">
        <v>542</v>
      </c>
      <c r="D155" s="2" t="s">
        <v>252</v>
      </c>
      <c r="E155" s="2" t="s">
        <v>14</v>
      </c>
      <c r="F155" s="2" t="s">
        <v>15</v>
      </c>
      <c r="G155" s="2" t="s">
        <v>543</v>
      </c>
      <c r="H155" s="2" t="s">
        <v>544</v>
      </c>
      <c r="I155" s="2" t="str">
        <f>IFERROR(__xludf.DUMMYFUNCTION("GOOGLETRANSLATE(C155,""fr"",""en"")"),"does not reimburse his obligations and does not meet email or recommended letters with AR not believable I sent four requests by email, a registered letter with AR received on October 22 to date, we can not even send an email.
")</f>
        <v>does not reimburse his obligations and does not meet email or recommended letters with AR not believable I sent four requests by email, a registered letter with AR received on October 22 to date, we can not even send an email.
</v>
      </c>
    </row>
    <row r="156" ht="15.75" customHeight="1">
      <c r="A156" s="2">
        <v>1.0</v>
      </c>
      <c r="B156" s="2" t="s">
        <v>545</v>
      </c>
      <c r="C156" s="2" t="s">
        <v>546</v>
      </c>
      <c r="D156" s="2" t="s">
        <v>84</v>
      </c>
      <c r="E156" s="2" t="s">
        <v>39</v>
      </c>
      <c r="F156" s="2" t="s">
        <v>15</v>
      </c>
      <c r="G156" s="2" t="s">
        <v>547</v>
      </c>
      <c r="H156" s="2" t="s">
        <v>278</v>
      </c>
      <c r="I156" s="2" t="str">
        <f>IFERROR(__xludf.DUMMYFUNCTION("GOOGLETRANSLATE(C156,""fr"",""en"")"),"21 years old with them !!! Never a claim !!! Nor reimbursement of anything !! Debit !!! For 4 years my subscription has increased by 50% it is enough ... it's good ... I will leave this pump at money insurance 80290
")</f>
        <v>21 years old with them !!! Never a claim !!! Nor reimbursement of anything !! Debit !!! For 4 years my subscription has increased by 50% it is enough ... it's good ... I will leave this pump at money insurance 80290
</v>
      </c>
    </row>
    <row r="157" ht="15.75" customHeight="1">
      <c r="A157" s="2">
        <v>1.0</v>
      </c>
      <c r="B157" s="2" t="s">
        <v>548</v>
      </c>
      <c r="C157" s="2" t="s">
        <v>549</v>
      </c>
      <c r="D157" s="2" t="s">
        <v>237</v>
      </c>
      <c r="E157" s="2" t="s">
        <v>14</v>
      </c>
      <c r="F157" s="2" t="s">
        <v>15</v>
      </c>
      <c r="G157" s="2" t="s">
        <v>550</v>
      </c>
      <c r="H157" s="2" t="s">
        <v>159</v>
      </c>
      <c r="I157" s="2" t="str">
        <f>IFERROR(__xludf.DUMMYFUNCTION("GOOGLETRANSLATE(C157,""fr"",""en"")"),"Very bad mutual, many errors, no possible exchanges, they do not answer on the phone or your emails. I do not recommend this mutual")</f>
        <v>Very bad mutual, many errors, no possible exchanges, they do not answer on the phone or your emails. I do not recommend this mutual</v>
      </c>
    </row>
    <row r="158" ht="15.75" customHeight="1">
      <c r="A158" s="2">
        <v>4.0</v>
      </c>
      <c r="B158" s="2" t="s">
        <v>551</v>
      </c>
      <c r="C158" s="2" t="s">
        <v>552</v>
      </c>
      <c r="D158" s="2" t="s">
        <v>60</v>
      </c>
      <c r="E158" s="2" t="s">
        <v>14</v>
      </c>
      <c r="F158" s="2" t="s">
        <v>15</v>
      </c>
      <c r="G158" s="2" t="s">
        <v>553</v>
      </c>
      <c r="H158" s="2" t="s">
        <v>554</v>
      </c>
      <c r="I158" s="2" t="str">
        <f>IFERROR(__xludf.DUMMYFUNCTION("GOOGLETRANSLATE(C158,""fr"",""en"")"),"Very good mutual, with whom we can admit discussions on the phone, which is very pleasant. Does not push to take a higher contract. They study our needs well")</f>
        <v>Very good mutual, with whom we can admit discussions on the phone, which is very pleasant. Does not push to take a higher contract. They study our needs well</v>
      </c>
    </row>
    <row r="159" ht="15.75" customHeight="1">
      <c r="A159" s="2">
        <v>1.0</v>
      </c>
      <c r="B159" s="2" t="s">
        <v>555</v>
      </c>
      <c r="C159" s="2" t="s">
        <v>556</v>
      </c>
      <c r="D159" s="2" t="s">
        <v>105</v>
      </c>
      <c r="E159" s="2" t="s">
        <v>39</v>
      </c>
      <c r="F159" s="2" t="s">
        <v>15</v>
      </c>
      <c r="G159" s="2" t="s">
        <v>557</v>
      </c>
      <c r="H159" s="2" t="s">
        <v>465</v>
      </c>
      <c r="I159" s="2" t="str">
        <f>IFERROR(__xludf.DUMMYFUNCTION("GOOGLETRANSLATE(C159,""fr"",""en"")"),"Correct price but non -professional insurance.
Victim of a flight for 4 months, more contact on their part ...
Everything is fine to pay for your subscription, but during a disaster there is no one left.
The person ask me for a document every day then "&amp;"more news from them")</f>
        <v>Correct price but non -professional insurance.
Victim of a flight for 4 months, more contact on their part ...
Everything is fine to pay for your subscription, but during a disaster there is no one left.
The person ask me for a document every day then more news from them</v>
      </c>
    </row>
    <row r="160" ht="15.75" customHeight="1">
      <c r="A160" s="2">
        <v>1.0</v>
      </c>
      <c r="B160" s="2" t="s">
        <v>558</v>
      </c>
      <c r="C160" s="2" t="s">
        <v>559</v>
      </c>
      <c r="D160" s="2" t="s">
        <v>560</v>
      </c>
      <c r="E160" s="2" t="s">
        <v>561</v>
      </c>
      <c r="F160" s="2" t="s">
        <v>15</v>
      </c>
      <c r="G160" s="2" t="s">
        <v>562</v>
      </c>
      <c r="H160" s="2" t="s">
        <v>86</v>
      </c>
      <c r="I160" s="2" t="str">
        <f>IFERROR(__xludf.DUMMYFUNCTION("GOOGLETRANSLATE(C160,""fr"",""en"")"),"If you are not at this insurance do not register, they do not reimburse the veterinarian fees apart from the minimum. I had my dog ​​operated for an emergency pyometer because it is an infection of the uterus and the ovaries and the veterinarian had to re"&amp;"move them, I had for 575.22 euros and ECA reimbursed me that 100 euros telling me it was sterilization and not a disease. Advice unsettled if you can or avoid getting started.")</f>
        <v>If you are not at this insurance do not register, they do not reimburse the veterinarian fees apart from the minimum. I had my dog ​​operated for an emergency pyometer because it is an infection of the uterus and the ovaries and the veterinarian had to remove them, I had for 575.22 euros and ECA reimbursed me that 100 euros telling me it was sterilization and not a disease. Advice unsettled if you can or avoid getting started.</v>
      </c>
    </row>
    <row r="161" ht="15.75" customHeight="1">
      <c r="A161" s="2">
        <v>2.0</v>
      </c>
      <c r="B161" s="2" t="s">
        <v>563</v>
      </c>
      <c r="C161" s="2" t="s">
        <v>564</v>
      </c>
      <c r="D161" s="2" t="s">
        <v>125</v>
      </c>
      <c r="E161" s="2" t="s">
        <v>14</v>
      </c>
      <c r="F161" s="2" t="s">
        <v>15</v>
      </c>
      <c r="G161" s="2" t="s">
        <v>565</v>
      </c>
      <c r="H161" s="2" t="s">
        <v>177</v>
      </c>
      <c r="I161" s="2" t="str">
        <f>IFERROR(__xludf.DUMMYFUNCTION("GOOGLETRANSLATE(C161,""fr"",""en"")"),"Incredible we make fun of people Mme Hernandez knew how to approach us so that we adhere to Cégema,
Null result since August 7 I await my refund of the exams and room of the mail clinic phone call while no vain no response or reimbursement
Really grea"&amp;"t this mutual to flee")</f>
        <v>Incredible we make fun of people Mme Hernandez knew how to approach us so that we adhere to Cégema,
Null result since August 7 I await my refund of the exams and room of the mail clinic phone call while no vain no response or reimbursement
Really great this mutual to flee</v>
      </c>
    </row>
    <row r="162" ht="15.75" customHeight="1">
      <c r="A162" s="2">
        <v>5.0</v>
      </c>
      <c r="B162" s="2" t="s">
        <v>566</v>
      </c>
      <c r="C162" s="2" t="s">
        <v>567</v>
      </c>
      <c r="D162" s="2" t="s">
        <v>44</v>
      </c>
      <c r="E162" s="2" t="s">
        <v>27</v>
      </c>
      <c r="F162" s="2" t="s">
        <v>15</v>
      </c>
      <c r="G162" s="2" t="s">
        <v>441</v>
      </c>
      <c r="H162" s="2" t="s">
        <v>57</v>
      </c>
      <c r="I162" s="2" t="str">
        <f>IFERROR(__xludf.DUMMYFUNCTION("GOOGLETRANSLATE(C162,""fr"",""en"")"),"I am satisfied I thank the whole team hoping that my file is finally complete as I have no more voice impossible to call you, cordially yours")</f>
        <v>I am satisfied I thank the whole team hoping that my file is finally complete as I have no more voice impossible to call you, cordially yours</v>
      </c>
    </row>
    <row r="163" ht="15.75" customHeight="1">
      <c r="A163" s="2">
        <v>1.0</v>
      </c>
      <c r="B163" s="2" t="s">
        <v>568</v>
      </c>
      <c r="C163" s="2" t="s">
        <v>569</v>
      </c>
      <c r="D163" s="2" t="s">
        <v>44</v>
      </c>
      <c r="E163" s="2" t="s">
        <v>27</v>
      </c>
      <c r="F163" s="2" t="s">
        <v>15</v>
      </c>
      <c r="G163" s="2" t="s">
        <v>570</v>
      </c>
      <c r="H163" s="2" t="s">
        <v>571</v>
      </c>
      <c r="I163" s="2" t="str">
        <f>IFERROR(__xludf.DUMMYFUNCTION("GOOGLETRANSLATE(C163,""fr"",""en"")"),"I am assured at Direct Insurance in 2012 my spouse had a responsible accident. Assistant to the third party they do not take the repairs in account OK I understand but which exasperated me is that they put my vehicle in a VGE ( Seriously damaged vehicle) "&amp;"and my termination when there was some damage but no matter I have repaired it a 13000 euros credit for this car parked at the bottom of my home and not rolled up with what right blocks me t ' He vehicle I am disappointed with this insurance the worst is "&amp;"that they increase your contributions every year without warning you it should not be lowered when seeing no claims for a long time.")</f>
        <v>I am assured at Direct Insurance in 2012 my spouse had a responsible accident. Assistant to the third party they do not take the repairs in account OK I understand but which exasperated me is that they put my vehicle in a VGE ( Seriously damaged vehicle) and my termination when there was some damage but no matter I have repaired it a 13000 euros credit for this car parked at the bottom of my home and not rolled up with what right blocks me t ' He vehicle I am disappointed with this insurance the worst is that they increase your contributions every year without warning you it should not be lowered when seeing no claims for a long time.</v>
      </c>
    </row>
    <row r="164" ht="15.75" customHeight="1">
      <c r="A164" s="2">
        <v>2.0</v>
      </c>
      <c r="B164" s="2" t="s">
        <v>572</v>
      </c>
      <c r="C164" s="2" t="s">
        <v>573</v>
      </c>
      <c r="D164" s="2" t="s">
        <v>237</v>
      </c>
      <c r="E164" s="2" t="s">
        <v>14</v>
      </c>
      <c r="F164" s="2" t="s">
        <v>15</v>
      </c>
      <c r="G164" s="2" t="s">
        <v>574</v>
      </c>
      <c r="H164" s="2" t="s">
        <v>343</v>
      </c>
      <c r="I164" s="2" t="str">
        <f>IFERROR(__xludf.DUMMYFUNCTION("GOOGLETRANSLATE(C164,""fr"",""en"")"),"Impossible to do a hospital care online, you must call ... 15 to 20 minutes of waiting! Once online he cannot take care and no goodwill to take charge of the file and find solutions! The website has no practical use and the application does not recognize "&amp;"the identifier! It is my worst complementary that I had ... and it is only just beginning, it is the new employer mutual. It promises!")</f>
        <v>Impossible to do a hospital care online, you must call ... 15 to 20 minutes of waiting! Once online he cannot take care and no goodwill to take charge of the file and find solutions! The website has no practical use and the application does not recognize the identifier! It is my worst complementary that I had ... and it is only just beginning, it is the new employer mutual. It promises!</v>
      </c>
    </row>
    <row r="165" ht="15.75" customHeight="1">
      <c r="A165" s="2">
        <v>4.0</v>
      </c>
      <c r="B165" s="2" t="s">
        <v>575</v>
      </c>
      <c r="C165" s="2" t="s">
        <v>576</v>
      </c>
      <c r="D165" s="2" t="s">
        <v>44</v>
      </c>
      <c r="E165" s="2" t="s">
        <v>27</v>
      </c>
      <c r="F165" s="2" t="s">
        <v>15</v>
      </c>
      <c r="G165" s="2" t="s">
        <v>354</v>
      </c>
      <c r="H165" s="2" t="s">
        <v>46</v>
      </c>
      <c r="I165" s="2" t="str">
        <f>IFERROR(__xludf.DUMMYFUNCTION("GOOGLETRANSLATE(C165,""fr"",""en"")"),"Simple and fast and all online! Pleasantly supris by the quality of the web interface - hoping to find a bonus 50 as quickly as possible thank you direct insurance")</f>
        <v>Simple and fast and all online! Pleasantly supris by the quality of the web interface - hoping to find a bonus 50 as quickly as possible thank you direct insurance</v>
      </c>
    </row>
    <row r="166" ht="15.75" customHeight="1">
      <c r="A166" s="2">
        <v>3.0</v>
      </c>
      <c r="B166" s="2" t="s">
        <v>577</v>
      </c>
      <c r="C166" s="2" t="s">
        <v>578</v>
      </c>
      <c r="D166" s="2" t="s">
        <v>134</v>
      </c>
      <c r="E166" s="2" t="s">
        <v>27</v>
      </c>
      <c r="F166" s="2" t="s">
        <v>15</v>
      </c>
      <c r="G166" s="2" t="s">
        <v>579</v>
      </c>
      <c r="H166" s="2" t="s">
        <v>23</v>
      </c>
      <c r="I166" s="2" t="str">
        <f>IFERROR(__xludf.DUMMYFUNCTION("GOOGLETRANSLATE(C166,""fr"",""en"")"),"I wanted to insure myself at home (two cars and a house) but I could not have an appointment I composed a number and I was very badly received so I am going elsewhere
Contact the Ajaccio agency to which I then addressed a letter
Cordially
")</f>
        <v>I wanted to insure myself at home (two cars and a house) but I could not have an appointment I composed a number and I was very badly received so I am going elsewhere
Contact the Ajaccio agency to which I then addressed a letter
Cordially
</v>
      </c>
    </row>
    <row r="167" ht="15.75" customHeight="1">
      <c r="A167" s="2">
        <v>1.0</v>
      </c>
      <c r="B167" s="2" t="s">
        <v>580</v>
      </c>
      <c r="C167" s="2" t="s">
        <v>581</v>
      </c>
      <c r="D167" s="2" t="s">
        <v>540</v>
      </c>
      <c r="E167" s="2" t="s">
        <v>14</v>
      </c>
      <c r="F167" s="2" t="s">
        <v>15</v>
      </c>
      <c r="G167" s="2" t="s">
        <v>582</v>
      </c>
      <c r="H167" s="2" t="s">
        <v>583</v>
      </c>
      <c r="I167" s="2" t="str">
        <f>IFERROR(__xludf.DUMMYFUNCTION("GOOGLETRANSLATE(C167,""fr"",""en"")"),"For 15 days I have been waiting for a quote, I have relaunched 4 times, I have been sent a file to be completed without reimbursement banks, customer for more than 20 years, in addition to adding a beneficiary and increasing my membership, despite Relaunc"&amp;"h just two figures and a file to be completed, disillusioned and angry thank you the MGP")</f>
        <v>For 15 days I have been waiting for a quote, I have relaunched 4 times, I have been sent a file to be completed without reimbursement banks, customer for more than 20 years, in addition to adding a beneficiary and increasing my membership, despite Relaunch just two figures and a file to be completed, disillusioned and angry thank you the MGP</v>
      </c>
    </row>
    <row r="168" ht="15.75" customHeight="1">
      <c r="A168" s="2">
        <v>1.0</v>
      </c>
      <c r="B168" s="2" t="s">
        <v>584</v>
      </c>
      <c r="C168" s="2" t="s">
        <v>585</v>
      </c>
      <c r="D168" s="2" t="s">
        <v>560</v>
      </c>
      <c r="E168" s="2" t="s">
        <v>561</v>
      </c>
      <c r="F168" s="2" t="s">
        <v>15</v>
      </c>
      <c r="G168" s="2" t="s">
        <v>586</v>
      </c>
      <c r="H168" s="2" t="s">
        <v>17</v>
      </c>
      <c r="I168" s="2" t="str">
        <f>IFERROR(__xludf.DUMMYFUNCTION("GOOGLETRANSLATE(C168,""fr"",""en"")"),"Good evening,
This insurance is to flee, I have provided my 3 cats for 4 years. For the 15 year old I took the first formula because he had told me that they repaid a little, then, without telling me they increased the formula and for 4 years they have"&amp;" not reimbursed me, every year I try to terminate but nothing to do. I pay more than € 75 per month.
They never respond to messages and for all these years I have never stopped asking to see the amounts of online refunds, but also nothing to do, I only"&amp;" see the list of claims since August 2020 For each of my cats, then in July a salesperson who took place for an advisor set up a new contract except that the first names are different from this we had agreed by phone, she did anything, and I was told that"&amp;" it didn't matter, she even assured a cat for March 21, but where are we going? I do not know where I will be next March or if my little cat will always be there !!! I replied that it was serious, then I find myself in October to pay € 120, that is to say"&amp;" that the 1st contract was not canceled and I ended up with 2 contracts so 5 cats in place of the usual 3. So I made the 2nd payment canceled by my bank.
They are not serious. I have my little pussy who is 4 years old and who is often sick. I sent so m"&amp;"uch reimbursements that I did not know what they were adjusting, until August 2020 or I was finally able to have access to the list of claims, except that I have sinister 2019 which Do not appear, I have just sent them a disaster from October 2019 of € 79"&amp;" and they answer me that they have no knowledge of said claim, but I know that I sent them except that I never have had no way to control what they reimbursed at that time and of course, this declaration remains in silence, and I have others that I do not"&amp;" see on the list of claims, I deduce that they do not will not reimburse me knowing that it is at the end of 2019.
On the other hand, they are happy that I pay the monthly payment without any concern !!
Another thing, I found that they never pay med"&amp;"ication, it's a shame. I asked them why, but always in silence !!!!! I have many invoices with prescription of drugs that are not reimbursed.
Then I have my little cat with medical kibbles; With the formula + I am entitled to a reimbursement of 50 % up"&amp;" to € 100 per year, except that for 2019 I told them that for me it stops at around € 60 while I sent them bills Croquettes and well they are right and always repeat the same thing.
So it's over, I stop throwing my money through the windows. I am not e"&amp;"ntitled, but I break the contracts and at the sight of all these errors (the list is long), then 2 bogus contracts, they will not gain cause. I sent a LRAR letter during the summer holidays and I am still waiting for the answer !!! And if they like the co"&amp;"urt, I don't mind.")</f>
        <v>Good evening,
This insurance is to flee, I have provided my 3 cats for 4 years. For the 15 year old I took the first formula because he had told me that they repaid a little, then, without telling me they increased the formula and for 4 years they have not reimbursed me, every year I try to terminate but nothing to do. I pay more than € 75 per month.
They never respond to messages and for all these years I have never stopped asking to see the amounts of online refunds, but also nothing to do, I only see the list of claims since August 2020 For each of my cats, then in July a salesperson who took place for an advisor set up a new contract except that the first names are different from this we had agreed by phone, she did anything, and I was told that it didn't matter, she even assured a cat for March 21, but where are we going? I do not know where I will be next March or if my little cat will always be there !!! I replied that it was serious, then I find myself in October to pay € 120, that is to say that the 1st contract was not canceled and I ended up with 2 contracts so 5 cats in place of the usual 3. So I made the 2nd payment canceled by my bank.
They are not serious. I have my little pussy who is 4 years old and who is often sick. I sent so much reimbursements that I did not know what they were adjusting, until August 2020 or I was finally able to have access to the list of claims, except that I have sinister 2019 which Do not appear, I have just sent them a disaster from October 2019 of € 79 and they answer me that they have no knowledge of said claim, but I know that I sent them except that I never have had no way to control what they reimbursed at that time and of course, this declaration remains in silence, and I have others that I do not see on the list of claims, I deduce that they do not will not reimburse me knowing that it is at the end of 2019.
On the other hand, they are happy that I pay the monthly payment without any concern !!
Another thing, I found that they never pay medication, it's a shame. I asked them why, but always in silence !!!!! I have many invoices with prescription of drugs that are not reimbursed.
Then I have my little cat with medical kibbles; With the formula + I am entitled to a reimbursement of 50 % up to € 100 per year, except that for 2019 I told them that for me it stops at around € 60 while I sent them bills Croquettes and well they are right and always repeat the same thing.
So it's over, I stop throwing my money through the windows. I am not entitled, but I break the contracts and at the sight of all these errors (the list is long), then 2 bogus contracts, they will not gain cause. I sent a LRAR letter during the summer holidays and I am still waiting for the answer !!! And if they like the court, I don't mind.</v>
      </c>
    </row>
    <row r="169" ht="15.75" customHeight="1">
      <c r="A169" s="2">
        <v>1.0</v>
      </c>
      <c r="B169" s="2" t="s">
        <v>587</v>
      </c>
      <c r="C169" s="2" t="s">
        <v>588</v>
      </c>
      <c r="D169" s="2" t="s">
        <v>134</v>
      </c>
      <c r="E169" s="2" t="s">
        <v>27</v>
      </c>
      <c r="F169" s="2" t="s">
        <v>15</v>
      </c>
      <c r="G169" s="2" t="s">
        <v>589</v>
      </c>
      <c r="H169" s="2" t="s">
        <v>62</v>
      </c>
      <c r="I169" s="2" t="str">
        <f>IFERROR(__xludf.DUMMYFUNCTION("GOOGLETRANSLATE(C169,""fr"",""en"")"),"My vehicle was affected during the natural disaster of September 14. It went into an economically irreparable vehicle. After numerous exchanges with various interlocutors about the vrade, I am today (October 25) still waiting for my refund ... I call ever"&amp;"y two days to know the follow -up of my file and all the Two days a new person who tells you that the file is underway and that they do what is necessary ...
I absolutely do not recommend the GMF services. Nothing better than a person in front of you who"&amp;" process your file. There it is a platform and all the services are split, suddenly communication problem!
")</f>
        <v>My vehicle was affected during the natural disaster of September 14. It went into an economically irreparable vehicle. After numerous exchanges with various interlocutors about the vrade, I am today (October 25) still waiting for my refund ... I call every two days to know the follow -up of my file and all the Two days a new person who tells you that the file is underway and that they do what is necessary ...
I absolutely do not recommend the GMF services. Nothing better than a person in front of you who process your file. There it is a platform and all the services are split, suddenly communication problem!
</v>
      </c>
    </row>
    <row r="170" ht="15.75" customHeight="1">
      <c r="A170" s="2">
        <v>1.0</v>
      </c>
      <c r="B170" s="2" t="s">
        <v>590</v>
      </c>
      <c r="C170" s="2" t="s">
        <v>591</v>
      </c>
      <c r="D170" s="2" t="s">
        <v>44</v>
      </c>
      <c r="E170" s="2" t="s">
        <v>27</v>
      </c>
      <c r="F170" s="2" t="s">
        <v>15</v>
      </c>
      <c r="G170" s="2" t="s">
        <v>592</v>
      </c>
      <c r="H170" s="2" t="s">
        <v>593</v>
      </c>
      <c r="I170" s="2" t="str">
        <f>IFERROR(__xludf.DUMMYFUNCTION("GOOGLETRANSLATE(C170,""fr"",""en"")"),"The prices announced as being low (and yet not so far from those of competition ...) hide a non -functional customer area, or a disaster appears, disappears, reappears ...
There are so many technical problems that we come to wonder if the customer area"&amp;" is not voluntarily degraded.
On the other hand, to set up contributions or soup in new options, everything works wonderfully. Evidmant.")</f>
        <v>The prices announced as being low (and yet not so far from those of competition ...) hide a non -functional customer area, or a disaster appears, disappears, reappears ...
There are so many technical problems that we come to wonder if the customer area is not voluntarily degraded.
On the other hand, to set up contributions or soup in new options, everything works wonderfully. Evidmant.</v>
      </c>
    </row>
    <row r="171" ht="15.75" customHeight="1">
      <c r="A171" s="2">
        <v>1.0</v>
      </c>
      <c r="B171" s="2" t="s">
        <v>594</v>
      </c>
      <c r="C171" s="2" t="s">
        <v>595</v>
      </c>
      <c r="D171" s="2" t="s">
        <v>75</v>
      </c>
      <c r="E171" s="2" t="s">
        <v>76</v>
      </c>
      <c r="F171" s="2" t="s">
        <v>15</v>
      </c>
      <c r="G171" s="2" t="s">
        <v>46</v>
      </c>
      <c r="H171" s="2" t="s">
        <v>46</v>
      </c>
      <c r="I171" s="2" t="str">
        <f>IFERROR(__xludf.DUMMYFUNCTION("GOOGLETRANSLATE(C171,""fr"",""en"")"),"Having retired, I asked for the liquidation of my retirement savings. It's been 16 months since I was restarting without result. In email not back and in tel we come across people in telework who have no decision -making power. I strongly advise against a"&amp;"nyone to subscribe to this organization")</f>
        <v>Having retired, I asked for the liquidation of my retirement savings. It's been 16 months since I was restarting without result. In email not back and in tel we come across people in telework who have no decision -making power. I strongly advise against anyone to subscribe to this organization</v>
      </c>
    </row>
    <row r="172" ht="15.75" customHeight="1">
      <c r="A172" s="2">
        <v>1.0</v>
      </c>
      <c r="B172" s="2" t="s">
        <v>596</v>
      </c>
      <c r="C172" s="2" t="s">
        <v>597</v>
      </c>
      <c r="D172" s="2" t="s">
        <v>598</v>
      </c>
      <c r="E172" s="2" t="s">
        <v>76</v>
      </c>
      <c r="F172" s="2" t="s">
        <v>15</v>
      </c>
      <c r="G172" s="2" t="s">
        <v>599</v>
      </c>
      <c r="H172" s="2" t="s">
        <v>278</v>
      </c>
      <c r="I172" s="2" t="str">
        <f>IFERROR(__xludf.DUMMYFUNCTION("GOOGLETRANSLATE(C172,""fr"",""en"")"),"I am very disappointed by general. Many times I tried to have an advisor and never response ..... telephone no answers, I also left messages nothing either. I tried by email still nothing. I think it's a not very serious business. This person I had once p"&amp;"romised to put myself in touch with an advisor, which has still not been done for more than a month.")</f>
        <v>I am very disappointed by general. Many times I tried to have an advisor and never response ..... telephone no answers, I also left messages nothing either. I tried by email still nothing. I think it's a not very serious business. This person I had once promised to put myself in touch with an advisor, which has still not been done for more than a month.</v>
      </c>
    </row>
    <row r="173" ht="15.75" customHeight="1">
      <c r="A173" s="2">
        <v>4.0</v>
      </c>
      <c r="B173" s="2" t="s">
        <v>600</v>
      </c>
      <c r="C173" s="2" t="s">
        <v>601</v>
      </c>
      <c r="D173" s="2" t="s">
        <v>134</v>
      </c>
      <c r="E173" s="2" t="s">
        <v>27</v>
      </c>
      <c r="F173" s="2" t="s">
        <v>15</v>
      </c>
      <c r="G173" s="2" t="s">
        <v>602</v>
      </c>
      <c r="H173" s="2" t="s">
        <v>17</v>
      </c>
      <c r="I173" s="2" t="str">
        <f>IFERROR(__xludf.DUMMYFUNCTION("GOOGLETRANSLATE(C173,""fr"",""en"")"),"The prices are not cheap, but not at all excessive. They are related to the service rendered.
For my car, I have always been compensated properly without making a story. Same for assistance.
Communication on the phone is sometimes complicated, espec"&amp;"ially with natural disasters.
")</f>
        <v>The prices are not cheap, but not at all excessive. They are related to the service rendered.
For my car, I have always been compensated properly without making a story. Same for assistance.
Communication on the phone is sometimes complicated, especially with natural disasters.
</v>
      </c>
    </row>
    <row r="174" ht="15.75" customHeight="1">
      <c r="A174" s="2">
        <v>1.0</v>
      </c>
      <c r="B174" s="2" t="s">
        <v>603</v>
      </c>
      <c r="C174" s="2" t="s">
        <v>604</v>
      </c>
      <c r="D174" s="2" t="s">
        <v>55</v>
      </c>
      <c r="E174" s="2" t="s">
        <v>14</v>
      </c>
      <c r="F174" s="2" t="s">
        <v>15</v>
      </c>
      <c r="G174" s="2" t="s">
        <v>605</v>
      </c>
      <c r="H174" s="2" t="s">
        <v>606</v>
      </c>
      <c r="I174" s="2" t="str">
        <f>IFERROR(__xludf.DUMMYFUNCTION("GOOGLETRANSLATE(C174,""fr"",""en"")"),"To flee. I waited for months a quote for my son and I am now waiting for months to benefit from the coverage ... no responsiveness. Do not go through a broker: the ball with the Deevea broker are referred.")</f>
        <v>To flee. I waited for months a quote for my son and I am now waiting for months to benefit from the coverage ... no responsiveness. Do not go through a broker: the ball with the Deevea broker are referred.</v>
      </c>
    </row>
    <row r="175" ht="15.75" customHeight="1">
      <c r="A175" s="2">
        <v>1.0</v>
      </c>
      <c r="B175" s="2" t="s">
        <v>607</v>
      </c>
      <c r="C175" s="2" t="s">
        <v>608</v>
      </c>
      <c r="D175" s="2" t="s">
        <v>109</v>
      </c>
      <c r="E175" s="2" t="s">
        <v>27</v>
      </c>
      <c r="F175" s="2" t="s">
        <v>15</v>
      </c>
      <c r="G175" s="2" t="s">
        <v>609</v>
      </c>
      <c r="H175" s="2" t="s">
        <v>184</v>
      </c>
      <c r="I175" s="2" t="str">
        <f>IFERROR(__xludf.DUMMYFUNCTION("GOOGLETRANSLATE(C175,""fr"",""en"")"),"I find it unacceptable that the Matmut was displayed in many media stipulating that he would make a gesture towards their insured following the COVVI 19. But he did not unlike the MACIF who made it benefit without asking all his insured 40.00 euros per co"&amp;"ntract. At the Matmut, no gesture except a priori only for job seekers and the hospital sector; My son whose paid internship contract was suspended throughout the containment period without touching anything from his employer cannot claim a discount becau"&amp;"se he does not benefit from pole employment. No, but where are we going when he sent them the supporting documents of the employer confirming the suspension of his internship. Lamentable this way of doing and acting. It is deplorable and I recommend letti"&amp;"ng it be known because they will have a good back later to display their increasing profits !!!! and be more generous then compared to other insurers.")</f>
        <v>I find it unacceptable that the Matmut was displayed in many media stipulating that he would make a gesture towards their insured following the COVVI 19. But he did not unlike the MACIF who made it benefit without asking all his insured 40.00 euros per contract. At the Matmut, no gesture except a priori only for job seekers and the hospital sector; My son whose paid internship contract was suspended throughout the containment period without touching anything from his employer cannot claim a discount because he does not benefit from pole employment. No, but where are we going when he sent them the supporting documents of the employer confirming the suspension of his internship. Lamentable this way of doing and acting. It is deplorable and I recommend letting it be known because they will have a good back later to display their increasing profits !!!! and be more generous then compared to other insurers.</v>
      </c>
    </row>
    <row r="176" ht="15.75" customHeight="1">
      <c r="A176" s="2">
        <v>1.0</v>
      </c>
      <c r="B176" s="2" t="s">
        <v>610</v>
      </c>
      <c r="C176" s="2" t="s">
        <v>611</v>
      </c>
      <c r="D176" s="2" t="s">
        <v>612</v>
      </c>
      <c r="E176" s="2" t="s">
        <v>561</v>
      </c>
      <c r="F176" s="2" t="s">
        <v>15</v>
      </c>
      <c r="G176" s="2" t="s">
        <v>613</v>
      </c>
      <c r="H176" s="2" t="s">
        <v>23</v>
      </c>
      <c r="I176" s="2" t="str">
        <f>IFERROR(__xludf.DUMMYFUNCTION("GOOGLETRANSLATE(C176,""fr"",""en"")"),"I had no problem with this insurance until this month when reimbursement was refused to me? ... Motricity problem of my dog ​​who is 15 years old (200 €).
Reason: No supported ???
Confidence to review ...")</f>
        <v>I had no problem with this insurance until this month when reimbursement was refused to me? ... Motricity problem of my dog ​​who is 15 years old (200 €).
Reason: No supported ???
Confidence to review ...</v>
      </c>
    </row>
    <row r="177" ht="15.75" customHeight="1">
      <c r="A177" s="2">
        <v>1.0</v>
      </c>
      <c r="B177" s="2" t="s">
        <v>614</v>
      </c>
      <c r="C177" s="2" t="s">
        <v>615</v>
      </c>
      <c r="D177" s="2" t="s">
        <v>616</v>
      </c>
      <c r="E177" s="2" t="s">
        <v>14</v>
      </c>
      <c r="F177" s="2" t="s">
        <v>15</v>
      </c>
      <c r="G177" s="2" t="s">
        <v>176</v>
      </c>
      <c r="H177" s="2" t="s">
        <v>177</v>
      </c>
      <c r="I177" s="2" t="str">
        <f>IFERROR(__xludf.DUMMYFUNCTION("GOOGLETRANSLATE(C177,""fr"",""en"")"),"I gave up in the delia of this mutual because I found better.
48 hours of delay to process a request and 10 minutes for a subscription.
They transfer me and hang me on the nose.")</f>
        <v>I gave up in the delia of this mutual because I found better.
48 hours of delay to process a request and 10 minutes for a subscription.
They transfer me and hang me on the nose.</v>
      </c>
    </row>
    <row r="178" ht="15.75" customHeight="1">
      <c r="A178" s="2">
        <v>2.0</v>
      </c>
      <c r="B178" s="2" t="s">
        <v>617</v>
      </c>
      <c r="C178" s="2" t="s">
        <v>618</v>
      </c>
      <c r="D178" s="2" t="s">
        <v>204</v>
      </c>
      <c r="E178" s="2" t="s">
        <v>27</v>
      </c>
      <c r="F178" s="2" t="s">
        <v>15</v>
      </c>
      <c r="G178" s="2" t="s">
        <v>619</v>
      </c>
      <c r="H178" s="2" t="s">
        <v>452</v>
      </c>
      <c r="I178" s="2" t="str">
        <f>IFERROR(__xludf.DUMMYFUNCTION("GOOGLETRANSLATE(C178,""fr"",""en"")"),"Eallianz.
Really disappointing. After the subscription on 01/01 the parts are to be sent within 30 days. I sent them on 10/26 by email + recovery such as 09/01. I am told that everything is ok. To date, I still receive reminders. No return if a supportin"&amp;"g documents are not in accordance with, no return, no answer. Would they only seek to take the first 3 months? I have the impression. Insurance to avoid, guaranteed stress !!")</f>
        <v>Eallianz.
Really disappointing. After the subscription on 01/01 the parts are to be sent within 30 days. I sent them on 10/26 by email + recovery such as 09/01. I am told that everything is ok. To date, I still receive reminders. No return if a supporting documents are not in accordance with, no return, no answer. Would they only seek to take the first 3 months? I have the impression. Insurance to avoid, guaranteed stress !!</v>
      </c>
    </row>
    <row r="179" ht="15.75" customHeight="1">
      <c r="A179" s="2">
        <v>1.0</v>
      </c>
      <c r="B179" s="2" t="s">
        <v>620</v>
      </c>
      <c r="C179" s="2" t="s">
        <v>621</v>
      </c>
      <c r="D179" s="2" t="s">
        <v>100</v>
      </c>
      <c r="E179" s="2" t="s">
        <v>76</v>
      </c>
      <c r="F179" s="2" t="s">
        <v>15</v>
      </c>
      <c r="G179" s="2" t="s">
        <v>622</v>
      </c>
      <c r="H179" s="2" t="s">
        <v>529</v>
      </c>
      <c r="I179" s="2" t="str">
        <f>IFERROR(__xludf.DUMMYFUNCTION("GOOGLETRANSLATE(C179,""fr"",""en"")"),"It is truly scandalous to have such a customer service in 2019.")</f>
        <v>It is truly scandalous to have such a customer service in 2019.</v>
      </c>
    </row>
    <row r="180" ht="15.75" customHeight="1">
      <c r="A180" s="2">
        <v>4.0</v>
      </c>
      <c r="B180" s="2" t="s">
        <v>623</v>
      </c>
      <c r="C180" s="2" t="s">
        <v>624</v>
      </c>
      <c r="D180" s="2" t="s">
        <v>44</v>
      </c>
      <c r="E180" s="2" t="s">
        <v>27</v>
      </c>
      <c r="F180" s="2" t="s">
        <v>15</v>
      </c>
      <c r="G180" s="2" t="s">
        <v>625</v>
      </c>
      <c r="H180" s="2" t="s">
        <v>35</v>
      </c>
      <c r="I180" s="2" t="str">
        <f>IFERROR(__xludf.DUMMYFUNCTION("GOOGLETRANSLATE(C180,""fr"",""en"")"),"I am satisfied with the service I am also very satisfied with the price
The waiting time is quite fast I am not to be complained at the moment
thank you")</f>
        <v>I am satisfied with the service I am also very satisfied with the price
The waiting time is quite fast I am not to be complained at the moment
thank you</v>
      </c>
    </row>
    <row r="181" ht="15.75" customHeight="1">
      <c r="A181" s="2">
        <v>4.0</v>
      </c>
      <c r="B181" s="2" t="s">
        <v>626</v>
      </c>
      <c r="C181" s="2" t="s">
        <v>627</v>
      </c>
      <c r="D181" s="2" t="s">
        <v>26</v>
      </c>
      <c r="E181" s="2" t="s">
        <v>27</v>
      </c>
      <c r="F181" s="2" t="s">
        <v>15</v>
      </c>
      <c r="G181" s="2" t="s">
        <v>198</v>
      </c>
      <c r="H181" s="2" t="s">
        <v>29</v>
      </c>
      <c r="I181" s="2" t="str">
        <f>IFERROR(__xludf.DUMMYFUNCTION("GOOGLETRANSLATE(C181,""fr"",""en"")"),"Fast and efficient online olive insurance service. I hope it will be the same for receiving documents and in the event of a road accident.")</f>
        <v>Fast and efficient online olive insurance service. I hope it will be the same for receiving documents and in the event of a road accident.</v>
      </c>
    </row>
    <row r="182" ht="15.75" customHeight="1">
      <c r="A182" s="2">
        <v>5.0</v>
      </c>
      <c r="B182" s="2" t="s">
        <v>628</v>
      </c>
      <c r="C182" s="2" t="s">
        <v>629</v>
      </c>
      <c r="D182" s="2" t="s">
        <v>26</v>
      </c>
      <c r="E182" s="2" t="s">
        <v>27</v>
      </c>
      <c r="F182" s="2" t="s">
        <v>15</v>
      </c>
      <c r="G182" s="2" t="s">
        <v>579</v>
      </c>
      <c r="H182" s="2" t="s">
        <v>23</v>
      </c>
      <c r="I182" s="2" t="str">
        <f>IFERROR(__xludf.DUMMYFUNCTION("GOOGLETRANSLATE(C182,""fr"",""en"")"),"Very satisfied with the advisor I had, I will recommend in the future! And I think my spouse will also join this insurance when she has her permi")</f>
        <v>Very satisfied with the advisor I had, I will recommend in the future! And I think my spouse will also join this insurance when she has her permi</v>
      </c>
    </row>
    <row r="183" ht="15.75" customHeight="1">
      <c r="A183" s="2">
        <v>1.0</v>
      </c>
      <c r="B183" s="2" t="s">
        <v>630</v>
      </c>
      <c r="C183" s="2" t="s">
        <v>631</v>
      </c>
      <c r="D183" s="2" t="s">
        <v>32</v>
      </c>
      <c r="E183" s="2" t="s">
        <v>27</v>
      </c>
      <c r="F183" s="2" t="s">
        <v>15</v>
      </c>
      <c r="G183" s="2" t="s">
        <v>632</v>
      </c>
      <c r="H183" s="2" t="s">
        <v>606</v>
      </c>
      <c r="I183" s="2" t="str">
        <f>IFERROR(__xludf.DUMMYFUNCTION("GOOGLETRANSLATE(C183,""fr"",""en"")"),"Annual increase in insurance amounts of my 3 cars, + 20%, + 10% and + 6% without modifications to my contracts and without any accident for + 30 years that I have been a member. I couldn't get any explanations.")</f>
        <v>Annual increase in insurance amounts of my 3 cars, + 20%, + 10% and + 6% without modifications to my contracts and without any accident for + 30 years that I have been a member. I couldn't get any explanations.</v>
      </c>
    </row>
    <row r="184" ht="15.75" customHeight="1">
      <c r="A184" s="2">
        <v>2.0</v>
      </c>
      <c r="B184" s="2" t="s">
        <v>633</v>
      </c>
      <c r="C184" s="2" t="s">
        <v>634</v>
      </c>
      <c r="D184" s="2" t="s">
        <v>44</v>
      </c>
      <c r="E184" s="2" t="s">
        <v>27</v>
      </c>
      <c r="F184" s="2" t="s">
        <v>15</v>
      </c>
      <c r="G184" s="2" t="s">
        <v>362</v>
      </c>
      <c r="H184" s="2" t="s">
        <v>57</v>
      </c>
      <c r="I184" s="2" t="str">
        <f>IFERROR(__xludf.DUMMYFUNCTION("GOOGLETRANSLATE(C184,""fr"",""en"")"),"Following a change of situation, I was asked to terminate the current contract and subscribe to another. Problem: the reimbursement of the 1st contract is largely below the remaining prorata amount.
When the advisor announces the amount reimbursed to me,"&amp;" a mental calculation at the ladle tells me that the amount is too low. But the advisor, too sure of herself, wants to hear anything. Impossible to make him the mathematical demonstration by phone, I had to give up.
An exact calculation on an Excel sheet"&amp;" shows that it reimbursed me 20% less than what was needed. I am disgusted. On the one hand by the missing 20%, but also by the attitude of the advisor.
")</f>
        <v>Following a change of situation, I was asked to terminate the current contract and subscribe to another. Problem: the reimbursement of the 1st contract is largely below the remaining prorata amount.
When the advisor announces the amount reimbursed to me, a mental calculation at the ladle tells me that the amount is too low. But the advisor, too sure of herself, wants to hear anything. Impossible to make him the mathematical demonstration by phone, I had to give up.
An exact calculation on an Excel sheet shows that it reimbursed me 20% less than what was needed. I am disgusted. On the one hand by the missing 20%, but also by the attitude of the advisor.
</v>
      </c>
    </row>
    <row r="185" ht="15.75" customHeight="1">
      <c r="A185" s="2">
        <v>5.0</v>
      </c>
      <c r="B185" s="2" t="s">
        <v>635</v>
      </c>
      <c r="C185" s="2" t="s">
        <v>636</v>
      </c>
      <c r="D185" s="2" t="s">
        <v>26</v>
      </c>
      <c r="E185" s="2" t="s">
        <v>27</v>
      </c>
      <c r="F185" s="2" t="s">
        <v>15</v>
      </c>
      <c r="G185" s="2" t="s">
        <v>637</v>
      </c>
      <c r="H185" s="2" t="s">
        <v>159</v>
      </c>
      <c r="I185" s="2" t="str">
        <f>IFERROR(__xludf.DUMMYFUNCTION("GOOGLETRANSLATE(C185,""fr"",""en"")")," I am satisfied with the customer service which is attentive and which takes into account our requests, whether in vehicle or home insurance prices are very competitive. I recommend.")</f>
        <v> I am satisfied with the customer service which is attentive and which takes into account our requests, whether in vehicle or home insurance prices are very competitive. I recommend.</v>
      </c>
    </row>
    <row r="186" ht="15.75" customHeight="1">
      <c r="A186" s="2">
        <v>5.0</v>
      </c>
      <c r="B186" s="2" t="s">
        <v>638</v>
      </c>
      <c r="C186" s="2" t="s">
        <v>639</v>
      </c>
      <c r="D186" s="2" t="s">
        <v>26</v>
      </c>
      <c r="E186" s="2" t="s">
        <v>27</v>
      </c>
      <c r="F186" s="2" t="s">
        <v>15</v>
      </c>
      <c r="G186" s="2" t="s">
        <v>640</v>
      </c>
      <c r="H186" s="2" t="s">
        <v>159</v>
      </c>
      <c r="I186" s="2" t="str">
        <f>IFERROR(__xludf.DUMMYFUNCTION("GOOGLETRANSLATE(C186,""fr"",""en"")"),"Second vehicle insured at home. Very satisfied, whether advisers or my offer. Just disappointed not to be able to take advantage of the multi auto offer because I made the request for a quote via a comparator ... not cool but tampis!")</f>
        <v>Second vehicle insured at home. Very satisfied, whether advisers or my offer. Just disappointed not to be able to take advantage of the multi auto offer because I made the request for a quote via a comparator ... not cool but tampis!</v>
      </c>
    </row>
    <row r="187" ht="15.75" customHeight="1">
      <c r="A187" s="2">
        <v>5.0</v>
      </c>
      <c r="B187" s="2" t="s">
        <v>641</v>
      </c>
      <c r="C187" s="2" t="s">
        <v>642</v>
      </c>
      <c r="D187" s="2" t="s">
        <v>129</v>
      </c>
      <c r="E187" s="2" t="s">
        <v>27</v>
      </c>
      <c r="F187" s="2" t="s">
        <v>15</v>
      </c>
      <c r="G187" s="2" t="s">
        <v>643</v>
      </c>
      <c r="H187" s="2" t="s">
        <v>324</v>
      </c>
      <c r="I187" s="2" t="str">
        <f>IFERROR(__xludf.DUMMYFUNCTION("GOOGLETRANSLATE(C187,""fr"",""en"")"),"I recommend this inexpensive and very effective insurance. People were able to answer my questions (insurance being a bit complex). The work was done correctly and quickly. My son subscribed to them as a young driver and it is very affordable.")</f>
        <v>I recommend this inexpensive and very effective insurance. People were able to answer my questions (insurance being a bit complex). The work was done correctly and quickly. My son subscribed to them as a young driver and it is very affordable.</v>
      </c>
    </row>
    <row r="188" ht="15.75" customHeight="1">
      <c r="A188" s="2">
        <v>3.0</v>
      </c>
      <c r="B188" s="2" t="s">
        <v>644</v>
      </c>
      <c r="C188" s="2" t="s">
        <v>645</v>
      </c>
      <c r="D188" s="2" t="s">
        <v>134</v>
      </c>
      <c r="E188" s="2" t="s">
        <v>27</v>
      </c>
      <c r="F188" s="2" t="s">
        <v>15</v>
      </c>
      <c r="G188" s="2" t="s">
        <v>261</v>
      </c>
      <c r="H188" s="2" t="s">
        <v>159</v>
      </c>
      <c r="I188" s="2" t="str">
        <f>IFERROR(__xludf.DUMMYFUNCTION("GOOGLETRANSLATE(C188,""fr"",""en"")"),"The service offering a vehicle is very practical when the vehicle is not used for 6 months of the year. The other Macif style company does not offer this service so congratulations to the GMF.")</f>
        <v>The service offering a vehicle is very practical when the vehicle is not used for 6 months of the year. The other Macif style company does not offer this service so congratulations to the GMF.</v>
      </c>
    </row>
    <row r="189" ht="15.75" customHeight="1">
      <c r="A189" s="2">
        <v>2.0</v>
      </c>
      <c r="B189" s="2" t="s">
        <v>646</v>
      </c>
      <c r="C189" s="2" t="s">
        <v>647</v>
      </c>
      <c r="D189" s="2" t="s">
        <v>117</v>
      </c>
      <c r="E189" s="2" t="s">
        <v>27</v>
      </c>
      <c r="F189" s="2" t="s">
        <v>15</v>
      </c>
      <c r="G189" s="2" t="s">
        <v>648</v>
      </c>
      <c r="H189" s="2" t="s">
        <v>278</v>
      </c>
      <c r="I189" s="2" t="str">
        <f>IFERROR(__xludf.DUMMYFUNCTION("GOOGLETRANSLATE(C189,""fr"",""en"")"),"I left Pacifica because customer service is incompetent and very unpleasant ... I was extremely disappointed with the telephone reception following a request for the attachment of my daughter on my car contract. contracts at Pacifica and I will not recomm"&amp;"end it to anyone.")</f>
        <v>I left Pacifica because customer service is incompetent and very unpleasant ... I was extremely disappointed with the telephone reception following a request for the attachment of my daughter on my car contract. contracts at Pacifica and I will not recommend it to anyone.</v>
      </c>
    </row>
    <row r="190" ht="15.75" customHeight="1">
      <c r="A190" s="2">
        <v>1.0</v>
      </c>
      <c r="B190" s="2" t="s">
        <v>649</v>
      </c>
      <c r="C190" s="2" t="s">
        <v>650</v>
      </c>
      <c r="D190" s="2" t="s">
        <v>44</v>
      </c>
      <c r="E190" s="2" t="s">
        <v>27</v>
      </c>
      <c r="F190" s="2" t="s">
        <v>15</v>
      </c>
      <c r="G190" s="2" t="s">
        <v>324</v>
      </c>
      <c r="H190" s="2" t="s">
        <v>324</v>
      </c>
      <c r="I190" s="2" t="str">
        <f>IFERROR(__xludf.DUMMYFUNCTION("GOOGLETRANSLATE(C190,""fr"",""en"")"),"I have taken out two contracts with them. I fill everything well on the net then the advisor corrects by making false declarations or errors (in this case we are not covered afterwards).
After 6 hours and 25 calls we finished.
I can sign a faultless con"&amp;"tract on my wife's gender or my date of license or my bonus ...
Yesterday, my former insurer informs me that he did not receive the termination which should have been sent more than fifteen days ago to be valid.
But Direct Assurance did not do what he"&amp;" had to. Terminate my old contract on time (one month's notice).
Customer service cannot give me proof of sending on their part (the Hamon law requires that the insurer does this approach).
Many promises on the phone of a so -called responsible but neve"&amp;"r answers in the end. They had to send me it yesterday and I have nothing and find myself with two contracts on each vehicle (for Lesecond subscribed yesterday, that's normal that said but on the first they are more than 15 days late).
In short, this wil"&amp;"l go to litigation next Wednesday, they are already liars because they do not respect their commitment and incompetent because do not even perform tasks that should be basic ...
Another thing, the information statement does not work for them, it is the d"&amp;"ate of permit that counts (great when you have converted your license and you lose your bonus 50 for life ...)
In short, a bad reputation that I understand today.")</f>
        <v>I have taken out two contracts with them. I fill everything well on the net then the advisor corrects by making false declarations or errors (in this case we are not covered afterwards).
After 6 hours and 25 calls we finished.
I can sign a faultless contract on my wife's gender or my date of license or my bonus ...
Yesterday, my former insurer informs me that he did not receive the termination which should have been sent more than fifteen days ago to be valid.
But Direct Assurance did not do what he had to. Terminate my old contract on time (one month's notice).
Customer service cannot give me proof of sending on their part (the Hamon law requires that the insurer does this approach).
Many promises on the phone of a so -called responsible but never answers in the end. They had to send me it yesterday and I have nothing and find myself with two contracts on each vehicle (for Lesecond subscribed yesterday, that's normal that said but on the first they are more than 15 days late).
In short, this will go to litigation next Wednesday, they are already liars because they do not respect their commitment and incompetent because do not even perform tasks that should be basic ...
Another thing, the information statement does not work for them, it is the date of permit that counts (great when you have converted your license and you lose your bonus 50 for life ...)
In short, a bad reputation that I understand today.</v>
      </c>
    </row>
    <row r="191" ht="15.75" customHeight="1">
      <c r="A191" s="2">
        <v>2.0</v>
      </c>
      <c r="B191" s="2" t="s">
        <v>651</v>
      </c>
      <c r="C191" s="2" t="s">
        <v>652</v>
      </c>
      <c r="D191" s="2" t="s">
        <v>44</v>
      </c>
      <c r="E191" s="2" t="s">
        <v>27</v>
      </c>
      <c r="F191" s="2" t="s">
        <v>15</v>
      </c>
      <c r="G191" s="2" t="s">
        <v>479</v>
      </c>
      <c r="H191" s="2" t="s">
        <v>343</v>
      </c>
      <c r="I191" s="2" t="str">
        <f>IFERROR(__xludf.DUMMYFUNCTION("GOOGLETRANSLATE(C191,""fr"",""en"")"),"Helping application.
Price not suitable for the customer's view and the number of vehicles provided, at Direct Insurance.
The possibility of opting only for the assistance of the 0 km should be offered")</f>
        <v>Helping application.
Price not suitable for the customer's view and the number of vehicles provided, at Direct Insurance.
The possibility of opting only for the assistance of the 0 km should be offered</v>
      </c>
    </row>
    <row r="192" ht="15.75" customHeight="1">
      <c r="A192" s="2">
        <v>4.0</v>
      </c>
      <c r="B192" s="2" t="s">
        <v>653</v>
      </c>
      <c r="C192" s="2" t="s">
        <v>654</v>
      </c>
      <c r="D192" s="2" t="s">
        <v>26</v>
      </c>
      <c r="E192" s="2" t="s">
        <v>27</v>
      </c>
      <c r="F192" s="2" t="s">
        <v>15</v>
      </c>
      <c r="G192" s="2" t="s">
        <v>655</v>
      </c>
      <c r="H192" s="2" t="s">
        <v>35</v>
      </c>
      <c r="I192" s="2" t="str">
        <f>IFERROR(__xludf.DUMMYFUNCTION("GOOGLETRANSLATE(C192,""fr"",""en"")"),"No bp during the contract I hope it will be the same throughout the next years. We will see the satisfaction of this contract over time or during a declaration of a claim")</f>
        <v>No bp during the contract I hope it will be the same throughout the next years. We will see the satisfaction of this contract over time or during a declaration of a claim</v>
      </c>
    </row>
    <row r="193" ht="15.75" customHeight="1">
      <c r="A193" s="2">
        <v>5.0</v>
      </c>
      <c r="B193" s="2" t="s">
        <v>656</v>
      </c>
      <c r="C193" s="2" t="s">
        <v>657</v>
      </c>
      <c r="D193" s="2" t="s">
        <v>60</v>
      </c>
      <c r="E193" s="2" t="s">
        <v>14</v>
      </c>
      <c r="F193" s="2" t="s">
        <v>15</v>
      </c>
      <c r="G193" s="2" t="s">
        <v>658</v>
      </c>
      <c r="H193" s="2" t="s">
        <v>571</v>
      </c>
      <c r="I193" s="2" t="str">
        <f>IFERROR(__xludf.DUMMYFUNCTION("GOOGLETRANSLATE(C193,""fr"",""en"")"),"Appeal taken into account quickly, listening to significant and understanding, monitoring of requests.")</f>
        <v>Appeal taken into account quickly, listening to significant and understanding, monitoring of requests.</v>
      </c>
    </row>
    <row r="194" ht="15.75" customHeight="1">
      <c r="A194" s="2">
        <v>4.0</v>
      </c>
      <c r="B194" s="2" t="s">
        <v>659</v>
      </c>
      <c r="C194" s="2" t="s">
        <v>660</v>
      </c>
      <c r="D194" s="2" t="s">
        <v>26</v>
      </c>
      <c r="E194" s="2" t="s">
        <v>27</v>
      </c>
      <c r="F194" s="2" t="s">
        <v>15</v>
      </c>
      <c r="G194" s="2" t="s">
        <v>661</v>
      </c>
      <c r="H194" s="2" t="s">
        <v>57</v>
      </c>
      <c r="I194" s="2" t="str">
        <f>IFERROR(__xludf.DUMMYFUNCTION("GOOGLETRANSLATE(C194,""fr"",""en"")"),"I am satisfied with all your services, reception and specific information, the prices are attractive, the speed for the reception of the documents is very appreciable")</f>
        <v>I am satisfied with all your services, reception and specific information, the prices are attractive, the speed for the reception of the documents is very appreciable</v>
      </c>
    </row>
    <row r="195" ht="15.75" customHeight="1">
      <c r="A195" s="2">
        <v>4.0</v>
      </c>
      <c r="B195" s="2" t="s">
        <v>662</v>
      </c>
      <c r="C195" s="2" t="s">
        <v>663</v>
      </c>
      <c r="D195" s="2" t="s">
        <v>60</v>
      </c>
      <c r="E195" s="2" t="s">
        <v>14</v>
      </c>
      <c r="F195" s="2" t="s">
        <v>15</v>
      </c>
      <c r="G195" s="2" t="s">
        <v>61</v>
      </c>
      <c r="H195" s="2" t="s">
        <v>62</v>
      </c>
      <c r="I195" s="2" t="str">
        <f>IFERROR(__xludf.DUMMYFUNCTION("GOOGLETRANSLATE(C195,""fr"",""en"")"),"Not a lot of telephone waiting, an always excellent welcome. Diallo was very attentive and knew how to deal with my request with great competence. Thank you.")</f>
        <v>Not a lot of telephone waiting, an always excellent welcome. Diallo was very attentive and knew how to deal with my request with great competence. Thank you.</v>
      </c>
    </row>
    <row r="196" ht="15.75" customHeight="1">
      <c r="A196" s="2">
        <v>4.0</v>
      </c>
      <c r="B196" s="2" t="s">
        <v>664</v>
      </c>
      <c r="C196" s="2" t="s">
        <v>665</v>
      </c>
      <c r="D196" s="2" t="s">
        <v>44</v>
      </c>
      <c r="E196" s="2" t="s">
        <v>27</v>
      </c>
      <c r="F196" s="2" t="s">
        <v>15</v>
      </c>
      <c r="G196" s="2" t="s">
        <v>666</v>
      </c>
      <c r="H196" s="2" t="s">
        <v>46</v>
      </c>
      <c r="I196" s="2" t="str">
        <f>IFERROR(__xludf.DUMMYFUNCTION("GOOGLETRANSLATE(C196,""fr"",""en"")"),"The prices are attractive, the site is very intuitive. The subscription is simple and quick. The sponsorship system is very effective. I recommend")</f>
        <v>The prices are attractive, the site is very intuitive. The subscription is simple and quick. The sponsorship system is very effective. I recommend</v>
      </c>
    </row>
    <row r="197" ht="15.75" customHeight="1">
      <c r="A197" s="2">
        <v>3.0</v>
      </c>
      <c r="B197" s="2" t="s">
        <v>667</v>
      </c>
      <c r="C197" s="2" t="s">
        <v>668</v>
      </c>
      <c r="D197" s="2" t="s">
        <v>55</v>
      </c>
      <c r="E197" s="2" t="s">
        <v>14</v>
      </c>
      <c r="F197" s="2" t="s">
        <v>15</v>
      </c>
      <c r="G197" s="2" t="s">
        <v>338</v>
      </c>
      <c r="H197" s="2" t="s">
        <v>339</v>
      </c>
      <c r="I197" s="2" t="str">
        <f>IFERROR(__xludf.DUMMYFUNCTION("GOOGLETRANSLATE(C197,""fr"",""en"")"),"Competent customer service and very good reception by Cynthia Malungi who managed to advance my request for a contract modification, not made for 3 weeks because the services are overwhelmed ...")</f>
        <v>Competent customer service and very good reception by Cynthia Malungi who managed to advance my request for a contract modification, not made for 3 weeks because the services are overwhelmed ...</v>
      </c>
    </row>
    <row r="198" ht="15.75" customHeight="1">
      <c r="A198" s="2">
        <v>3.0</v>
      </c>
      <c r="B198" s="2" t="s">
        <v>669</v>
      </c>
      <c r="C198" s="2" t="s">
        <v>670</v>
      </c>
      <c r="D198" s="2" t="s">
        <v>26</v>
      </c>
      <c r="E198" s="2" t="s">
        <v>27</v>
      </c>
      <c r="F198" s="2" t="s">
        <v>15</v>
      </c>
      <c r="G198" s="2" t="s">
        <v>671</v>
      </c>
      <c r="H198" s="2" t="s">
        <v>41</v>
      </c>
      <c r="I198" s="2" t="str">
        <f>IFERROR(__xludf.DUMMYFUNCTION("GOOGLETRANSLATE(C198,""fr"",""en"")"),"Customer service that is difficult to reach by phone. After a wait of 10 minutes, 2 redirects, the person hangs up before you say anything. I remind you, I hear badly advising it, she tells me that she reminds me but does not do so. At the third attempt, "&amp;"I finally join a competing advisor.")</f>
        <v>Customer service that is difficult to reach by phone. After a wait of 10 minutes, 2 redirects, the person hangs up before you say anything. I remind you, I hear badly advising it, she tells me that she reminds me but does not do so. At the third attempt, I finally join a competing advisor.</v>
      </c>
    </row>
    <row r="199" ht="15.75" customHeight="1">
      <c r="A199" s="2">
        <v>4.0</v>
      </c>
      <c r="B199" s="2" t="s">
        <v>672</v>
      </c>
      <c r="C199" s="2" t="s">
        <v>673</v>
      </c>
      <c r="D199" s="2" t="s">
        <v>44</v>
      </c>
      <c r="E199" s="2" t="s">
        <v>27</v>
      </c>
      <c r="F199" s="2" t="s">
        <v>15</v>
      </c>
      <c r="G199" s="2" t="s">
        <v>23</v>
      </c>
      <c r="H199" s="2" t="s">
        <v>23</v>
      </c>
      <c r="I199" s="2" t="str">
        <f>IFERROR(__xludf.DUMMYFUNCTION("GOOGLETRANSLATE(C199,""fr"",""en"")"),"I just subscribed to 2 auto insurance.
A little disappointed not to have had a small discount or other because we hear in their advertisements like 2 months offered etc.")</f>
        <v>I just subscribed to 2 auto insurance.
A little disappointed not to have had a small discount or other because we hear in their advertisements like 2 months offered etc.</v>
      </c>
    </row>
    <row r="200" ht="15.75" customHeight="1">
      <c r="A200" s="2">
        <v>4.0</v>
      </c>
      <c r="B200" s="2" t="s">
        <v>674</v>
      </c>
      <c r="C200" s="2" t="s">
        <v>675</v>
      </c>
      <c r="D200" s="2" t="s">
        <v>44</v>
      </c>
      <c r="E200" s="2" t="s">
        <v>27</v>
      </c>
      <c r="F200" s="2" t="s">
        <v>15</v>
      </c>
      <c r="G200" s="2" t="s">
        <v>676</v>
      </c>
      <c r="H200" s="2" t="s">
        <v>46</v>
      </c>
      <c r="I200" s="2" t="str">
        <f>IFERROR(__xludf.DUMMYFUNCTION("GOOGLETRANSLATE(C200,""fr"",""en"")"),"The phone advisers are very friendly and attentive, it's very pleasant.
They explained all the steps to follow to take out contracts
")</f>
        <v>The phone advisers are very friendly and attentive, it's very pleasant.
They explained all the steps to follow to take out contracts
</v>
      </c>
    </row>
    <row r="201" ht="15.75" customHeight="1">
      <c r="A201" s="2">
        <v>2.0</v>
      </c>
      <c r="B201" s="2" t="s">
        <v>677</v>
      </c>
      <c r="C201" s="2" t="s">
        <v>678</v>
      </c>
      <c r="D201" s="2" t="s">
        <v>134</v>
      </c>
      <c r="E201" s="2" t="s">
        <v>33</v>
      </c>
      <c r="F201" s="2" t="s">
        <v>15</v>
      </c>
      <c r="G201" s="2" t="s">
        <v>679</v>
      </c>
      <c r="H201" s="2" t="s">
        <v>680</v>
      </c>
      <c r="I201" s="2" t="str">
        <f>IFERROR(__xludf.DUMMYFUNCTION("GOOGLETRANSLATE(C201,""fr"",""en"")"),"Insured for my main accommodation for several years without any claim, the GMF does everything to avoid care following the intervention of the firefighters for medical emergency (smashed door). Documents transmitted lost. No problem to receive payments, b"&amp;"ut when it comes to taking care of, there is no one left. GMF, certainly human ...")</f>
        <v>Insured for my main accommodation for several years without any claim, the GMF does everything to avoid care following the intervention of the firefighters for medical emergency (smashed door). Documents transmitted lost. No problem to receive payments, but when it comes to taking care of, there is no one left. GMF, certainly human ...</v>
      </c>
    </row>
    <row r="202" ht="15.75" customHeight="1">
      <c r="A202" s="2">
        <v>2.0</v>
      </c>
      <c r="B202" s="2" t="s">
        <v>681</v>
      </c>
      <c r="C202" s="2" t="s">
        <v>682</v>
      </c>
      <c r="D202" s="2" t="s">
        <v>683</v>
      </c>
      <c r="E202" s="2" t="s">
        <v>39</v>
      </c>
      <c r="F202" s="2" t="s">
        <v>15</v>
      </c>
      <c r="G202" s="2" t="s">
        <v>684</v>
      </c>
      <c r="H202" s="2" t="s">
        <v>685</v>
      </c>
      <c r="I202" s="2" t="str">
        <f>IFERROR(__xludf.DUMMYFUNCTION("GOOGLETRANSLATE(C202,""fr"",""en"")"),"Following a motorcycle disaster occurring in 2016 my file is still under transaction. In February I received a file with a compensation protocol whose amount did not satisfy me; Result more news. Impossible to attach by such the mutual, ditto by email ser"&amp;"vice complaint; To believe that she has vanished !!")</f>
        <v>Following a motorcycle disaster occurring in 2016 my file is still under transaction. In February I received a file with a compensation protocol whose amount did not satisfy me; Result more news. Impossible to attach by such the mutual, ditto by email service complaint; To believe that she has vanished !!</v>
      </c>
    </row>
    <row r="203" ht="15.75" customHeight="1">
      <c r="A203" s="2">
        <v>4.0</v>
      </c>
      <c r="B203" s="2" t="s">
        <v>686</v>
      </c>
      <c r="C203" s="2" t="s">
        <v>687</v>
      </c>
      <c r="D203" s="2" t="s">
        <v>134</v>
      </c>
      <c r="E203" s="2" t="s">
        <v>27</v>
      </c>
      <c r="F203" s="2" t="s">
        <v>15</v>
      </c>
      <c r="G203" s="2" t="s">
        <v>688</v>
      </c>
      <c r="H203" s="2" t="s">
        <v>519</v>
      </c>
      <c r="I203" s="2" t="str">
        <f>IFERROR(__xludf.DUMMYFUNCTION("GOOGLETRANSLATE(C203,""fr"",""en"")"),"By making the comparison with other insurance, it is the one that remains in the right prices with a lesser franchise.")</f>
        <v>By making the comparison with other insurance, it is the one that remains in the right prices with a lesser franchise.</v>
      </c>
    </row>
    <row r="204" ht="15.75" customHeight="1">
      <c r="A204" s="2">
        <v>3.0</v>
      </c>
      <c r="B204" s="2" t="s">
        <v>689</v>
      </c>
      <c r="C204" s="2" t="s">
        <v>690</v>
      </c>
      <c r="D204" s="2" t="s">
        <v>60</v>
      </c>
      <c r="E204" s="2" t="s">
        <v>14</v>
      </c>
      <c r="F204" s="2" t="s">
        <v>15</v>
      </c>
      <c r="G204" s="2" t="s">
        <v>691</v>
      </c>
      <c r="H204" s="2" t="s">
        <v>554</v>
      </c>
      <c r="I204" s="2" t="str">
        <f>IFERROR(__xludf.DUMMYFUNCTION("GOOGLETRANSLATE(C204,""fr"",""en"")"),"Thank you to Caroline who referred me very well and answered all my questions very clearly")</f>
        <v>Thank you to Caroline who referred me very well and answered all my questions very clearly</v>
      </c>
    </row>
    <row r="205" ht="15.75" customHeight="1">
      <c r="A205" s="2">
        <v>5.0</v>
      </c>
      <c r="B205" s="2" t="s">
        <v>692</v>
      </c>
      <c r="C205" s="2" t="s">
        <v>693</v>
      </c>
      <c r="D205" s="2" t="s">
        <v>26</v>
      </c>
      <c r="E205" s="2" t="s">
        <v>27</v>
      </c>
      <c r="F205" s="2" t="s">
        <v>15</v>
      </c>
      <c r="G205" s="2" t="s">
        <v>694</v>
      </c>
      <c r="H205" s="2" t="s">
        <v>418</v>
      </c>
      <c r="I205" s="2" t="str">
        <f>IFERROR(__xludf.DUMMYFUNCTION("GOOGLETRANSLATE(C205,""fr"",""en"")"),"Force insurance can be suitable and simple to listen to your expectations I recommend olive insurance
In addition they available to any time")</f>
        <v>Force insurance can be suitable and simple to listen to your expectations I recommend olive insurance
In addition they available to any time</v>
      </c>
    </row>
    <row r="206" ht="15.75" customHeight="1">
      <c r="A206" s="2">
        <v>3.0</v>
      </c>
      <c r="B206" s="2" t="s">
        <v>695</v>
      </c>
      <c r="C206" s="2" t="s">
        <v>696</v>
      </c>
      <c r="D206" s="2" t="s">
        <v>105</v>
      </c>
      <c r="E206" s="2" t="s">
        <v>39</v>
      </c>
      <c r="F206" s="2" t="s">
        <v>15</v>
      </c>
      <c r="G206" s="2" t="s">
        <v>697</v>
      </c>
      <c r="H206" s="2" t="s">
        <v>46</v>
      </c>
      <c r="I206" s="2" t="str">
        <f>IFERROR(__xludf.DUMMYFUNCTION("GOOGLETRANSLATE(C206,""fr"",""en"")"),"I am satisfied with the service, I recommend this insurance for the quality of the service.
Fast insurance, efficient and simple subscription.
Secure insurance")</f>
        <v>I am satisfied with the service, I recommend this insurance for the quality of the service.
Fast insurance, efficient and simple subscription.
Secure insurance</v>
      </c>
    </row>
    <row r="207" ht="15.75" customHeight="1">
      <c r="A207" s="2">
        <v>5.0</v>
      </c>
      <c r="B207" s="2" t="s">
        <v>698</v>
      </c>
      <c r="C207" s="2" t="s">
        <v>699</v>
      </c>
      <c r="D207" s="2" t="s">
        <v>26</v>
      </c>
      <c r="E207" s="2" t="s">
        <v>27</v>
      </c>
      <c r="F207" s="2" t="s">
        <v>15</v>
      </c>
      <c r="G207" s="2" t="s">
        <v>700</v>
      </c>
      <c r="H207" s="2" t="s">
        <v>23</v>
      </c>
      <c r="I207" s="2" t="str">
        <f>IFERROR(__xludf.DUMMYFUNCTION("GOOGLETRANSLATE(C207,""fr"",""en"")"),"Very happy with this insurance. fast courteous and very attractive price. Thank you for the speed and kindness of the salesperson. I made very big savings")</f>
        <v>Very happy with this insurance. fast courteous and very attractive price. Thank you for the speed and kindness of the salesperson. I made very big savings</v>
      </c>
    </row>
    <row r="208" ht="15.75" customHeight="1">
      <c r="A208" s="2">
        <v>4.0</v>
      </c>
      <c r="B208" s="2" t="s">
        <v>701</v>
      </c>
      <c r="C208" s="2" t="s">
        <v>702</v>
      </c>
      <c r="D208" s="2" t="s">
        <v>44</v>
      </c>
      <c r="E208" s="2" t="s">
        <v>27</v>
      </c>
      <c r="F208" s="2" t="s">
        <v>15</v>
      </c>
      <c r="G208" s="2" t="s">
        <v>223</v>
      </c>
      <c r="H208" s="2" t="s">
        <v>57</v>
      </c>
      <c r="I208" s="2" t="str">
        <f>IFERROR(__xludf.DUMMYFUNCTION("GOOGLETRANSLATE(C208,""fr"",""en"")"),"Currently I am satisfied with my contracts: prices and simplicity.
No incident during the past year.
I hope everything will continue in this direction in the future.")</f>
        <v>Currently I am satisfied with my contracts: prices and simplicity.
No incident during the past year.
I hope everything will continue in this direction in the future.</v>
      </c>
    </row>
    <row r="209" ht="15.75" customHeight="1">
      <c r="A209" s="2">
        <v>4.0</v>
      </c>
      <c r="B209" s="2" t="s">
        <v>703</v>
      </c>
      <c r="C209" s="2" t="s">
        <v>704</v>
      </c>
      <c r="D209" s="2" t="s">
        <v>44</v>
      </c>
      <c r="E209" s="2" t="s">
        <v>27</v>
      </c>
      <c r="F209" s="2" t="s">
        <v>15</v>
      </c>
      <c r="G209" s="2" t="s">
        <v>705</v>
      </c>
      <c r="H209" s="2" t="s">
        <v>46</v>
      </c>
      <c r="I209" s="2" t="str">
        <f>IFERROR(__xludf.DUMMYFUNCTION("GOOGLETRANSLATE(C209,""fr"",""en"")"),"Simple and not complicated I was pleasantly surprised at the speed and from there simplicity of the declaration form I just hope that everything will be indicated")</f>
        <v>Simple and not complicated I was pleasantly surprised at the speed and from there simplicity of the declaration form I just hope that everything will be indicated</v>
      </c>
    </row>
    <row r="210" ht="15.75" customHeight="1">
      <c r="A210" s="2">
        <v>1.0</v>
      </c>
      <c r="B210" s="2" t="s">
        <v>706</v>
      </c>
      <c r="C210" s="2" t="s">
        <v>707</v>
      </c>
      <c r="D210" s="2" t="s">
        <v>32</v>
      </c>
      <c r="E210" s="2" t="s">
        <v>33</v>
      </c>
      <c r="F210" s="2" t="s">
        <v>15</v>
      </c>
      <c r="G210" s="2" t="s">
        <v>708</v>
      </c>
      <c r="H210" s="2" t="s">
        <v>35</v>
      </c>
      <c r="I210" s="2" t="str">
        <f>IFERROR(__xludf.DUMMYFUNCTION("GOOGLETRANSLATE(C210,""fr"",""en"")"),"I just saw that the Macif had made very good results
No wonder by stealing its customers is easy.
I am disgusted,
An accident and a non -responsible disaster home cause significant damage but which are not covered by my insurance.
It's a shame.")</f>
        <v>I just saw that the Macif had made very good results
No wonder by stealing its customers is easy.
I am disgusted,
An accident and a non -responsible disaster home cause significant damage but which are not covered by my insurance.
It's a shame.</v>
      </c>
    </row>
    <row r="211" ht="15.75" customHeight="1">
      <c r="A211" s="2">
        <v>1.0</v>
      </c>
      <c r="B211" s="2" t="s">
        <v>709</v>
      </c>
      <c r="C211" s="2" t="s">
        <v>710</v>
      </c>
      <c r="D211" s="2" t="s">
        <v>44</v>
      </c>
      <c r="E211" s="2" t="s">
        <v>27</v>
      </c>
      <c r="F211" s="2" t="s">
        <v>15</v>
      </c>
      <c r="G211" s="2" t="s">
        <v>711</v>
      </c>
      <c r="H211" s="2" t="s">
        <v>593</v>
      </c>
      <c r="I211" s="2" t="str">
        <f>IFERROR(__xludf.DUMMYFUNCTION("GOOGLETRANSLATE(C211,""fr"",""en"")"),"I offer a group action. I will create a page to identify all the victims of Direct Insurance My lawyer studies this possibility which can lead to greater compensation. You can write to me in PV so that Direct Insurance assumes its actions")</f>
        <v>I offer a group action. I will create a page to identify all the victims of Direct Insurance My lawyer studies this possibility which can lead to greater compensation. You can write to me in PV so that Direct Insurance assumes its actions</v>
      </c>
    </row>
    <row r="212" ht="15.75" customHeight="1">
      <c r="A212" s="2">
        <v>2.0</v>
      </c>
      <c r="B212" s="2" t="s">
        <v>712</v>
      </c>
      <c r="C212" s="2" t="s">
        <v>713</v>
      </c>
      <c r="D212" s="2" t="s">
        <v>84</v>
      </c>
      <c r="E212" s="2" t="s">
        <v>33</v>
      </c>
      <c r="F212" s="2" t="s">
        <v>15</v>
      </c>
      <c r="G212" s="2" t="s">
        <v>714</v>
      </c>
      <c r="H212" s="2" t="s">
        <v>17</v>
      </c>
      <c r="I212" s="2" t="str">
        <f>IFERROR(__xludf.DUMMYFUNCTION("GOOGLETRANSLATE(C212,""fr"",""en"")"),"It is a shame to have to give at least one star because this insurer does not deserve any.
Insured at AXA for almost 10 years, we have been the victim of a disaster that was poorly followed from start to finish. The management of the file was most labori"&amp;"ous. One year after the agreement on the amount to be compensated, we did not receive the slightest euro-cent on the 4,000 euros in compensation which were also spent to carry out the repair work despite our many reminders. We will also be forced to consi"&amp;"der the seizure of the competent district court")</f>
        <v>It is a shame to have to give at least one star because this insurer does not deserve any.
Insured at AXA for almost 10 years, we have been the victim of a disaster that was poorly followed from start to finish. The management of the file was most laborious. One year after the agreement on the amount to be compensated, we did not receive the slightest euro-cent on the 4,000 euros in compensation which were also spent to carry out the repair work despite our many reminders. We will also be forced to consider the seizure of the competent district court</v>
      </c>
    </row>
    <row r="213" ht="15.75" customHeight="1">
      <c r="A213" s="2">
        <v>5.0</v>
      </c>
      <c r="B213" s="2" t="s">
        <v>715</v>
      </c>
      <c r="C213" s="2" t="s">
        <v>716</v>
      </c>
      <c r="D213" s="2" t="s">
        <v>26</v>
      </c>
      <c r="E213" s="2" t="s">
        <v>27</v>
      </c>
      <c r="F213" s="2" t="s">
        <v>15</v>
      </c>
      <c r="G213" s="2" t="s">
        <v>717</v>
      </c>
      <c r="H213" s="2" t="s">
        <v>23</v>
      </c>
      <c r="I213" s="2" t="str">
        <f>IFERROR(__xludf.DUMMYFUNCTION("GOOGLETRANSLATE(C213,""fr"",""en"")"),"I am satisfied with the service and the speed to be called, very good price for an all risk formula, with premium pack as well as the guarantee for personal effects !! Thank you !")</f>
        <v>I am satisfied with the service and the speed to be called, very good price for an all risk formula, with premium pack as well as the guarantee for personal effects !! Thank you !</v>
      </c>
    </row>
    <row r="214" ht="15.75" customHeight="1">
      <c r="A214" s="2">
        <v>5.0</v>
      </c>
      <c r="B214" s="2" t="s">
        <v>718</v>
      </c>
      <c r="C214" s="2" t="s">
        <v>719</v>
      </c>
      <c r="D214" s="2" t="s">
        <v>44</v>
      </c>
      <c r="E214" s="2" t="s">
        <v>27</v>
      </c>
      <c r="F214" s="2" t="s">
        <v>15</v>
      </c>
      <c r="G214" s="2" t="s">
        <v>720</v>
      </c>
      <c r="H214" s="2" t="s">
        <v>23</v>
      </c>
      <c r="I214" s="2" t="str">
        <f>IFERROR(__xludf.DUMMYFUNCTION("GOOGLETRANSLATE(C214,""fr"",""en"")"),"Satisfied with your service I approve of your service and I will recommend it to friends to recommend them to use your website to share them
")</f>
        <v>Satisfied with your service I approve of your service and I will recommend it to friends to recommend them to use your website to share them
</v>
      </c>
    </row>
    <row r="215" ht="15.75" customHeight="1">
      <c r="A215" s="2">
        <v>2.0</v>
      </c>
      <c r="B215" s="2" t="s">
        <v>721</v>
      </c>
      <c r="C215" s="2" t="s">
        <v>722</v>
      </c>
      <c r="D215" s="2" t="s">
        <v>75</v>
      </c>
      <c r="E215" s="2" t="s">
        <v>76</v>
      </c>
      <c r="F215" s="2" t="s">
        <v>15</v>
      </c>
      <c r="G215" s="2" t="s">
        <v>723</v>
      </c>
      <c r="H215" s="2" t="s">
        <v>301</v>
      </c>
      <c r="I215" s="2" t="str">
        <f>IFERROR(__xludf.DUMMYFUNCTION("GOOGLETRANSLATE(C215,""fr"",""en"")"),"Payment Capital Insurance Life")</f>
        <v>Payment Capital Insurance Life</v>
      </c>
    </row>
    <row r="216" ht="15.75" customHeight="1">
      <c r="A216" s="2">
        <v>5.0</v>
      </c>
      <c r="B216" s="2" t="s">
        <v>724</v>
      </c>
      <c r="C216" s="2" t="s">
        <v>725</v>
      </c>
      <c r="D216" s="2" t="s">
        <v>44</v>
      </c>
      <c r="E216" s="2" t="s">
        <v>27</v>
      </c>
      <c r="F216" s="2" t="s">
        <v>15</v>
      </c>
      <c r="G216" s="2" t="s">
        <v>399</v>
      </c>
      <c r="H216" s="2" t="s">
        <v>23</v>
      </c>
      <c r="I216" s="2" t="str">
        <f>IFERROR(__xludf.DUMMYFUNCTION("GOOGLETRANSLATE(C216,""fr"",""en"")"),"Satisfaction
Value for money
Speed
Easy payment and subscription
Very good quality
Competitive prices
Quick and fast subscription.
")</f>
        <v>Satisfaction
Value for money
Speed
Easy payment and subscription
Very good quality
Competitive prices
Quick and fast subscription.
</v>
      </c>
    </row>
    <row r="217" ht="15.75" customHeight="1">
      <c r="A217" s="2">
        <v>3.0</v>
      </c>
      <c r="B217" s="2" t="s">
        <v>726</v>
      </c>
      <c r="C217" s="2" t="s">
        <v>727</v>
      </c>
      <c r="D217" s="2" t="s">
        <v>616</v>
      </c>
      <c r="E217" s="2" t="s">
        <v>14</v>
      </c>
      <c r="F217" s="2" t="s">
        <v>15</v>
      </c>
      <c r="G217" s="2" t="s">
        <v>500</v>
      </c>
      <c r="H217" s="2" t="s">
        <v>177</v>
      </c>
      <c r="I217" s="2" t="str">
        <f>IFERROR(__xludf.DUMMYFUNCTION("GOOGLETRANSLATE(C217,""fr"",""en"")"),"Not very professional because attached to a CPAM which has nothing to do with mine so never received reimbursement from them and yet I have reported it for a while
")</f>
        <v>Not very professional because attached to a CPAM which has nothing to do with mine so never received reimbursement from them and yet I have reported it for a while
</v>
      </c>
    </row>
    <row r="218" ht="15.75" customHeight="1">
      <c r="A218" s="2">
        <v>4.0</v>
      </c>
      <c r="B218" s="2" t="s">
        <v>728</v>
      </c>
      <c r="C218" s="2" t="s">
        <v>729</v>
      </c>
      <c r="D218" s="2" t="s">
        <v>38</v>
      </c>
      <c r="E218" s="2" t="s">
        <v>39</v>
      </c>
      <c r="F218" s="2" t="s">
        <v>15</v>
      </c>
      <c r="G218" s="2" t="s">
        <v>730</v>
      </c>
      <c r="H218" s="2" t="s">
        <v>62</v>
      </c>
      <c r="I218" s="2" t="str">
        <f>IFERROR(__xludf.DUMMYFUNCTION("GOOGLETRANSLATE(C218,""fr"",""en"")"),"I am satisfied with this insurance because prices suit me as I wish and I think I have a better rate than some other insurance")</f>
        <v>I am satisfied with this insurance because prices suit me as I wish and I think I have a better rate than some other insurance</v>
      </c>
    </row>
    <row r="219" ht="15.75" customHeight="1">
      <c r="A219" s="2">
        <v>5.0</v>
      </c>
      <c r="B219" s="2" t="s">
        <v>731</v>
      </c>
      <c r="C219" s="2" t="s">
        <v>732</v>
      </c>
      <c r="D219" s="2" t="s">
        <v>26</v>
      </c>
      <c r="E219" s="2" t="s">
        <v>27</v>
      </c>
      <c r="F219" s="2" t="s">
        <v>15</v>
      </c>
      <c r="G219" s="2" t="s">
        <v>274</v>
      </c>
      <c r="H219" s="2" t="s">
        <v>41</v>
      </c>
      <c r="I219" s="2" t="str">
        <f>IFERROR(__xludf.DUMMYFUNCTION("GOOGLETRANSLATE(C219,""fr"",""en"")"),"Super satisfied, to recommend ...
Top welcome and customer service.
Listening and pleasant advisers.
Impeccable value for money.
Great .
")</f>
        <v>Super satisfied, to recommend ...
Top welcome and customer service.
Listening and pleasant advisers.
Impeccable value for money.
Great .
</v>
      </c>
    </row>
    <row r="220" ht="15.75" customHeight="1">
      <c r="A220" s="2">
        <v>5.0</v>
      </c>
      <c r="B220" s="2" t="s">
        <v>733</v>
      </c>
      <c r="C220" s="2" t="s">
        <v>734</v>
      </c>
      <c r="D220" s="2" t="s">
        <v>32</v>
      </c>
      <c r="E220" s="2" t="s">
        <v>27</v>
      </c>
      <c r="F220" s="2" t="s">
        <v>15</v>
      </c>
      <c r="G220" s="2" t="s">
        <v>287</v>
      </c>
      <c r="H220" s="2" t="s">
        <v>23</v>
      </c>
      <c r="I220" s="2" t="str">
        <f>IFERROR(__xludf.DUMMYFUNCTION("GOOGLETRANSLATE(C220,""fr"",""en"")"),"Very professional - very fast in troubleshooting in the event of a problem - very responsive, clear and friendly on the phone. Easily reachable until 8 p.m. which is very appreciable. Thanks to them !
")</f>
        <v>Very professional - very fast in troubleshooting in the event of a problem - very responsive, clear and friendly on the phone. Easily reachable until 8 p.m. which is very appreciable. Thanks to them !
</v>
      </c>
    </row>
    <row r="221" ht="15.75" customHeight="1">
      <c r="A221" s="2">
        <v>3.0</v>
      </c>
      <c r="B221" s="2" t="s">
        <v>735</v>
      </c>
      <c r="C221" s="2" t="s">
        <v>736</v>
      </c>
      <c r="D221" s="2" t="s">
        <v>141</v>
      </c>
      <c r="E221" s="2" t="s">
        <v>27</v>
      </c>
      <c r="F221" s="2" t="s">
        <v>15</v>
      </c>
      <c r="G221" s="2" t="s">
        <v>737</v>
      </c>
      <c r="H221" s="2" t="s">
        <v>159</v>
      </c>
      <c r="I221" s="2" t="str">
        <f>IFERROR(__xludf.DUMMYFUNCTION("GOOGLETRANSLATE(C221,""fr"",""en"")"),"Some difflicuties to """" have someone online """" ""quickly, you have to go through
Many data and it's tiring (not to say more !!!) you have to cry to have some discount or advantageed in pubs")</f>
        <v>Some difflicuties to "" have someone online "" "quickly, you have to go through
Many data and it's tiring (not to say more !!!) you have to cry to have some discount or advantageed in pubs</v>
      </c>
    </row>
    <row r="222" ht="15.75" customHeight="1">
      <c r="A222" s="2">
        <v>3.0</v>
      </c>
      <c r="B222" s="2" t="s">
        <v>738</v>
      </c>
      <c r="C222" s="2" t="s">
        <v>739</v>
      </c>
      <c r="D222" s="2" t="s">
        <v>141</v>
      </c>
      <c r="E222" s="2" t="s">
        <v>33</v>
      </c>
      <c r="F222" s="2" t="s">
        <v>15</v>
      </c>
      <c r="G222" s="2" t="s">
        <v>740</v>
      </c>
      <c r="H222" s="2" t="s">
        <v>554</v>
      </c>
      <c r="I222" s="2" t="str">
        <f>IFERROR(__xludf.DUMMYFUNCTION("GOOGLETRANSLATE(C222,""fr"",""en"")"),"Insured at the MAAF for 30 years, I receive a letter informing myself of the termination of my insurance for loss frequency. I had a flight in the home at the end of 2018 that the Maaf beforehand did not want to take care of and finally took care of by in"&amp;"forming that I was a good customer. We have 8 MAAF contracts, including 2 vehicles with life bonuses because never an accident. In addition, the headquarters in Niort leaves the dirty work to my local agency with which we had good contacts to inform ourse"&amp;"lves of this non -negotiable decision. Tanpis We will assure all of our goods with another company.")</f>
        <v>Insured at the MAAF for 30 years, I receive a letter informing myself of the termination of my insurance for loss frequency. I had a flight in the home at the end of 2018 that the Maaf beforehand did not want to take care of and finally took care of by informing that I was a good customer. We have 8 MAAF contracts, including 2 vehicles with life bonuses because never an accident. In addition, the headquarters in Niort leaves the dirty work to my local agency with which we had good contacts to inform ourselves of this non -negotiable decision. Tanpis We will assure all of our goods with another company.</v>
      </c>
    </row>
    <row r="223" ht="15.75" customHeight="1">
      <c r="A223" s="2">
        <v>5.0</v>
      </c>
      <c r="B223" s="2" t="s">
        <v>741</v>
      </c>
      <c r="C223" s="2" t="s">
        <v>742</v>
      </c>
      <c r="D223" s="2" t="s">
        <v>26</v>
      </c>
      <c r="E223" s="2" t="s">
        <v>27</v>
      </c>
      <c r="F223" s="2" t="s">
        <v>15</v>
      </c>
      <c r="G223" s="2" t="s">
        <v>22</v>
      </c>
      <c r="H223" s="2" t="s">
        <v>23</v>
      </c>
      <c r="I223" s="2" t="str">
        <f>IFERROR(__xludf.DUMMYFUNCTION("GOOGLETRANSLATE(C223,""fr"",""en"")"),"The site is very intuitive, it is the first time that I have a car. The car insurance service is very easy. Following several insurance comparisons, this one is the most advantageous in my situation.")</f>
        <v>The site is very intuitive, it is the first time that I have a car. The car insurance service is very easy. Following several insurance comparisons, this one is the most advantageous in my situation.</v>
      </c>
    </row>
    <row r="224" ht="15.75" customHeight="1">
      <c r="A224" s="2">
        <v>5.0</v>
      </c>
      <c r="B224" s="2" t="s">
        <v>743</v>
      </c>
      <c r="C224" s="2" t="s">
        <v>744</v>
      </c>
      <c r="D224" s="2" t="s">
        <v>38</v>
      </c>
      <c r="E224" s="2" t="s">
        <v>39</v>
      </c>
      <c r="F224" s="2" t="s">
        <v>15</v>
      </c>
      <c r="G224" s="2" t="s">
        <v>745</v>
      </c>
      <c r="H224" s="2" t="s">
        <v>23</v>
      </c>
      <c r="I224" s="2" t="str">
        <f>IFERROR(__xludf.DUMMYFUNCTION("GOOGLETRANSLATE(C224,""fr"",""en"")"),"Very satisfied with the service.
Warm welcome, listening and patience.
All information requested is explained.
Very competitive price with regard to the proposed coverage.
")</f>
        <v>Very satisfied with the service.
Warm welcome, listening and patience.
All information requested is explained.
Very competitive price with regard to the proposed coverage.
</v>
      </c>
    </row>
    <row r="225" ht="15.75" customHeight="1">
      <c r="A225" s="2">
        <v>4.0</v>
      </c>
      <c r="B225" s="2" t="s">
        <v>746</v>
      </c>
      <c r="C225" s="2" t="s">
        <v>747</v>
      </c>
      <c r="D225" s="2" t="s">
        <v>60</v>
      </c>
      <c r="E225" s="2" t="s">
        <v>14</v>
      </c>
      <c r="F225" s="2" t="s">
        <v>15</v>
      </c>
      <c r="G225" s="2" t="s">
        <v>748</v>
      </c>
      <c r="H225" s="2" t="s">
        <v>159</v>
      </c>
      <c r="I225" s="2" t="str">
        <f>IFERROR(__xludf.DUMMYFUNCTION("GOOGLETRANSLATE(C225,""fr"",""en"")"),"Thank you very much to Maria that I have just contacted for information, a very competent employee, who knows her job well, very friendly and efficient. I thank her very much for her kindness and her knowledge.
Maria I give her the maximum note ... thank"&amp;" you ?? all my thanks.")</f>
        <v>Thank you very much to Maria that I have just contacted for information, a very competent employee, who knows her job well, very friendly and efficient. I thank her very much for her kindness and her knowledge.
Maria I give her the maximum note ... thank you ?? all my thanks.</v>
      </c>
    </row>
    <row r="226" ht="15.75" customHeight="1">
      <c r="A226" s="2">
        <v>5.0</v>
      </c>
      <c r="B226" s="2" t="s">
        <v>749</v>
      </c>
      <c r="C226" s="2" t="s">
        <v>750</v>
      </c>
      <c r="D226" s="2" t="s">
        <v>44</v>
      </c>
      <c r="E226" s="2" t="s">
        <v>27</v>
      </c>
      <c r="F226" s="2" t="s">
        <v>15</v>
      </c>
      <c r="G226" s="2" t="s">
        <v>40</v>
      </c>
      <c r="H226" s="2" t="s">
        <v>41</v>
      </c>
      <c r="I226" s="2" t="str">
        <f>IFERROR(__xludf.DUMMYFUNCTION("GOOGLETRANSLATE(C226,""fr"",""en"")")," Hello,
Your price + guarantees suit me because I have had my C1 since March 2009. I am very satisfied with your services because the form is easy to complete ... Also you do the procedures to terminate my contract with my insurer. Thank you!
 Cordially"&amp;",
         Driss")</f>
        <v> Hello,
Your price + guarantees suit me because I have had my C1 since March 2009. I am very satisfied with your services because the form is easy to complete ... Also you do the procedures to terminate my contract with my insurer. Thank you!
 Cordially,
         Driss</v>
      </c>
    </row>
    <row r="227" ht="15.75" customHeight="1">
      <c r="A227" s="2">
        <v>1.0</v>
      </c>
      <c r="B227" s="2" t="s">
        <v>751</v>
      </c>
      <c r="C227" s="2" t="s">
        <v>752</v>
      </c>
      <c r="D227" s="2" t="s">
        <v>55</v>
      </c>
      <c r="E227" s="2" t="s">
        <v>14</v>
      </c>
      <c r="F227" s="2" t="s">
        <v>15</v>
      </c>
      <c r="G227" s="2" t="s">
        <v>753</v>
      </c>
      <c r="H227" s="2" t="s">
        <v>72</v>
      </c>
      <c r="I227" s="2" t="str">
        <f>IFERROR(__xludf.DUMMYFUNCTION("GOOGLETRANSLATE(C227,""fr"",""en"")"),"Are not even able to take into account changes rated on our internet account, ?? In particular a change of address that I mentioned in March and April 2019 and in January 2020 still not changed in my file !!!!!")</f>
        <v>Are not even able to take into account changes rated on our internet account, ?? In particular a change of address that I mentioned in March and April 2019 and in January 2020 still not changed in my file !!!!!</v>
      </c>
    </row>
    <row r="228" ht="15.75" customHeight="1">
      <c r="A228" s="2">
        <v>5.0</v>
      </c>
      <c r="B228" s="2" t="s">
        <v>754</v>
      </c>
      <c r="C228" s="2" t="s">
        <v>755</v>
      </c>
      <c r="D228" s="2" t="s">
        <v>26</v>
      </c>
      <c r="E228" s="2" t="s">
        <v>27</v>
      </c>
      <c r="F228" s="2" t="s">
        <v>15</v>
      </c>
      <c r="G228" s="2" t="s">
        <v>756</v>
      </c>
      <c r="H228" s="2" t="s">
        <v>23</v>
      </c>
      <c r="I228" s="2" t="str">
        <f>IFERROR(__xludf.DUMMYFUNCTION("GOOGLETRANSLATE(C228,""fr"",""en"")"),"I am satisfied with the service The prices are affordable and attentive to customers I strongly recommend to insure you at home thank you to you the olive assurance")</f>
        <v>I am satisfied with the service The prices are affordable and attentive to customers I strongly recommend to insure you at home thank you to you the olive assurance</v>
      </c>
    </row>
    <row r="229" ht="15.75" customHeight="1">
      <c r="A229" s="2">
        <v>1.0</v>
      </c>
      <c r="B229" s="2" t="s">
        <v>757</v>
      </c>
      <c r="C229" s="2" t="s">
        <v>758</v>
      </c>
      <c r="D229" s="2" t="s">
        <v>148</v>
      </c>
      <c r="E229" s="2" t="s">
        <v>27</v>
      </c>
      <c r="F229" s="2" t="s">
        <v>15</v>
      </c>
      <c r="G229" s="2" t="s">
        <v>759</v>
      </c>
      <c r="H229" s="2" t="s">
        <v>452</v>
      </c>
      <c r="I229" s="2" t="str">
        <f>IFERROR(__xludf.DUMMYFUNCTION("GOOGLETRANSLATE(C229,""fr"",""en"")"),"Hello, member of Maif, I also discover the problem of fictitious claims. Indeed, wishing to change automotive insurance, I asked for an information statement, legal document and compulsory to change insurer. On this document appears damage on a vehicle: n"&amp;"oting a bump on my car when I got out of my work (in May 2016), I called Maif. An advisor then invites me to make a quote from a mechanic. The mechanic confirms me that the cost of repairs will be lower than the deductible (less than 100 euros in repair) "&amp;"and that I need to recall the insurance so as not to follow up. What I have done. MAIF therefore did not pay compensation for this repair. I paid everything from my pocket. And yet this damage is written black on white in my information statement. The pro"&amp;"blem, in this way of proceeding, is that this causes financial damage to the establishment of quotes at the competing insurer, since the information statement is not virgin! 65 euros more per year .. Is it a form of voluntary ""commercial blockage""? If e"&amp;"ach time you get your phone to request advice, it turns into a disaster, then your information statement looks more like the IKEA catalog than a legal and official document. Do not laugh because this implies that competing insurances are reluctant to ensu"&amp;"re or at prohibitive prices, higher than in Maif.
Of course, I asked the MAIF to modify the information statement: for the moment (after many steps) it seems engraved in marble. My mobile messaging, which is worth her weight in gold: an advisor explains "&amp;"to me ""that an expert who did not assess my car"" (I quote ..) but who was responsible for the file (what file?) represents a cost at the MAIF and that is the reason why the damage cannot be erased from the information statement! Frankly, I plan a profes"&amp;"sional retraining: after national education, expert work for the MAIF seems to me to be a great opportunity.
But let's be serious, this telephone message is a real gag and the stuffing turkey, it's me .. and soon you member Maif.
Pending your testimonie"&amp;"s, your advice to solve this problem, I wish you a good day.")</f>
        <v>Hello, member of Maif, I also discover the problem of fictitious claims. Indeed, wishing to change automotive insurance, I asked for an information statement, legal document and compulsory to change insurer. On this document appears damage on a vehicle: noting a bump on my car when I got out of my work (in May 2016), I called Maif. An advisor then invites me to make a quote from a mechanic. The mechanic confirms me that the cost of repairs will be lower than the deductible (less than 100 euros in repair) and that I need to recall the insurance so as not to follow up. What I have done. MAIF therefore did not pay compensation for this repair. I paid everything from my pocket. And yet this damage is written black on white in my information statement. The problem, in this way of proceeding, is that this causes financial damage to the establishment of quotes at the competing insurer, since the information statement is not virgin! 65 euros more per year .. Is it a form of voluntary "commercial blockage"? If each time you get your phone to request advice, it turns into a disaster, then your information statement looks more like the IKEA catalog than a legal and official document. Do not laugh because this implies that competing insurances are reluctant to ensure or at prohibitive prices, higher than in Maif.
Of course, I asked the MAIF to modify the information statement: for the moment (after many steps) it seems engraved in marble. My mobile messaging, which is worth her weight in gold: an advisor explains to me "that an expert who did not assess my car" (I quote ..) but who was responsible for the file (what file?) represents a cost at the MAIF and that is the reason why the damage cannot be erased from the information statement! Frankly, I plan a professional retraining: after national education, expert work for the MAIF seems to me to be a great opportunity.
But let's be serious, this telephone message is a real gag and the stuffing turkey, it's me .. and soon you member Maif.
Pending your testimonies, your advice to solve this problem, I wish you a good day.</v>
      </c>
    </row>
    <row r="230" ht="15.75" customHeight="1">
      <c r="A230" s="2">
        <v>1.0</v>
      </c>
      <c r="B230" s="2" t="s">
        <v>760</v>
      </c>
      <c r="C230" s="2" t="s">
        <v>761</v>
      </c>
      <c r="D230" s="2" t="s">
        <v>44</v>
      </c>
      <c r="E230" s="2" t="s">
        <v>27</v>
      </c>
      <c r="F230" s="2" t="s">
        <v>15</v>
      </c>
      <c r="G230" s="2" t="s">
        <v>500</v>
      </c>
      <c r="H230" s="2" t="s">
        <v>177</v>
      </c>
      <c r="I230" s="2" t="str">
        <f>IFERROR(__xludf.DUMMYFUNCTION("GOOGLETRANSLATE(C230,""fr"",""en"")"),"Direct Insurance is incredible, the more faithful you are the more you pay ...
Increase for 3 years.
Each year, they have increased by 10% while my vehicle discount ...
I have the bonus 50% for 10 years.
So I said to myself, I will make a quote on the"&amp;" Direct Assurance site.
And I see with the same guarantees 417 euros while they charge me 650 euros.
I am really sad to be considered a pigeon.
So I will terminate this insurance tomorrow and head for more serious insurance.")</f>
        <v>Direct Insurance is incredible, the more faithful you are the more you pay ...
Increase for 3 years.
Each year, they have increased by 10% while my vehicle discount ...
I have the bonus 50% for 10 years.
So I said to myself, I will make a quote on the Direct Assurance site.
And I see with the same guarantees 417 euros while they charge me 650 euros.
I am really sad to be considered a pigeon.
So I will terminate this insurance tomorrow and head for more serious insurance.</v>
      </c>
    </row>
    <row r="231" ht="15.75" customHeight="1">
      <c r="A231" s="2">
        <v>2.0</v>
      </c>
      <c r="B231" s="2" t="s">
        <v>762</v>
      </c>
      <c r="C231" s="2" t="s">
        <v>763</v>
      </c>
      <c r="D231" s="2" t="s">
        <v>55</v>
      </c>
      <c r="E231" s="2" t="s">
        <v>14</v>
      </c>
      <c r="F231" s="2" t="s">
        <v>15</v>
      </c>
      <c r="G231" s="2" t="s">
        <v>409</v>
      </c>
      <c r="H231" s="2" t="s">
        <v>86</v>
      </c>
      <c r="I231" s="2" t="str">
        <f>IFERROR(__xludf.DUMMYFUNCTION("GOOGLETRANSLATE(C231,""fr"",""en"")"),"Neoliane are profiteers. They make money on people's backs. Do not go to them or to terminate as soon as possible !!! For my part I blocked all their samples. It is clearly not a reliable mutual. Fled at all costs")</f>
        <v>Neoliane are profiteers. They make money on people's backs. Do not go to them or to terminate as soon as possible !!! For my part I blocked all their samples. It is clearly not a reliable mutual. Fled at all costs</v>
      </c>
    </row>
    <row r="232" ht="15.75" customHeight="1">
      <c r="A232" s="2">
        <v>1.0</v>
      </c>
      <c r="B232" s="2" t="s">
        <v>764</v>
      </c>
      <c r="C232" s="2" t="s">
        <v>765</v>
      </c>
      <c r="D232" s="2" t="s">
        <v>32</v>
      </c>
      <c r="E232" s="2" t="s">
        <v>33</v>
      </c>
      <c r="F232" s="2" t="s">
        <v>15</v>
      </c>
      <c r="G232" s="2" t="s">
        <v>766</v>
      </c>
      <c r="H232" s="2" t="s">
        <v>767</v>
      </c>
      <c r="I232" s="2" t="str">
        <f>IFERROR(__xludf.DUMMYFUNCTION("GOOGLETRANSLATE(C232,""fr"",""en"")"),"It is a home insurance that tells you I am with members for combats of unhealthy accommodation once you take steps with a lawyer she does not follow the file at the end she lets you down here is the maci")</f>
        <v>It is a home insurance that tells you I am with members for combats of unhealthy accommodation once you take steps with a lawyer she does not follow the file at the end she lets you down here is the maci</v>
      </c>
    </row>
    <row r="233" ht="15.75" customHeight="1">
      <c r="A233" s="2">
        <v>1.0</v>
      </c>
      <c r="B233" s="2" t="s">
        <v>768</v>
      </c>
      <c r="C233" s="2" t="s">
        <v>769</v>
      </c>
      <c r="D233" s="2" t="s">
        <v>44</v>
      </c>
      <c r="E233" s="2" t="s">
        <v>27</v>
      </c>
      <c r="F233" s="2" t="s">
        <v>15</v>
      </c>
      <c r="G233" s="2" t="s">
        <v>770</v>
      </c>
      <c r="H233" s="2" t="s">
        <v>771</v>
      </c>
      <c r="I233" s="2" t="str">
        <f>IFERROR(__xludf.DUMMYFUNCTION("GOOGLETRANSLATE(C233,""fr"",""en"")"),"I subscribed my insurance contract before my departure on a 10 -day vacation, the adviser committed that I could receive the final green card within a week, but this deadline has been exceeded and the green card did not never been delushed.
I made a requ"&amp;"est for a second card, I always wait for it ...
They send their letters in simple letter therefore impossible to follow and impossible to justify the date of dispatch.
I have to reorganize now my vacation because of them, the customer advisers based in "&amp;"Morocco have only one word in mind: this is the fault at the post office, or that is false !! The mail has always been issued and it is issued in time")</f>
        <v>I subscribed my insurance contract before my departure on a 10 -day vacation, the adviser committed that I could receive the final green card within a week, but this deadline has been exceeded and the green card did not never been delushed.
I made a request for a second card, I always wait for it ...
They send their letters in simple letter therefore impossible to follow and impossible to justify the date of dispatch.
I have to reorganize now my vacation because of them, the customer advisers based in Morocco have only one word in mind: this is the fault at the post office, or that is false !! The mail has always been issued and it is issued in time</v>
      </c>
    </row>
    <row r="234" ht="15.75" customHeight="1">
      <c r="A234" s="2">
        <v>4.0</v>
      </c>
      <c r="B234" s="2" t="s">
        <v>772</v>
      </c>
      <c r="C234" s="2" t="s">
        <v>773</v>
      </c>
      <c r="D234" s="2" t="s">
        <v>26</v>
      </c>
      <c r="E234" s="2" t="s">
        <v>27</v>
      </c>
      <c r="F234" s="2" t="s">
        <v>15</v>
      </c>
      <c r="G234" s="2" t="s">
        <v>774</v>
      </c>
      <c r="H234" s="2" t="s">
        <v>23</v>
      </c>
      <c r="I234" s="2" t="str">
        <f>IFERROR(__xludf.DUMMYFUNCTION("GOOGLETRANSLATE(C234,""fr"",""en"")"),"I am very satisfied with people listening to us and who speaks and understands French. At the price level it is very correct for a very wide convert")</f>
        <v>I am very satisfied with people listening to us and who speaks and understands French. At the price level it is very correct for a very wide convert</v>
      </c>
    </row>
    <row r="235" ht="15.75" customHeight="1">
      <c r="A235" s="2">
        <v>5.0</v>
      </c>
      <c r="B235" s="2" t="s">
        <v>775</v>
      </c>
      <c r="C235" s="2" t="s">
        <v>776</v>
      </c>
      <c r="D235" s="2" t="s">
        <v>60</v>
      </c>
      <c r="E235" s="2" t="s">
        <v>14</v>
      </c>
      <c r="F235" s="2" t="s">
        <v>15</v>
      </c>
      <c r="G235" s="2" t="s">
        <v>740</v>
      </c>
      <c r="H235" s="2" t="s">
        <v>554</v>
      </c>
      <c r="I235" s="2" t="str">
        <f>IFERROR(__xludf.DUMMYFUNCTION("GOOGLETRANSLATE(C235,""fr"",""en"")"),"Carole Interlocutrice, jovial and most effective who raised all my concerns about the opening of my membership. If I have aid proposal (IT) in the event of needs, is most appreciable. By these explanations, I would no longer have concern to answer my ques"&amp;"tions on the santiane.fr site")</f>
        <v>Carole Interlocutrice, jovial and most effective who raised all my concerns about the opening of my membership. If I have aid proposal (IT) in the event of needs, is most appreciable. By these explanations, I would no longer have concern to answer my questions on the santiane.fr site</v>
      </c>
    </row>
    <row r="236" ht="15.75" customHeight="1">
      <c r="A236" s="2">
        <v>1.0</v>
      </c>
      <c r="B236" s="2" t="s">
        <v>777</v>
      </c>
      <c r="C236" s="2" t="s">
        <v>778</v>
      </c>
      <c r="D236" s="2" t="s">
        <v>44</v>
      </c>
      <c r="E236" s="2" t="s">
        <v>27</v>
      </c>
      <c r="F236" s="2" t="s">
        <v>15</v>
      </c>
      <c r="G236" s="2" t="s">
        <v>779</v>
      </c>
      <c r="H236" s="2" t="s">
        <v>234</v>
      </c>
      <c r="I236" s="2" t="str">
        <f>IFERROR(__xludf.DUMMYFUNCTION("GOOGLETRANSLATE(C236,""fr"",""en"")"),"
Hello I subscribed to an online car insurance on July 16, 2018 contract n 930371015 AUD DIRECT Insurance FR I specifies that this insurance was supposed to start on August 19, 2018 at midnight I was forced to pay the sum of 315 euros even before Having "&amp;"access to my auto contract and the conditions of this one I was gullible and I paid but without ever signed my electronically contract on July 23, 2018 decides to retract from this purchase as provided for in article L221 18 of the code of code Consumptio"&amp;"n I send an email by explaining that I am in my right and that I wish to retract and I request the reimbursement of the 315 euros direct insurance answers that I must send a recommended AC to the termination service so that it takes into consideration my "&amp;"Ask what I do even if I have never signed the insurance contract electronically because the clauses do not suit me I receive an email from them on July 24, 2018
Hello Fabien We regret that you want to suspend or terminate your car insurance
However,"&amp;" we cannot accept it because the reason for termination indicated is not provided under the general conditions of your contract
No solution is offered to me today it runs me in a watery and asks me every day a new document the certificate of trans"&amp;"fer or destruction of my vehicle the green card and the insurance certificate but I do not want to sell or destroy or destroy or destroy or destroy or destroy My vehicle more I am assured until August 19, 2018 at Eurofil and they know it very well I sent "&amp;"a scan of my green card to show them that I was well insured 9 days ago I am told by email that the Consumer law service must reconnect with me but I still wait for their contact")</f>
        <v>
Hello I subscribed to an online car insurance on July 16, 2018 contract n 930371015 AUD DIRECT Insurance FR I specifies that this insurance was supposed to start on August 19, 2018 at midnight I was forced to pay the sum of 315 euros even before Having access to my auto contract and the conditions of this one I was gullible and I paid but without ever signed my electronically contract on July 23, 2018 decides to retract from this purchase as provided for in article L221 18 of the code of code Consumption I send an email by explaining that I am in my right and that I wish to retract and I request the reimbursement of the 315 euros direct insurance answers that I must send a recommended AC to the termination service so that it takes into consideration my Ask what I do even if I have never signed the insurance contract electronically because the clauses do not suit me I receive an email from them on July 24, 2018
Hello Fabien We regret that you want to suspend or terminate your car insurance
However, we cannot accept it because the reason for termination indicated is not provided under the general conditions of your contract
No solution is offered to me today it runs me in a watery and asks me every day a new document the certificate of transfer or destruction of my vehicle the green card and the insurance certificate but I do not want to sell or destroy or destroy or destroy or destroy or destroy My vehicle more I am assured until August 19, 2018 at Eurofil and they know it very well I sent a scan of my green card to show them that I was well insured 9 days ago I am told by email that the Consumer law service must reconnect with me but I still wait for their contact</v>
      </c>
    </row>
    <row r="237" ht="15.75" customHeight="1">
      <c r="A237" s="2">
        <v>5.0</v>
      </c>
      <c r="B237" s="2" t="s">
        <v>780</v>
      </c>
      <c r="C237" s="2" t="s">
        <v>781</v>
      </c>
      <c r="D237" s="2" t="s">
        <v>117</v>
      </c>
      <c r="E237" s="2" t="s">
        <v>27</v>
      </c>
      <c r="F237" s="2" t="s">
        <v>15</v>
      </c>
      <c r="G237" s="2" t="s">
        <v>782</v>
      </c>
      <c r="H237" s="2" t="s">
        <v>17</v>
      </c>
      <c r="I237" s="2" t="str">
        <f>IFERROR(__xludf.DUMMYFUNCTION("GOOGLETRANSLATE(C237,""fr"",""en"")"),"The only insurance that accepted me at the lowest price compared to the competitors when I was a young driver. They have always been reactive and completed their tasks when I needed.
I recommend !")</f>
        <v>The only insurance that accepted me at the lowest price compared to the competitors when I was a young driver. They have always been reactive and completed their tasks when I needed.
I recommend !</v>
      </c>
    </row>
    <row r="238" ht="15.75" customHeight="1">
      <c r="A238" s="2">
        <v>2.0</v>
      </c>
      <c r="B238" s="2" t="s">
        <v>783</v>
      </c>
      <c r="C238" s="2" t="s">
        <v>784</v>
      </c>
      <c r="D238" s="2" t="s">
        <v>32</v>
      </c>
      <c r="E238" s="2" t="s">
        <v>33</v>
      </c>
      <c r="F238" s="2" t="s">
        <v>15</v>
      </c>
      <c r="G238" s="2" t="s">
        <v>785</v>
      </c>
      <c r="H238" s="2" t="s">
        <v>90</v>
      </c>
      <c r="I238" s="2" t="str">
        <f>IFERROR(__xludf.DUMMYFUNCTION("GOOGLETRANSLATE(C238,""fr"",""en"")"),"My mother undergoes the incompetence of the management of her file following a disaster from her house. It's been 4 months since she is obliged to take care of her file and has still not been able to launch the repair work! It's scandalous !")</f>
        <v>My mother undergoes the incompetence of the management of her file following a disaster from her house. It's been 4 months since she is obliged to take care of her file and has still not been able to launch the repair work! It's scandalous !</v>
      </c>
    </row>
    <row r="239" ht="15.75" customHeight="1">
      <c r="A239" s="2">
        <v>2.0</v>
      </c>
      <c r="B239" s="2" t="s">
        <v>786</v>
      </c>
      <c r="C239" s="2" t="s">
        <v>787</v>
      </c>
      <c r="D239" s="2" t="s">
        <v>26</v>
      </c>
      <c r="E239" s="2" t="s">
        <v>27</v>
      </c>
      <c r="F239" s="2" t="s">
        <v>15</v>
      </c>
      <c r="G239" s="2" t="s">
        <v>788</v>
      </c>
      <c r="H239" s="2" t="s">
        <v>35</v>
      </c>
      <c r="I239" s="2" t="str">
        <f>IFERROR(__xludf.DUMMYFUNCTION("GOOGLETRANSLATE(C239,""fr"",""en"")"),"I am satisfied but I find that the prices are high for the services offered but good after I have a big penalty so it is normal. Everything is complete and simple")</f>
        <v>I am satisfied but I find that the prices are high for the services offered but good after I have a big penalty so it is normal. Everything is complete and simple</v>
      </c>
    </row>
    <row r="240" ht="15.75" customHeight="1">
      <c r="A240" s="2">
        <v>2.0</v>
      </c>
      <c r="B240" s="2" t="s">
        <v>789</v>
      </c>
      <c r="C240" s="2" t="s">
        <v>790</v>
      </c>
      <c r="D240" s="2" t="s">
        <v>44</v>
      </c>
      <c r="E240" s="2" t="s">
        <v>27</v>
      </c>
      <c r="F240" s="2" t="s">
        <v>15</v>
      </c>
      <c r="G240" s="2" t="s">
        <v>791</v>
      </c>
      <c r="H240" s="2" t="s">
        <v>35</v>
      </c>
      <c r="I240" s="2" t="str">
        <f>IFERROR(__xludf.DUMMYFUNCTION("GOOGLETRANSLATE(C240,""fr"",""en"")"),"Impossible to speak to a customer manager, that operators without powers assisted by robots
For identical apartments the price is not the same on old contracts and on new quotes")</f>
        <v>Impossible to speak to a customer manager, that operators without powers assisted by robots
For identical apartments the price is not the same on old contracts and on new quotes</v>
      </c>
    </row>
    <row r="241" ht="15.75" customHeight="1">
      <c r="A241" s="2">
        <v>1.0</v>
      </c>
      <c r="B241" s="2" t="s">
        <v>792</v>
      </c>
      <c r="C241" s="2" t="s">
        <v>793</v>
      </c>
      <c r="D241" s="2" t="s">
        <v>44</v>
      </c>
      <c r="E241" s="2" t="s">
        <v>27</v>
      </c>
      <c r="F241" s="2" t="s">
        <v>15</v>
      </c>
      <c r="G241" s="2" t="s">
        <v>794</v>
      </c>
      <c r="H241" s="2" t="s">
        <v>372</v>
      </c>
      <c r="I241" s="2" t="str">
        <f>IFERROR(__xludf.DUMMYFUNCTION("GOOGLETRANSLATE(C241,""fr"",""en"")"),"8 euros more every month than the previous year with 50 bonus thank you D.A the reason according to the advisor too much disaster in the 93 a bogus supporting proof, I think everyone is responsible 93 or other.")</f>
        <v>8 euros more every month than the previous year with 50 bonus thank you D.A the reason according to the advisor too much disaster in the 93 a bogus supporting proof, I think everyone is responsible 93 or other.</v>
      </c>
    </row>
    <row r="242" ht="15.75" customHeight="1">
      <c r="A242" s="2">
        <v>4.0</v>
      </c>
      <c r="B242" s="2" t="s">
        <v>795</v>
      </c>
      <c r="C242" s="2" t="s">
        <v>796</v>
      </c>
      <c r="D242" s="2" t="s">
        <v>60</v>
      </c>
      <c r="E242" s="2" t="s">
        <v>14</v>
      </c>
      <c r="F242" s="2" t="s">
        <v>15</v>
      </c>
      <c r="G242" s="2" t="s">
        <v>797</v>
      </c>
      <c r="H242" s="2" t="s">
        <v>422</v>
      </c>
      <c r="I242" s="2" t="str">
        <f>IFERROR(__xludf.DUMMYFUNCTION("GOOGLETRANSLATE(C242,""fr"",""en"")"),"Very good information ... Operator very attentive")</f>
        <v>Very good information ... Operator very attentive</v>
      </c>
    </row>
    <row r="243" ht="15.75" customHeight="1">
      <c r="A243" s="2">
        <v>3.0</v>
      </c>
      <c r="B243" s="2" t="s">
        <v>798</v>
      </c>
      <c r="C243" s="2" t="s">
        <v>799</v>
      </c>
      <c r="D243" s="2" t="s">
        <v>44</v>
      </c>
      <c r="E243" s="2" t="s">
        <v>27</v>
      </c>
      <c r="F243" s="2" t="s">
        <v>15</v>
      </c>
      <c r="G243" s="2" t="s">
        <v>800</v>
      </c>
      <c r="H243" s="2" t="s">
        <v>29</v>
      </c>
      <c r="I243" s="2" t="str">
        <f>IFERROR(__xludf.DUMMYFUNCTION("GOOGLETRANSLATE(C243,""fr"",""en"")"),"Hope will be able to take advantage of the sponsorship code, which has this stage do not yet propose
I will modify my opinion if it puts presented later")</f>
        <v>Hope will be able to take advantage of the sponsorship code, which has this stage do not yet propose
I will modify my opinion if it puts presented later</v>
      </c>
    </row>
    <row r="244" ht="15.75" customHeight="1">
      <c r="A244" s="2">
        <v>4.0</v>
      </c>
      <c r="B244" s="2" t="s">
        <v>801</v>
      </c>
      <c r="C244" s="2" t="s">
        <v>802</v>
      </c>
      <c r="D244" s="2" t="s">
        <v>26</v>
      </c>
      <c r="E244" s="2" t="s">
        <v>27</v>
      </c>
      <c r="F244" s="2" t="s">
        <v>15</v>
      </c>
      <c r="G244" s="2" t="s">
        <v>803</v>
      </c>
      <c r="H244" s="2" t="s">
        <v>418</v>
      </c>
      <c r="I244" s="2" t="str">
        <f>IFERROR(__xludf.DUMMYFUNCTION("GOOGLETRANSLATE(C244,""fr"",""en"")"),"The prices are correct. Customer gear helping and very informative. Argued proposals.
Thank you for the service. To see if one day we need to implement this insurance")</f>
        <v>The prices are correct. Customer gear helping and very informative. Argued proposals.
Thank you for the service. To see if one day we need to implement this insurance</v>
      </c>
    </row>
    <row r="245" ht="15.75" customHeight="1">
      <c r="A245" s="2">
        <v>5.0</v>
      </c>
      <c r="B245" s="2" t="s">
        <v>804</v>
      </c>
      <c r="C245" s="2" t="s">
        <v>805</v>
      </c>
      <c r="D245" s="2" t="s">
        <v>44</v>
      </c>
      <c r="E245" s="2" t="s">
        <v>27</v>
      </c>
      <c r="F245" s="2" t="s">
        <v>15</v>
      </c>
      <c r="G245" s="2" t="s">
        <v>806</v>
      </c>
      <c r="H245" s="2" t="s">
        <v>159</v>
      </c>
      <c r="I245" s="2" t="str">
        <f>IFERROR(__xludf.DUMMYFUNCTION("GOOGLETRANSLATE(C245,""fr"",""en"")"),"Everything is really perfect, I am very satisfied with the price and the ease of carrying out administrative procedures, my subscription was carried out quickly")</f>
        <v>Everything is really perfect, I am very satisfied with the price and the ease of carrying out administrative procedures, my subscription was carried out quickly</v>
      </c>
    </row>
    <row r="246" ht="15.75" customHeight="1">
      <c r="A246" s="2">
        <v>3.0</v>
      </c>
      <c r="B246" s="2" t="s">
        <v>807</v>
      </c>
      <c r="C246" s="2" t="s">
        <v>808</v>
      </c>
      <c r="D246" s="2" t="s">
        <v>44</v>
      </c>
      <c r="E246" s="2" t="s">
        <v>27</v>
      </c>
      <c r="F246" s="2" t="s">
        <v>15</v>
      </c>
      <c r="G246" s="2" t="s">
        <v>809</v>
      </c>
      <c r="H246" s="2" t="s">
        <v>41</v>
      </c>
      <c r="I246" s="2" t="str">
        <f>IFERROR(__xludf.DUMMYFUNCTION("GOOGLETRANSLATE(C246,""fr"",""en"")"),"Hello, I would have liked to have news about my accident of 05/20/2021. Following or having news on a disaster is very difficult, see impossible. I'm looking for another insurance")</f>
        <v>Hello, I would have liked to have news about my accident of 05/20/2021. Following or having news on a disaster is very difficult, see impossible. I'm looking for another insurance</v>
      </c>
    </row>
    <row r="247" ht="15.75" customHeight="1">
      <c r="A247" s="2">
        <v>3.0</v>
      </c>
      <c r="B247" s="2" t="s">
        <v>810</v>
      </c>
      <c r="C247" s="2" t="s">
        <v>811</v>
      </c>
      <c r="D247" s="2" t="s">
        <v>109</v>
      </c>
      <c r="E247" s="2" t="s">
        <v>27</v>
      </c>
      <c r="F247" s="2" t="s">
        <v>15</v>
      </c>
      <c r="G247" s="2" t="s">
        <v>812</v>
      </c>
      <c r="H247" s="2" t="s">
        <v>17</v>
      </c>
      <c r="I247" s="2" t="str">
        <f>IFERROR(__xludf.DUMMYFUNCTION("GOOGLETRANSLATE(C247,""fr"",""en"")"),"No particular problems, assured assurance complete, of course it is not given if you want correct coverage.
I am a good driver with 65% bonus.
If you make too much difference be careful, it's like other insurance.")</f>
        <v>No particular problems, assured assurance complete, of course it is not given if you want correct coverage.
I am a good driver with 65% bonus.
If you make too much difference be careful, it's like other insurance.</v>
      </c>
    </row>
    <row r="248" ht="15.75" customHeight="1">
      <c r="A248" s="2">
        <v>1.0</v>
      </c>
      <c r="B248" s="2" t="s">
        <v>813</v>
      </c>
      <c r="C248" s="2" t="s">
        <v>814</v>
      </c>
      <c r="D248" s="2" t="s">
        <v>32</v>
      </c>
      <c r="E248" s="2" t="s">
        <v>27</v>
      </c>
      <c r="F248" s="2" t="s">
        <v>15</v>
      </c>
      <c r="G248" s="2" t="s">
        <v>815</v>
      </c>
      <c r="H248" s="2" t="s">
        <v>173</v>
      </c>
      <c r="I248" s="2" t="str">
        <f>IFERROR(__xludf.DUMMYFUNCTION("GOOGLETRANSLATE(C248,""fr"",""en"")"),"Advisor to the phone who was really not nice when we wanted to ask if it was possible to send us a quote and even it felt in her voice that we bothered him more than anything else.")</f>
        <v>Advisor to the phone who was really not nice when we wanted to ask if it was possible to send us a quote and even it felt in her voice that we bothered him more than anything else.</v>
      </c>
    </row>
    <row r="249" ht="15.75" customHeight="1">
      <c r="A249" s="2">
        <v>4.0</v>
      </c>
      <c r="B249" s="2" t="s">
        <v>816</v>
      </c>
      <c r="C249" s="2" t="s">
        <v>817</v>
      </c>
      <c r="D249" s="2" t="s">
        <v>26</v>
      </c>
      <c r="E249" s="2" t="s">
        <v>27</v>
      </c>
      <c r="F249" s="2" t="s">
        <v>15</v>
      </c>
      <c r="G249" s="2" t="s">
        <v>126</v>
      </c>
      <c r="H249" s="2" t="s">
        <v>57</v>
      </c>
      <c r="I249" s="2" t="str">
        <f>IFERROR(__xludf.DUMMYFUNCTION("GOOGLETRANSLATE(C249,""fr"",""en"")"),"I am satisfied with the calls I have had with your employees to set up my insurance contract. The price as well as the guarantees are satisfactory")</f>
        <v>I am satisfied with the calls I have had with your employees to set up my insurance contract. The price as well as the guarantees are satisfactory</v>
      </c>
    </row>
    <row r="250" ht="15.75" customHeight="1">
      <c r="A250" s="2">
        <v>3.0</v>
      </c>
      <c r="B250" s="2" t="s">
        <v>818</v>
      </c>
      <c r="C250" s="2" t="s">
        <v>819</v>
      </c>
      <c r="D250" s="2" t="s">
        <v>26</v>
      </c>
      <c r="E250" s="2" t="s">
        <v>27</v>
      </c>
      <c r="F250" s="2" t="s">
        <v>15</v>
      </c>
      <c r="G250" s="2" t="s">
        <v>820</v>
      </c>
      <c r="H250" s="2" t="s">
        <v>29</v>
      </c>
      <c r="I250" s="2" t="str">
        <f>IFERROR(__xludf.DUMMYFUNCTION("GOOGLETRANSLATE(C250,""fr"",""en"")"),"I am satisfied with the speed of understanding the service as a whole, the advisers are effective and go to the phone on the phone, good mastery.")</f>
        <v>I am satisfied with the speed of understanding the service as a whole, the advisers are effective and go to the phone on the phone, good mastery.</v>
      </c>
    </row>
    <row r="251" ht="15.75" customHeight="1">
      <c r="A251" s="2">
        <v>1.0</v>
      </c>
      <c r="B251" s="2" t="s">
        <v>821</v>
      </c>
      <c r="C251" s="2" t="s">
        <v>822</v>
      </c>
      <c r="D251" s="2" t="s">
        <v>105</v>
      </c>
      <c r="E251" s="2" t="s">
        <v>39</v>
      </c>
      <c r="F251" s="2" t="s">
        <v>15</v>
      </c>
      <c r="G251" s="2" t="s">
        <v>823</v>
      </c>
      <c r="H251" s="2" t="s">
        <v>230</v>
      </c>
      <c r="I251" s="2" t="str">
        <f>IFERROR(__xludf.DUMMYFUNCTION("GOOGLETRANSLATE(C251,""fr"",""en"")"),"I strongly advise against AMV. I have subscribed a 125 motorcycle insurance from AMV. I have a bonus of 0.72 and my brother which is ensured on the motorcycle at the same bonus. We produce as such 2 different information reports where we are both main dri"&amp;"vers on our respective cars but we are not ""contract holders"" since it is our parents who pay these car insurance.
AMV uses this argument of ""contract holder"" so as not to apply the bonus (which is a legal provision) and asks us the day after the sig"&amp;"ning of the contract to pay an additional 100 euros in a unilateral manner, without justifying contractual documents allowing re -assessment Bonus. When I ask for a contractual justification for the reassessment I am answered ""We have nothing to prove to"&amp;" you, it's like that or nothing"".
In short, we attract you by telling you that you will pay 300 and the next day we impose a price for you at 400. I am told when I only have to accept or cancel the contract. But it is my right not to cancel, we have sig"&amp;"ned a contract and AMV does not respect it. Not to mention that the advisers are aggressive on the phone.")</f>
        <v>I strongly advise against AMV. I have subscribed a 125 motorcycle insurance from AMV. I have a bonus of 0.72 and my brother which is ensured on the motorcycle at the same bonus. We produce as such 2 different information reports where we are both main drivers on our respective cars but we are not "contract holders" since it is our parents who pay these car insurance.
AMV uses this argument of "contract holder" so as not to apply the bonus (which is a legal provision) and asks us the day after the signing of the contract to pay an additional 100 euros in a unilateral manner, without justifying contractual documents allowing re -assessment Bonus. When I ask for a contractual justification for the reassessment I am answered "We have nothing to prove to you, it's like that or nothing".
In short, we attract you by telling you that you will pay 300 and the next day we impose a price for you at 400. I am told when I only have to accept or cancel the contract. But it is my right not to cancel, we have signed a contract and AMV does not respect it. Not to mention that the advisers are aggressive on the phone.</v>
      </c>
    </row>
    <row r="252" ht="15.75" customHeight="1">
      <c r="A252" s="2">
        <v>2.0</v>
      </c>
      <c r="B252" s="2" t="s">
        <v>824</v>
      </c>
      <c r="C252" s="2" t="s">
        <v>825</v>
      </c>
      <c r="D252" s="2" t="s">
        <v>70</v>
      </c>
      <c r="E252" s="2" t="s">
        <v>14</v>
      </c>
      <c r="F252" s="2" t="s">
        <v>15</v>
      </c>
      <c r="G252" s="2" t="s">
        <v>826</v>
      </c>
      <c r="H252" s="2" t="s">
        <v>685</v>
      </c>
      <c r="I252" s="2" t="str">
        <f>IFERROR(__xludf.DUMMYFUNCTION("GOOGLETRANSLATE(C252,""fr"",""en"")"),"Truly disappointed. What a heaviness in the processing of files. The one and only time I request them to obtain their agreement in order to validate an optical quote; 3 months of processing and file still in progress. It's just incredible. I strongly advi"&amp;"se against.")</f>
        <v>Truly disappointed. What a heaviness in the processing of files. The one and only time I request them to obtain their agreement in order to validate an optical quote; 3 months of processing and file still in progress. It's just incredible. I strongly advise against.</v>
      </c>
    </row>
    <row r="253" ht="15.75" customHeight="1">
      <c r="A253" s="2">
        <v>1.0</v>
      </c>
      <c r="B253" s="2" t="s">
        <v>827</v>
      </c>
      <c r="C253" s="2" t="s">
        <v>828</v>
      </c>
      <c r="D253" s="2" t="s">
        <v>598</v>
      </c>
      <c r="E253" s="2" t="s">
        <v>76</v>
      </c>
      <c r="F253" s="2" t="s">
        <v>15</v>
      </c>
      <c r="G253" s="2" t="s">
        <v>829</v>
      </c>
      <c r="H253" s="2" t="s">
        <v>90</v>
      </c>
      <c r="I253" s="2" t="str">
        <f>IFERROR(__xludf.DUMMYFUNCTION("GOOGLETRANSLATE(C253,""fr"",""en"")"),"On sick leave for 3 years, they went into disability after 2 years ..... there the galleys begin. They send you to see an ""expert"" doctor (nothing at all and paid by the company). The so -called expert refused disability. I called upon and the expert (t"&amp;"he real one) passed me invalidity.
I have contributed more than 25 years for an income in case of disability but the .... surprise. There is a cross painting with physical incapacity and professional inability. Needless to say, that the income for which "&amp;"I have contributed during all these years to melted as snow in the sun. What a shame !!!!!
Now they ask me for my tax notice to verify that I do not touch more than last year.
However after 2 years with them, I am in disability when at the RSI my reques"&amp;"t has just been made after the 3 -year period.
This year my general income + RSI daily allowances will be less important than this year if I go into disability. In their clauses, your income must not be higher than your previous tax return, otherwise the"&amp;"y reduce your pension.
It's a shame..
Flee and do not take out anything about them.")</f>
        <v>On sick leave for 3 years, they went into disability after 2 years ..... there the galleys begin. They send you to see an "expert" doctor (nothing at all and paid by the company). The so -called expert refused disability. I called upon and the expert (the real one) passed me invalidity.
I have contributed more than 25 years for an income in case of disability but the .... surprise. There is a cross painting with physical incapacity and professional inability. Needless to say, that the income for which I have contributed during all these years to melted as snow in the sun. What a shame !!!!!
Now they ask me for my tax notice to verify that I do not touch more than last year.
However after 2 years with them, I am in disability when at the RSI my request has just been made after the 3 -year period.
This year my general income + RSI daily allowances will be less important than this year if I go into disability. In their clauses, your income must not be higher than your previous tax return, otherwise they reduce your pension.
It's a shame..
Flee and do not take out anything about them.</v>
      </c>
    </row>
    <row r="254" ht="15.75" customHeight="1">
      <c r="A254" s="2">
        <v>5.0</v>
      </c>
      <c r="B254" s="2" t="s">
        <v>830</v>
      </c>
      <c r="C254" s="2" t="s">
        <v>831</v>
      </c>
      <c r="D254" s="2" t="s">
        <v>44</v>
      </c>
      <c r="E254" s="2" t="s">
        <v>27</v>
      </c>
      <c r="F254" s="2" t="s">
        <v>15</v>
      </c>
      <c r="G254" s="2" t="s">
        <v>832</v>
      </c>
      <c r="H254" s="2" t="s">
        <v>29</v>
      </c>
      <c r="I254" s="2" t="str">
        <f>IFERROR(__xludf.DUMMYFUNCTION("GOOGLETRANSLATE(C254,""fr"",""en"")"),"Easy to use and quick you need to have a phone advisor just follow the steps at the top best value for money from AUTOS AUTOS AUTOS")</f>
        <v>Easy to use and quick you need to have a phone advisor just follow the steps at the top best value for money from AUTOS AUTOS AUTOS</v>
      </c>
    </row>
    <row r="255" ht="15.75" customHeight="1">
      <c r="A255" s="2">
        <v>3.0</v>
      </c>
      <c r="B255" s="2" t="s">
        <v>833</v>
      </c>
      <c r="C255" s="2" t="s">
        <v>834</v>
      </c>
      <c r="D255" s="2" t="s">
        <v>26</v>
      </c>
      <c r="E255" s="2" t="s">
        <v>27</v>
      </c>
      <c r="F255" s="2" t="s">
        <v>15</v>
      </c>
      <c r="G255" s="2" t="s">
        <v>835</v>
      </c>
      <c r="H255" s="2" t="s">
        <v>41</v>
      </c>
      <c r="I255" s="2" t="str">
        <f>IFERROR(__xludf.DUMMYFUNCTION("GOOGLETRANSLATE(C255,""fr"",""en"")"),"I did not see the 15% reduction promised during annual payment.
Also you do not specify the termination fees of 15 euros, the competitor contract.
")</f>
        <v>I did not see the 15% reduction promised during annual payment.
Also you do not specify the termination fees of 15 euros, the competitor contract.
</v>
      </c>
    </row>
    <row r="256" ht="15.75" customHeight="1">
      <c r="A256" s="2">
        <v>5.0</v>
      </c>
      <c r="B256" s="2" t="s">
        <v>836</v>
      </c>
      <c r="C256" s="2" t="s">
        <v>837</v>
      </c>
      <c r="D256" s="2" t="s">
        <v>44</v>
      </c>
      <c r="E256" s="2" t="s">
        <v>27</v>
      </c>
      <c r="F256" s="2" t="s">
        <v>15</v>
      </c>
      <c r="G256" s="2" t="s">
        <v>697</v>
      </c>
      <c r="H256" s="2" t="s">
        <v>46</v>
      </c>
      <c r="I256" s="2" t="str">
        <f>IFERROR(__xludf.DUMMYFUNCTION("GOOGLETRANSLATE(C256,""fr"",""en"")"),"Price more than satisfactory at the current price of my monthly subscription I recommend direct insurance. Quote up to my request and much cheaper than the others that I was able to make")</f>
        <v>Price more than satisfactory at the current price of my monthly subscription I recommend direct insurance. Quote up to my request and much cheaper than the others that I was able to make</v>
      </c>
    </row>
    <row r="257" ht="15.75" customHeight="1">
      <c r="A257" s="2">
        <v>4.0</v>
      </c>
      <c r="B257" s="2" t="s">
        <v>838</v>
      </c>
      <c r="C257" s="2" t="s">
        <v>839</v>
      </c>
      <c r="D257" s="2" t="s">
        <v>44</v>
      </c>
      <c r="E257" s="2" t="s">
        <v>27</v>
      </c>
      <c r="F257" s="2" t="s">
        <v>15</v>
      </c>
      <c r="G257" s="2" t="s">
        <v>34</v>
      </c>
      <c r="H257" s="2" t="s">
        <v>35</v>
      </c>
      <c r="I257" s="2" t="str">
        <f>IFERROR(__xludf.DUMMYFUNCTION("GOOGLETRANSLATE(C257,""fr"",""en"")"),"I am satisfied with the service. But the automotive contract which increases each year by 10%, stop! Otherwise, I terminate my two contracts. Vehicle + Housing")</f>
        <v>I am satisfied with the service. But the automotive contract which increases each year by 10%, stop! Otherwise, I terminate my two contracts. Vehicle + Housing</v>
      </c>
    </row>
    <row r="258" ht="15.75" customHeight="1">
      <c r="A258" s="2">
        <v>4.0</v>
      </c>
      <c r="B258" s="2" t="s">
        <v>840</v>
      </c>
      <c r="C258" s="2" t="s">
        <v>841</v>
      </c>
      <c r="D258" s="2" t="s">
        <v>38</v>
      </c>
      <c r="E258" s="2" t="s">
        <v>39</v>
      </c>
      <c r="F258" s="2" t="s">
        <v>15</v>
      </c>
      <c r="G258" s="2" t="s">
        <v>720</v>
      </c>
      <c r="H258" s="2" t="s">
        <v>23</v>
      </c>
      <c r="I258" s="2" t="str">
        <f>IFERROR(__xludf.DUMMYFUNCTION("GOOGLETRANSLATE(C258,""fr"",""en"")"),"Nice prices, easy to use site, my motorcycle will be ensured with great guarantees, I hope not to be disappointed with the company's services.")</f>
        <v>Nice prices, easy to use site, my motorcycle will be ensured with great guarantees, I hope not to be disappointed with the company's services.</v>
      </c>
    </row>
    <row r="259" ht="15.75" customHeight="1">
      <c r="A259" s="2">
        <v>1.0</v>
      </c>
      <c r="B259" s="2" t="s">
        <v>842</v>
      </c>
      <c r="C259" s="2" t="s">
        <v>843</v>
      </c>
      <c r="D259" s="2" t="s">
        <v>117</v>
      </c>
      <c r="E259" s="2" t="s">
        <v>33</v>
      </c>
      <c r="F259" s="2" t="s">
        <v>15</v>
      </c>
      <c r="G259" s="2" t="s">
        <v>844</v>
      </c>
      <c r="H259" s="2" t="s">
        <v>234</v>
      </c>
      <c r="I259" s="2" t="str">
        <f>IFERROR(__xludf.DUMMYFUNCTION("GOOGLETRANSLATE(C259,""fr"",""en"")"),"I will change my insurance, I had a power outage at my home my computer no longer had a more windows pilot, I made the insurance work, they did nothing.
My computer returned not to repair no driver and no windows.")</f>
        <v>I will change my insurance, I had a power outage at my home my computer no longer had a more windows pilot, I made the insurance work, they did nothing.
My computer returned not to repair no driver and no windows.</v>
      </c>
    </row>
    <row r="260" ht="15.75" customHeight="1">
      <c r="A260" s="2">
        <v>5.0</v>
      </c>
      <c r="B260" s="2" t="s">
        <v>845</v>
      </c>
      <c r="C260" s="2" t="s">
        <v>846</v>
      </c>
      <c r="D260" s="2" t="s">
        <v>540</v>
      </c>
      <c r="E260" s="2" t="s">
        <v>76</v>
      </c>
      <c r="F260" s="2" t="s">
        <v>15</v>
      </c>
      <c r="G260" s="2" t="s">
        <v>847</v>
      </c>
      <c r="H260" s="2" t="s">
        <v>29</v>
      </c>
      <c r="I260" s="2" t="str">
        <f>IFERROR(__xludf.DUMMYFUNCTION("GOOGLETRANSLATE(C260,""fr"",""en"")"),"As a work stoppage for a month due to a long-term assignment, I apprehend the passage in mid-treatment in the event of an extension of this judgment.
Information obtained by phone today with the MGP, the constitution of a file to compensate for the futur"&amp;"e loss of salary seems simple.")</f>
        <v>As a work stoppage for a month due to a long-term assignment, I apprehend the passage in mid-treatment in the event of an extension of this judgment.
Information obtained by phone today with the MGP, the constitution of a file to compensate for the future loss of salary seems simple.</v>
      </c>
    </row>
    <row r="261" ht="15.75" customHeight="1">
      <c r="A261" s="2">
        <v>5.0</v>
      </c>
      <c r="B261" s="2" t="s">
        <v>848</v>
      </c>
      <c r="C261" s="2" t="s">
        <v>849</v>
      </c>
      <c r="D261" s="2" t="s">
        <v>332</v>
      </c>
      <c r="E261" s="2" t="s">
        <v>21</v>
      </c>
      <c r="F261" s="2" t="s">
        <v>15</v>
      </c>
      <c r="G261" s="2" t="s">
        <v>850</v>
      </c>
      <c r="H261" s="2" t="s">
        <v>278</v>
      </c>
      <c r="I261" s="2" t="str">
        <f>IFERROR(__xludf.DUMMYFUNCTION("GOOGLETRANSLATE(C261,""fr"",""en"")"),"Perfect low and well -covered price.
 Listening advisor.
I recommend.
Quick .")</f>
        <v>Perfect low and well -covered price.
 Listening advisor.
I recommend.
Quick .</v>
      </c>
    </row>
    <row r="262" ht="15.75" customHeight="1">
      <c r="A262" s="2">
        <v>4.0</v>
      </c>
      <c r="B262" s="2" t="s">
        <v>851</v>
      </c>
      <c r="C262" s="2" t="s">
        <v>852</v>
      </c>
      <c r="D262" s="2" t="s">
        <v>26</v>
      </c>
      <c r="E262" s="2" t="s">
        <v>27</v>
      </c>
      <c r="F262" s="2" t="s">
        <v>15</v>
      </c>
      <c r="G262" s="2" t="s">
        <v>853</v>
      </c>
      <c r="H262" s="2" t="s">
        <v>23</v>
      </c>
      <c r="I262" s="2" t="str">
        <f>IFERROR(__xludf.DUMMYFUNCTION("GOOGLETRANSLATE(C262,""fr"",""en"")"),"Ras perfect I do not have a big cosar to sign thank you for the service you should cover in guaranteed Turkey it will allow you to have supreme customers cordially Mr Yaman.")</f>
        <v>Ras perfect I do not have a big cosar to sign thank you for the service you should cover in guaranteed Turkey it will allow you to have supreme customers cordially Mr Yaman.</v>
      </c>
    </row>
    <row r="263" ht="15.75" customHeight="1">
      <c r="A263" s="2">
        <v>4.0</v>
      </c>
      <c r="B263" s="2" t="s">
        <v>854</v>
      </c>
      <c r="C263" s="2" t="s">
        <v>855</v>
      </c>
      <c r="D263" s="2" t="s">
        <v>44</v>
      </c>
      <c r="E263" s="2" t="s">
        <v>27</v>
      </c>
      <c r="F263" s="2" t="s">
        <v>15</v>
      </c>
      <c r="G263" s="2" t="s">
        <v>856</v>
      </c>
      <c r="H263" s="2" t="s">
        <v>57</v>
      </c>
      <c r="I263" s="2" t="str">
        <f>IFERROR(__xludf.DUMMYFUNCTION("GOOGLETRANSLATE(C263,""fr"",""en"")"),"Years that I am at Direct Insurance, very satisfied to recommend !!!! Whether home or car they are at the top, very accessible customer service, in short everything is fine !!!")</f>
        <v>Years that I am at Direct Insurance, very satisfied to recommend !!!! Whether home or car they are at the top, very accessible customer service, in short everything is fine !!!</v>
      </c>
    </row>
    <row r="264" ht="15.75" customHeight="1">
      <c r="A264" s="2">
        <v>2.0</v>
      </c>
      <c r="B264" s="2" t="s">
        <v>857</v>
      </c>
      <c r="C264" s="2" t="s">
        <v>858</v>
      </c>
      <c r="D264" s="2" t="s">
        <v>20</v>
      </c>
      <c r="E264" s="2" t="s">
        <v>21</v>
      </c>
      <c r="F264" s="2" t="s">
        <v>15</v>
      </c>
      <c r="G264" s="2" t="s">
        <v>432</v>
      </c>
      <c r="H264" s="2" t="s">
        <v>432</v>
      </c>
      <c r="I264" s="2" t="str">
        <f>IFERROR(__xludf.DUMMYFUNCTION("GOOGLETRANSLATE(C264,""fr"",""en"")"),"So in a work accident for 1 year, and following a problem with the boss, taken care of the CPAM for only 7 months.
Recognized in AT by the CPAM and the doctor advice, to be fine, I have no pain and therefore they interrupt the care. Find the mistake
To "&amp;"run away absolutely")</f>
        <v>So in a work accident for 1 year, and following a problem with the boss, taken care of the CPAM for only 7 months.
Recognized in AT by the CPAM and the doctor advice, to be fine, I have no pain and therefore they interrupt the care. Find the mistake
To run away absolutely</v>
      </c>
    </row>
    <row r="265" ht="15.75" customHeight="1">
      <c r="A265" s="2">
        <v>1.0</v>
      </c>
      <c r="B265" s="2" t="s">
        <v>859</v>
      </c>
      <c r="C265" s="2" t="s">
        <v>860</v>
      </c>
      <c r="D265" s="2" t="s">
        <v>861</v>
      </c>
      <c r="E265" s="2" t="s">
        <v>39</v>
      </c>
      <c r="F265" s="2" t="s">
        <v>15</v>
      </c>
      <c r="G265" s="2" t="s">
        <v>862</v>
      </c>
      <c r="H265" s="2" t="s">
        <v>67</v>
      </c>
      <c r="I265" s="2" t="str">
        <f>IFERROR(__xludf.DUMMYFUNCTION("GOOGLETRANSLATE(C265,""fr"",""en"")"),"It was the Furets.com site that offered me this insurance in its quote list, which put me in confidence.
The salesperson quickly and immediately reminds you of your subscription to the phone if you give your bank card number to pay a deposit. A serious e"&amp;"rror.
Then impossible to reach someone. The phone number never responds, the email address remains unanswered. And the postal address comes across a simple individual house in the Paris region.
However, you will receive many payment reminders.")</f>
        <v>It was the Furets.com site that offered me this insurance in its quote list, which put me in confidence.
The salesperson quickly and immediately reminds you of your subscription to the phone if you give your bank card number to pay a deposit. A serious error.
Then impossible to reach someone. The phone number never responds, the email address remains unanswered. And the postal address comes across a simple individual house in the Paris region.
However, you will receive many payment reminders.</v>
      </c>
    </row>
    <row r="266" ht="15.75" customHeight="1">
      <c r="A266" s="2">
        <v>4.0</v>
      </c>
      <c r="B266" s="2" t="s">
        <v>863</v>
      </c>
      <c r="C266" s="2" t="s">
        <v>864</v>
      </c>
      <c r="D266" s="2" t="s">
        <v>44</v>
      </c>
      <c r="E266" s="2" t="s">
        <v>27</v>
      </c>
      <c r="F266" s="2" t="s">
        <v>15</v>
      </c>
      <c r="G266" s="2" t="s">
        <v>52</v>
      </c>
      <c r="H266" s="2" t="s">
        <v>41</v>
      </c>
      <c r="I266" s="2" t="str">
        <f>IFERROR(__xludf.DUMMYFUNCTION("GOOGLETRANSLATE(C266,""fr"",""en"")"),"The guarantees are satisfactory at a reasonable price. The telephone reception with the advisor is very correct and I found a clear answer.")</f>
        <v>The guarantees are satisfactory at a reasonable price. The telephone reception with the advisor is very correct and I found a clear answer.</v>
      </c>
    </row>
    <row r="267" ht="15.75" customHeight="1">
      <c r="A267" s="2">
        <v>4.0</v>
      </c>
      <c r="B267" s="2" t="s">
        <v>865</v>
      </c>
      <c r="C267" s="2" t="s">
        <v>866</v>
      </c>
      <c r="D267" s="2" t="s">
        <v>38</v>
      </c>
      <c r="E267" s="2" t="s">
        <v>39</v>
      </c>
      <c r="F267" s="2" t="s">
        <v>15</v>
      </c>
      <c r="G267" s="2" t="s">
        <v>34</v>
      </c>
      <c r="H267" s="2" t="s">
        <v>35</v>
      </c>
      <c r="I267" s="2" t="str">
        <f>IFERROR(__xludf.DUMMYFUNCTION("GOOGLETRANSLATE(C267,""fr"",""en"")"),"My subscription was fast and clear, the quotes are precise and includes all the necessary information.
I am satisfied with the services and the communication between the Lynx and April.")</f>
        <v>My subscription was fast and clear, the quotes are precise and includes all the necessary information.
I am satisfied with the services and the communication between the Lynx and April.</v>
      </c>
    </row>
    <row r="268" ht="15.75" customHeight="1">
      <c r="A268" s="2">
        <v>2.0</v>
      </c>
      <c r="B268" s="2" t="s">
        <v>867</v>
      </c>
      <c r="C268" s="2" t="s">
        <v>868</v>
      </c>
      <c r="D268" s="2" t="s">
        <v>44</v>
      </c>
      <c r="E268" s="2" t="s">
        <v>27</v>
      </c>
      <c r="F268" s="2" t="s">
        <v>15</v>
      </c>
      <c r="G268" s="2" t="s">
        <v>869</v>
      </c>
      <c r="H268" s="2" t="s">
        <v>771</v>
      </c>
      <c r="I268" s="2" t="str">
        <f>IFERROR(__xludf.DUMMYFUNCTION("GOOGLETRANSLATE(C268,""fr"",""en"")"),"Treatment of calamitous claims. No follow -up of the file and absence of a fixed replacement. Explanations not always clear.")</f>
        <v>Treatment of calamitous claims. No follow -up of the file and absence of a fixed replacement. Explanations not always clear.</v>
      </c>
    </row>
    <row r="269" ht="15.75" customHeight="1">
      <c r="A269" s="2">
        <v>1.0</v>
      </c>
      <c r="B269" s="2" t="s">
        <v>870</v>
      </c>
      <c r="C269" s="2" t="s">
        <v>871</v>
      </c>
      <c r="D269" s="2" t="s">
        <v>100</v>
      </c>
      <c r="E269" s="2" t="s">
        <v>76</v>
      </c>
      <c r="F269" s="2" t="s">
        <v>15</v>
      </c>
      <c r="G269" s="2" t="s">
        <v>872</v>
      </c>
      <c r="H269" s="2" t="s">
        <v>593</v>
      </c>
      <c r="I269" s="2" t="str">
        <f>IFERROR(__xludf.DUMMYFUNCTION("GOOGLETRANSLATE(C269,""fr"",""en"")"),"In the midst of a health crisis, the AG2R provident refuses to complete the wages in the event of an arret disease defined by the state for school closings ... It is just unacceptable knowing that they must maintain the additional salary in case sickness")</f>
        <v>In the midst of a health crisis, the AG2R provident refuses to complete the wages in the event of an arret disease defined by the state for school closings ... It is just unacceptable knowing that they must maintain the additional salary in case sickness</v>
      </c>
    </row>
    <row r="270" ht="15.75" customHeight="1">
      <c r="A270" s="2">
        <v>1.0</v>
      </c>
      <c r="B270" s="2" t="s">
        <v>873</v>
      </c>
      <c r="C270" s="2" t="s">
        <v>874</v>
      </c>
      <c r="D270" s="2" t="s">
        <v>32</v>
      </c>
      <c r="E270" s="2" t="s">
        <v>460</v>
      </c>
      <c r="F270" s="2" t="s">
        <v>15</v>
      </c>
      <c r="G270" s="2" t="s">
        <v>875</v>
      </c>
      <c r="H270" s="2" t="s">
        <v>78</v>
      </c>
      <c r="I270" s="2" t="str">
        <f>IFERROR(__xludf.DUMMYFUNCTION("GOOGLETRANSLATE(C270,""fr"",""en"")"),"Insurer life to avoid, the yield served on the euro fund is the lowest on the market on the last years: go to other mutuals or better still on internet contracts whose yield is more than double ....")</f>
        <v>Insurer life to avoid, the yield served on the euro fund is the lowest on the market on the last years: go to other mutuals or better still on internet contracts whose yield is more than double ....</v>
      </c>
    </row>
    <row r="271" ht="15.75" customHeight="1">
      <c r="A271" s="2">
        <v>1.0</v>
      </c>
      <c r="B271" s="2" t="s">
        <v>876</v>
      </c>
      <c r="C271" s="2" t="s">
        <v>877</v>
      </c>
      <c r="D271" s="2" t="s">
        <v>117</v>
      </c>
      <c r="E271" s="2" t="s">
        <v>33</v>
      </c>
      <c r="F271" s="2" t="s">
        <v>15</v>
      </c>
      <c r="G271" s="2" t="s">
        <v>878</v>
      </c>
      <c r="H271" s="2" t="s">
        <v>159</v>
      </c>
      <c r="I271" s="2" t="str">
        <f>IFERROR(__xludf.DUMMYFUNCTION("GOOGLETRANSLATE(C271,""fr"",""en"")"),"A water damage on Sunday following a clogged pipe in the toilet ... I'll take the decor! Call to Pacifica this morning to get help: ""We call you back"" = no recall. At the beginning of the afternoon, I take my phone: ""10 minutes before talking to someon"&amp;"e"" I spend a manager ""then 17 minutes of background music; I ended up giving up. would have liked to be told at least ""we nepen nothing for you"". I have all my contracts at Pacifica, i.e. 10 in total. I realize that a bank, the agricultural credit in "&amp;"this case, n ' is not a good insurer; each his job. As long as we pay his contributions, no problem. For the day when a disaster occurs, they leave you in the embarrassment: why do they not answer? Even a Sunday, It is precisely in these moments that we n"&amp;"eed them but absent subscribers: it is unworthy as much as the excrement that overflows with my toilets. Thank you for your accompaniment, I will remember. To flee .. or to leave in my case.
From tomorrow I win you. I go back to my raclettes, shovels, bu"&amp;"ckets, brooms ...")</f>
        <v>A water damage on Sunday following a clogged pipe in the toilet ... I'll take the decor! Call to Pacifica this morning to get help: "We call you back" = no recall. At the beginning of the afternoon, I take my phone: "10 minutes before talking to someone" I spend a manager "then 17 minutes of background music; I ended up giving up. would have liked to be told at least "we nepen nothing for you". I have all my contracts at Pacifica, i.e. 10 in total. I realize that a bank, the agricultural credit in this case, n ' is not a good insurer; each his job. As long as we pay his contributions, no problem. For the day when a disaster occurs, they leave you in the embarrassment: why do they not answer? Even a Sunday, It is precisely in these moments that we need them but absent subscribers: it is unworthy as much as the excrement that overflows with my toilets. Thank you for your accompaniment, I will remember. To flee .. or to leave in my case.
From tomorrow I win you. I go back to my raclettes, shovels, buckets, brooms ...</v>
      </c>
    </row>
    <row r="272" ht="15.75" customHeight="1">
      <c r="A272" s="2">
        <v>5.0</v>
      </c>
      <c r="B272" s="2" t="s">
        <v>879</v>
      </c>
      <c r="C272" s="2" t="s">
        <v>880</v>
      </c>
      <c r="D272" s="2" t="s">
        <v>44</v>
      </c>
      <c r="E272" s="2" t="s">
        <v>27</v>
      </c>
      <c r="F272" s="2" t="s">
        <v>15</v>
      </c>
      <c r="G272" s="2" t="s">
        <v>135</v>
      </c>
      <c r="H272" s="2" t="s">
        <v>29</v>
      </c>
      <c r="I272" s="2" t="str">
        <f>IFERROR(__xludf.DUMMYFUNCTION("GOOGLETRANSLATE(C272,""fr"",""en"")"),"I am satisfied super insurance no problem I recommend operation in a few very effective minutes on the magnificent telephone site to redo")</f>
        <v>I am satisfied super insurance no problem I recommend operation in a few very effective minutes on the magnificent telephone site to redo</v>
      </c>
    </row>
    <row r="273" ht="15.75" customHeight="1">
      <c r="A273" s="2">
        <v>2.0</v>
      </c>
      <c r="B273" s="2" t="s">
        <v>881</v>
      </c>
      <c r="C273" s="2" t="s">
        <v>882</v>
      </c>
      <c r="D273" s="2" t="s">
        <v>100</v>
      </c>
      <c r="E273" s="2" t="s">
        <v>14</v>
      </c>
      <c r="F273" s="2" t="s">
        <v>15</v>
      </c>
      <c r="G273" s="2" t="s">
        <v>883</v>
      </c>
      <c r="H273" s="2" t="s">
        <v>159</v>
      </c>
      <c r="I273" s="2" t="str">
        <f>IFERROR(__xludf.DUMMYFUNCTION("GOOGLETRANSLATE(C273,""fr"",""en"")"),"Since April I have been fighting so that he changes my date of maturity of maturity I did not make it email and each time I am told that one does not find trace of it.
I just called them, the advisor tells me to redo the request.
For me it is a not seri"&amp;"ous mutual and I think I terminate my contract at the end of the year.")</f>
        <v>Since April I have been fighting so that he changes my date of maturity of maturity I did not make it email and each time I am told that one does not find trace of it.
I just called them, the advisor tells me to redo the request.
For me it is a not serious mutual and I think I terminate my contract at the end of the year.</v>
      </c>
    </row>
    <row r="274" ht="15.75" customHeight="1">
      <c r="A274" s="2">
        <v>2.0</v>
      </c>
      <c r="B274" s="2" t="s">
        <v>884</v>
      </c>
      <c r="C274" s="2" t="s">
        <v>885</v>
      </c>
      <c r="D274" s="2" t="s">
        <v>237</v>
      </c>
      <c r="E274" s="2" t="s">
        <v>14</v>
      </c>
      <c r="F274" s="2" t="s">
        <v>15</v>
      </c>
      <c r="G274" s="2" t="s">
        <v>886</v>
      </c>
      <c r="H274" s="2" t="s">
        <v>86</v>
      </c>
      <c r="I274" s="2" t="str">
        <f>IFERROR(__xludf.DUMMYFUNCTION("GOOGLETRANSLATE(C274,""fr"",""en"")"),"Ensures the Mercer group in continuity of membership by the Dell group to simplify things
It is a disaster
Between 30 minutes and 1 hour to have them in such
Plateau of advisers who respond anything to the complaint on RBT of 1,700 euros pending for 1 "&amp;"month
You do not have the transmission that has been working since 2012
We migrate computer science etc etc ....
Reclamation by the site with unanswered Number Ticket
Shabby and to flee
 ")</f>
        <v>Ensures the Mercer group in continuity of membership by the Dell group to simplify things
It is a disaster
Between 30 minutes and 1 hour to have them in such
Plateau of advisers who respond anything to the complaint on RBT of 1,700 euros pending for 1 month
You do not have the transmission that has been working since 2012
We migrate computer science etc etc ....
Reclamation by the site with unanswered Number Ticket
Shabby and to flee
 </v>
      </c>
    </row>
    <row r="275" ht="15.75" customHeight="1">
      <c r="A275" s="2">
        <v>2.0</v>
      </c>
      <c r="B275" s="2" t="s">
        <v>887</v>
      </c>
      <c r="C275" s="2" t="s">
        <v>888</v>
      </c>
      <c r="D275" s="2" t="s">
        <v>134</v>
      </c>
      <c r="E275" s="2" t="s">
        <v>27</v>
      </c>
      <c r="F275" s="2" t="s">
        <v>15</v>
      </c>
      <c r="G275" s="2" t="s">
        <v>889</v>
      </c>
      <c r="H275" s="2" t="s">
        <v>86</v>
      </c>
      <c r="I275" s="2" t="str">
        <f>IFERROR(__xludf.DUMMYFUNCTION("GOOGLETRANSLATE(C275,""fr"",""en"")"),"I changed the 1st call on December 15. Friendly and professional I recall and there I am hanging up after having exhibited my concern 4 times. On December 15 I am told that I will receive my certificate within 5 days. I do not receive anything. I call I a"&amp;"m told it is the post .... I remind a week later I am told no error we sent it on the 15th. I tell them that I received my gray card while this service has bad reputation. Tired and exceeded, I repeat, 10 tests before having one, having problems to move I"&amp;" go to the Aix agency I am told that it is an economic shipment. So say that it will be long. Certainly it is. But we are in January and I always received nothing. Fortunately, I never had a claim. Because it is scary")</f>
        <v>I changed the 1st call on December 15. Friendly and professional I recall and there I am hanging up after having exhibited my concern 4 times. On December 15 I am told that I will receive my certificate within 5 days. I do not receive anything. I call I am told it is the post .... I remind a week later I am told no error we sent it on the 15th. I tell them that I received my gray card while this service has bad reputation. Tired and exceeded, I repeat, 10 tests before having one, having problems to move I go to the Aix agency I am told that it is an economic shipment. So say that it will be long. Certainly it is. But we are in January and I always received nothing. Fortunately, I never had a claim. Because it is scary</v>
      </c>
    </row>
    <row r="276" ht="15.75" customHeight="1">
      <c r="A276" s="2">
        <v>1.0</v>
      </c>
      <c r="B276" s="2" t="s">
        <v>890</v>
      </c>
      <c r="C276" s="2" t="s">
        <v>891</v>
      </c>
      <c r="D276" s="2" t="s">
        <v>141</v>
      </c>
      <c r="E276" s="2" t="s">
        <v>27</v>
      </c>
      <c r="F276" s="2" t="s">
        <v>15</v>
      </c>
      <c r="G276" s="2" t="s">
        <v>892</v>
      </c>
      <c r="H276" s="2" t="s">
        <v>86</v>
      </c>
      <c r="I276" s="2" t="str">
        <f>IFERROR(__xludf.DUMMYFUNCTION("GOOGLETRANSLATE(C276,""fr"",""en"")"),"After 7 years at the MAAF, you turn you for 2 small clashes. By registered letter, without contacting you. In short, it is very disappointing on their part not to even get their phone to warn you of the consequences of a termination or to reconsider your "&amp;"contract.")</f>
        <v>After 7 years at the MAAF, you turn you for 2 small clashes. By registered letter, without contacting you. In short, it is very disappointing on their part not to even get their phone to warn you of the consequences of a termination or to reconsider your contract.</v>
      </c>
    </row>
    <row r="277" ht="15.75" customHeight="1">
      <c r="A277" s="2">
        <v>1.0</v>
      </c>
      <c r="B277" s="2" t="s">
        <v>893</v>
      </c>
      <c r="C277" s="2" t="s">
        <v>894</v>
      </c>
      <c r="D277" s="2" t="s">
        <v>109</v>
      </c>
      <c r="E277" s="2" t="s">
        <v>27</v>
      </c>
      <c r="F277" s="2" t="s">
        <v>15</v>
      </c>
      <c r="G277" s="2" t="s">
        <v>895</v>
      </c>
      <c r="H277" s="2" t="s">
        <v>111</v>
      </c>
      <c r="I277" s="2" t="str">
        <f>IFERROR(__xludf.DUMMYFUNCTION("GOOGLETRANSLATE(C277,""fr"",""en"")"),"It is one of the few insurance companies that refuses to restore part of the contributions due to the drop in accident risk due to confinement. They justify themselves by arguing that they have donated half of the contributions of retired doctors who took"&amp;" over an activity due to the COVID and to the cabinets of Kinesitherapists and Osteopaths requisitioned as well as to the unemployed due to the COVVID. And this would have cost them € 50 million?")</f>
        <v>It is one of the few insurance companies that refuses to restore part of the contributions due to the drop in accident risk due to confinement. They justify themselves by arguing that they have donated half of the contributions of retired doctors who took over an activity due to the COVID and to the cabinets of Kinesitherapists and Osteopaths requisitioned as well as to the unemployed due to the COVVID. And this would have cost them € 50 million?</v>
      </c>
    </row>
    <row r="278" ht="15.75" customHeight="1">
      <c r="A278" s="2">
        <v>2.0</v>
      </c>
      <c r="B278" s="2" t="s">
        <v>896</v>
      </c>
      <c r="C278" s="2" t="s">
        <v>897</v>
      </c>
      <c r="D278" s="2" t="s">
        <v>455</v>
      </c>
      <c r="E278" s="2" t="s">
        <v>76</v>
      </c>
      <c r="F278" s="2" t="s">
        <v>15</v>
      </c>
      <c r="G278" s="2" t="s">
        <v>126</v>
      </c>
      <c r="H278" s="2" t="s">
        <v>57</v>
      </c>
      <c r="I278" s="2" t="str">
        <f>IFERROR(__xludf.DUMMYFUNCTION("GOOGLETRANSLATE(C278,""fr"",""en"")"),"I have been in disability for several years already.
I therefore touch a quarterly pension at Malakoff Humanis Quatrem.
I have never had any problems or any delay until here.
Pensions according to the information on the phone were paid on March 23 (Tue"&amp;"sday) and, I receive my pension on my account the next day or, at worst two days later but never later.
Today it's been three days and my bank does not see any transfers coming to come.
So I can already say that I will not receive my pension this month "&amp;"without any explanation!
Ex colleague in my situation we all received their pensions yesterday ...
When I read the comments on this site and given the notes I prepare for a good big galley to come.
I only live with a meager monthly pension from the CPA"&amp;"M and it is already survival when I touch my Malakoff pension so I don't even dare to think about what awaits me.
It is crazy to play with insured people who contributed for a long time and with very high prices of the time when we worked and were health"&amp;"y.
Now I am in bad health, I have a deplorable life and Malakoff find a way to add more by not paying my pension.
This life is not worth fighting again and again .... I can't take it anymore.")</f>
        <v>I have been in disability for several years already.
I therefore touch a quarterly pension at Malakoff Humanis Quatrem.
I have never had any problems or any delay until here.
Pensions according to the information on the phone were paid on March 23 (Tuesday) and, I receive my pension on my account the next day or, at worst two days later but never later.
Today it's been three days and my bank does not see any transfers coming to come.
So I can already say that I will not receive my pension this month without any explanation!
Ex colleague in my situation we all received their pensions yesterday ...
When I read the comments on this site and given the notes I prepare for a good big galley to come.
I only live with a meager monthly pension from the CPAM and it is already survival when I touch my Malakoff pension so I don't even dare to think about what awaits me.
It is crazy to play with insured people who contributed for a long time and with very high prices of the time when we worked and were healthy.
Now I am in bad health, I have a deplorable life and Malakoff find a way to add more by not paying my pension.
This life is not worth fighting again and again .... I can't take it anymore.</v>
      </c>
    </row>
    <row r="279" ht="15.75" customHeight="1">
      <c r="A279" s="2">
        <v>4.0</v>
      </c>
      <c r="B279" s="2" t="s">
        <v>898</v>
      </c>
      <c r="C279" s="2" t="s">
        <v>899</v>
      </c>
      <c r="D279" s="2" t="s">
        <v>44</v>
      </c>
      <c r="E279" s="2" t="s">
        <v>27</v>
      </c>
      <c r="F279" s="2" t="s">
        <v>15</v>
      </c>
      <c r="G279" s="2" t="s">
        <v>81</v>
      </c>
      <c r="H279" s="2" t="s">
        <v>29</v>
      </c>
      <c r="I279" s="2" t="str">
        <f>IFERROR(__xludf.DUMMYFUNCTION("GOOGLETRANSLATE(C279,""fr"",""en"")"),"I am very satisfied with the speed and the service of Direct Insurance
C perfect
The price and very suitable
I will recommend you to my friends
")</f>
        <v>I am very satisfied with the speed and the service of Direct Insurance
C perfect
The price and very suitable
I will recommend you to my friends
</v>
      </c>
    </row>
    <row r="280" ht="15.75" customHeight="1">
      <c r="A280" s="2">
        <v>5.0</v>
      </c>
      <c r="B280" s="2" t="s">
        <v>900</v>
      </c>
      <c r="C280" s="2" t="s">
        <v>901</v>
      </c>
      <c r="D280" s="2" t="s">
        <v>26</v>
      </c>
      <c r="E280" s="2" t="s">
        <v>27</v>
      </c>
      <c r="F280" s="2" t="s">
        <v>15</v>
      </c>
      <c r="G280" s="2" t="s">
        <v>22</v>
      </c>
      <c r="H280" s="2" t="s">
        <v>23</v>
      </c>
      <c r="I280" s="2" t="str">
        <f>IFERROR(__xludf.DUMMYFUNCTION("GOOGLETRANSLATE(C280,""fr"",""en"")"),"Top quality of service, telephone reception The explanations were great, I was able to have all the information I needed on the phone was really good")</f>
        <v>Top quality of service, telephone reception The explanations were great, I was able to have all the information I needed on the phone was really good</v>
      </c>
    </row>
    <row r="281" ht="15.75" customHeight="1">
      <c r="A281" s="2">
        <v>2.0</v>
      </c>
      <c r="B281" s="2" t="s">
        <v>902</v>
      </c>
      <c r="C281" s="2" t="s">
        <v>903</v>
      </c>
      <c r="D281" s="2" t="s">
        <v>26</v>
      </c>
      <c r="E281" s="2" t="s">
        <v>27</v>
      </c>
      <c r="F281" s="2" t="s">
        <v>15</v>
      </c>
      <c r="G281" s="2" t="s">
        <v>904</v>
      </c>
      <c r="H281" s="2" t="s">
        <v>94</v>
      </c>
      <c r="I281" s="2" t="str">
        <f>IFERROR(__xludf.DUMMYFUNCTION("GOOGLETRANSLATE(C281,""fr"",""en"")"),"Insured for only 3 months because it is too high price, obstacles during the request for management of an ice cream. Everything is done so that the customer pays but does not benefit from the guarantees subscribed.")</f>
        <v>Insured for only 3 months because it is too high price, obstacles during the request for management of an ice cream. Everything is done so that the customer pays but does not benefit from the guarantees subscribed.</v>
      </c>
    </row>
    <row r="282" ht="15.75" customHeight="1">
      <c r="A282" s="2">
        <v>2.0</v>
      </c>
      <c r="B282" s="2" t="s">
        <v>905</v>
      </c>
      <c r="C282" s="2" t="s">
        <v>906</v>
      </c>
      <c r="D282" s="2" t="s">
        <v>141</v>
      </c>
      <c r="E282" s="2" t="s">
        <v>27</v>
      </c>
      <c r="F282" s="2" t="s">
        <v>15</v>
      </c>
      <c r="G282" s="2" t="s">
        <v>907</v>
      </c>
      <c r="H282" s="2" t="s">
        <v>206</v>
      </c>
      <c r="I282" s="2" t="str">
        <f>IFERROR(__xludf.DUMMYFUNCTION("GOOGLETRANSLATE(C282,""fr"",""en"")"),"I think of the different people. Apparently in my direct entourage, several people have had a partial refund of their subscription, relating to the COVVID of Mars. Indeed, little trips during this period. I contacted the MAAF who told me that for the mome"&amp;"nt he did not practice this type of commercial gesture, but that at maturity he would see according to the contract and the possible claims declared. And there surprise !!!!!!! Increase in my subscription of more than € 80.00, vehicles over 10 years old, "&amp;"with bonus 50 % and a maaf lifetime bonus since 2007, the 1st vehicle € 480.00 TT risk, the second 350.00 TT risk and home contribution at € 550.00. I find all this very expensive, I think I go to see elsewhere ....")</f>
        <v>I think of the different people. Apparently in my direct entourage, several people have had a partial refund of their subscription, relating to the COVVID of Mars. Indeed, little trips during this period. I contacted the MAAF who told me that for the moment he did not practice this type of commercial gesture, but that at maturity he would see according to the contract and the possible claims declared. And there surprise !!!!!!! Increase in my subscription of more than € 80.00, vehicles over 10 years old, with bonus 50 % and a maaf lifetime bonus since 2007, the 1st vehicle € 480.00 TT risk, the second 350.00 TT risk and home contribution at € 550.00. I find all this very expensive, I think I go to see elsewhere ....</v>
      </c>
    </row>
    <row r="283" ht="15.75" customHeight="1">
      <c r="A283" s="2">
        <v>2.0</v>
      </c>
      <c r="B283" s="2" t="s">
        <v>908</v>
      </c>
      <c r="C283" s="2" t="s">
        <v>909</v>
      </c>
      <c r="D283" s="2" t="s">
        <v>148</v>
      </c>
      <c r="E283" s="2" t="s">
        <v>27</v>
      </c>
      <c r="F283" s="2" t="s">
        <v>15</v>
      </c>
      <c r="G283" s="2" t="s">
        <v>910</v>
      </c>
      <c r="H283" s="2" t="s">
        <v>278</v>
      </c>
      <c r="I283" s="2" t="str">
        <f>IFERROR(__xludf.DUMMYFUNCTION("GOOGLETRANSLATE(C283,""fr"",""en"")"),"Hello,
The militant insurer MAIF has been able to alter the commercial link after 15 years. I was warned by registered mail. Contact by phone for additional information, I was told that the customer is free to choose his insurer and that the insurer in t"&amp;"he same way is free to choose his customers ... scandalous!
FYI, victim of a serious road accident in 2018, I refused the compensation proposal made by the MAIF and started a legal action ...
I think that for MAIF, claim justice altered the commercial l"&amp;"ink. THANK YOU!!")</f>
        <v>Hello,
The militant insurer MAIF has been able to alter the commercial link after 15 years. I was warned by registered mail. Contact by phone for additional information, I was told that the customer is free to choose his insurer and that the insurer in the same way is free to choose his customers ... scandalous!
FYI, victim of a serious road accident in 2018, I refused the compensation proposal made by the MAIF and started a legal action ...
I think that for MAIF, claim justice altered the commercial link. THANK YOU!!</v>
      </c>
    </row>
    <row r="284" ht="15.75" customHeight="1">
      <c r="A284" s="2">
        <v>1.0</v>
      </c>
      <c r="B284" s="2" t="s">
        <v>911</v>
      </c>
      <c r="C284" s="2" t="s">
        <v>912</v>
      </c>
      <c r="D284" s="2" t="s">
        <v>237</v>
      </c>
      <c r="E284" s="2" t="s">
        <v>14</v>
      </c>
      <c r="F284" s="2" t="s">
        <v>15</v>
      </c>
      <c r="G284" s="2" t="s">
        <v>913</v>
      </c>
      <c r="H284" s="2" t="s">
        <v>206</v>
      </c>
      <c r="I284" s="2" t="str">
        <f>IFERROR(__xludf.DUMMYFUNCTION("GOOGLETRANSLATE(C284,""fr"",""en"")"),"The worst customer service I had to do. Minimum one week of delay to have a response by email when they deign to answer. An endless waiting time to have someone on the phone, on a surcharged number. Advisors on the phone only relay to other services, are "&amp;"obviously not trained in procedures. It's scandalous!
For my part, almost two months to receive a certificate after a lot of relentlessness, around twenty calls and its excluding telephone package which goes with it, and several complaints. Impossible to"&amp;" have a manager on the phone, we only go up the information that obviously never happens. It is perfectly unacceptable.")</f>
        <v>The worst customer service I had to do. Minimum one week of delay to have a response by email when they deign to answer. An endless waiting time to have someone on the phone, on a surcharged number. Advisors on the phone only relay to other services, are obviously not trained in procedures. It's scandalous!
For my part, almost two months to receive a certificate after a lot of relentlessness, around twenty calls and its excluding telephone package which goes with it, and several complaints. Impossible to have a manager on the phone, we only go up the information that obviously never happens. It is perfectly unacceptable.</v>
      </c>
    </row>
    <row r="285" ht="15.75" customHeight="1">
      <c r="A285" s="2">
        <v>1.0</v>
      </c>
      <c r="B285" s="2" t="s">
        <v>914</v>
      </c>
      <c r="C285" s="2" t="s">
        <v>915</v>
      </c>
      <c r="D285" s="2" t="s">
        <v>100</v>
      </c>
      <c r="E285" s="2" t="s">
        <v>14</v>
      </c>
      <c r="F285" s="2" t="s">
        <v>15</v>
      </c>
      <c r="G285" s="2" t="s">
        <v>705</v>
      </c>
      <c r="H285" s="2" t="s">
        <v>46</v>
      </c>
      <c r="I285" s="2" t="str">
        <f>IFERROR(__xludf.DUMMYFUNCTION("GOOGLETRANSLATE(C285,""fr"",""en"")"),"My contract being terminated the organization continues to withdraw the amount of the package. They did not refund the rest due. This is the mutual insurance company that I cannot get rid of I had my beneficiaries terminated but for contacts and reimburse"&amp;"ment it remains without response. I especially do not recommend this mutual.")</f>
        <v>My contract being terminated the organization continues to withdraw the amount of the package. They did not refund the rest due. This is the mutual insurance company that I cannot get rid of I had my beneficiaries terminated but for contacts and reimbursement it remains without response. I especially do not recommend this mutual.</v>
      </c>
    </row>
    <row r="286" ht="15.75" customHeight="1">
      <c r="A286" s="2">
        <v>5.0</v>
      </c>
      <c r="B286" s="2" t="s">
        <v>916</v>
      </c>
      <c r="C286" s="2" t="s">
        <v>917</v>
      </c>
      <c r="D286" s="2" t="s">
        <v>252</v>
      </c>
      <c r="E286" s="2" t="s">
        <v>14</v>
      </c>
      <c r="F286" s="2" t="s">
        <v>15</v>
      </c>
      <c r="G286" s="2" t="s">
        <v>918</v>
      </c>
      <c r="H286" s="2" t="s">
        <v>62</v>
      </c>
      <c r="I286" s="2" t="str">
        <f>IFERROR(__xludf.DUMMYFUNCTION("GOOGLETRANSLATE(C286,""fr"",""en"")"),"Satisfied with your contract for my mutual, thank you very much for your confidence very soon and hopes to be happy with your MUSUAL MADAME LIBERT ..")</f>
        <v>Satisfied with your contract for my mutual, thank you very much for your confidence very soon and hopes to be happy with your MUSUAL MADAME LIBERT ..</v>
      </c>
    </row>
    <row r="287" ht="15.75" customHeight="1">
      <c r="A287" s="2">
        <v>4.0</v>
      </c>
      <c r="B287" s="2" t="s">
        <v>919</v>
      </c>
      <c r="C287" s="2" t="s">
        <v>920</v>
      </c>
      <c r="D287" s="2" t="s">
        <v>26</v>
      </c>
      <c r="E287" s="2" t="s">
        <v>27</v>
      </c>
      <c r="F287" s="2" t="s">
        <v>15</v>
      </c>
      <c r="G287" s="2" t="s">
        <v>921</v>
      </c>
      <c r="H287" s="2" t="s">
        <v>922</v>
      </c>
      <c r="I287" s="2" t="str">
        <f>IFERROR(__xludf.DUMMYFUNCTION("GOOGLETRANSLATE(C287,""fr"",""en"")"),"I recommend this insurer for the value for money")</f>
        <v>I recommend this insurer for the value for money</v>
      </c>
    </row>
    <row r="288" ht="15.75" customHeight="1">
      <c r="A288" s="2">
        <v>1.0</v>
      </c>
      <c r="B288" s="2" t="s">
        <v>923</v>
      </c>
      <c r="C288" s="2" t="s">
        <v>924</v>
      </c>
      <c r="D288" s="2" t="s">
        <v>44</v>
      </c>
      <c r="E288" s="2" t="s">
        <v>27</v>
      </c>
      <c r="F288" s="2" t="s">
        <v>15</v>
      </c>
      <c r="G288" s="2" t="s">
        <v>925</v>
      </c>
      <c r="H288" s="2" t="s">
        <v>46</v>
      </c>
      <c r="I288" s="2" t="str">
        <f>IFERROR(__xludf.DUMMYFUNCTION("GOOGLETRANSLATE(C288,""fr"",""en"")"),"Like many insurance they are judged in the event of a claim.
Well I had a hanging on 07/31, the vehicle has been at the garage for more than a month, unreachable expert, insurance that walks the few times when it deigns to answer me, responsible who resp"&amp;"ects me any of her commitments or promises. No loan vehicle! To flee …!!")</f>
        <v>Like many insurance they are judged in the event of a claim.
Well I had a hanging on 07/31, the vehicle has been at the garage for more than a month, unreachable expert, insurance that walks the few times when it deigns to answer me, responsible who respects me any of her commitments or promises. No loan vehicle! To flee …!!</v>
      </c>
    </row>
    <row r="289" ht="15.75" customHeight="1">
      <c r="A289" s="2">
        <v>5.0</v>
      </c>
      <c r="B289" s="2" t="s">
        <v>926</v>
      </c>
      <c r="C289" s="2" t="s">
        <v>927</v>
      </c>
      <c r="D289" s="2" t="s">
        <v>60</v>
      </c>
      <c r="E289" s="2" t="s">
        <v>14</v>
      </c>
      <c r="F289" s="2" t="s">
        <v>15</v>
      </c>
      <c r="G289" s="2" t="s">
        <v>928</v>
      </c>
      <c r="H289" s="2" t="s">
        <v>583</v>
      </c>
      <c r="I289" s="2" t="str">
        <f>IFERROR(__xludf.DUMMYFUNCTION("GOOGLETRANSLATE(C289,""fr"",""en"")"),"Thank you to Caroline for her welcome and her professionalism, it is very pleasant and rare to be advised by non -relocated services.")</f>
        <v>Thank you to Caroline for her welcome and her professionalism, it is very pleasant and rare to be advised by non -relocated services.</v>
      </c>
    </row>
    <row r="290" ht="15.75" customHeight="1">
      <c r="A290" s="2">
        <v>4.0</v>
      </c>
      <c r="B290" s="2" t="s">
        <v>929</v>
      </c>
      <c r="C290" s="2" t="s">
        <v>930</v>
      </c>
      <c r="D290" s="2" t="s">
        <v>44</v>
      </c>
      <c r="E290" s="2" t="s">
        <v>27</v>
      </c>
      <c r="F290" s="2" t="s">
        <v>15</v>
      </c>
      <c r="G290" s="2" t="s">
        <v>697</v>
      </c>
      <c r="H290" s="2" t="s">
        <v>46</v>
      </c>
      <c r="I290" s="2" t="str">
        <f>IFERROR(__xludf.DUMMYFUNCTION("GOOGLETRANSLATE(C290,""fr"",""en"")"),"I am satisfied with the price. And in the way I found this contract. The termination is easy. VERY GOOD
REGARDS,
Florence Ferreira da Silva")</f>
        <v>I am satisfied with the price. And in the way I found this contract. The termination is easy. VERY GOOD
REGARDS,
Florence Ferreira da Silva</v>
      </c>
    </row>
    <row r="291" ht="15.75" customHeight="1">
      <c r="A291" s="2">
        <v>1.0</v>
      </c>
      <c r="B291" s="2" t="s">
        <v>931</v>
      </c>
      <c r="C291" s="2" t="s">
        <v>932</v>
      </c>
      <c r="D291" s="2" t="s">
        <v>459</v>
      </c>
      <c r="E291" s="2" t="s">
        <v>460</v>
      </c>
      <c r="F291" s="2" t="s">
        <v>15</v>
      </c>
      <c r="G291" s="2" t="s">
        <v>933</v>
      </c>
      <c r="H291" s="2" t="s">
        <v>131</v>
      </c>
      <c r="I291" s="2" t="str">
        <f>IFERROR(__xludf.DUMMYFUNCTION("GOOGLETRANSLATE(C291,""fr"",""en"")"),"Cardif walks me and my brother to settle the life insurance that comes back to us according to our uncle's wishes. The file is complete but depending on the telephone interlocutor it is not or during studies or awaiting the size round of the captain's wom"&amp;"an. The latest argument is to provide them with the certificate of acquittal of the rights submitted by the Center for Taxes before they unlock the funds returning to us while we signed a delegation to them so that Cardif takes and directly settles the su"&amp;"ms due to the taxman whose count was sent to them. Hallucing, it is they who should prove to me that they quickly settle the taxman and settle us at the same time as the other companies did. In two months maximum two of their competitors settled us after "&amp;"paying the taxman directly. So why Cardif is not capable of it except to delay the regulations and declare that the file is still not complete according to their criteria always variable and which thus allow them to always do not duty of interests on the "&amp;"sums due since they always consider that the file is not complete. The great art of taking the beneficiaries for notorious morons.")</f>
        <v>Cardif walks me and my brother to settle the life insurance that comes back to us according to our uncle's wishes. The file is complete but depending on the telephone interlocutor it is not or during studies or awaiting the size round of the captain's woman. The latest argument is to provide them with the certificate of acquittal of the rights submitted by the Center for Taxes before they unlock the funds returning to us while we signed a delegation to them so that Cardif takes and directly settles the sums due to the taxman whose count was sent to them. Hallucing, it is they who should prove to me that they quickly settle the taxman and settle us at the same time as the other companies did. In two months maximum two of their competitors settled us after paying the taxman directly. So why Cardif is not capable of it except to delay the regulations and declare that the file is still not complete according to their criteria always variable and which thus allow them to always do not duty of interests on the sums due since they always consider that the file is not complete. The great art of taking the beneficiaries for notorious morons.</v>
      </c>
    </row>
    <row r="292" ht="15.75" customHeight="1">
      <c r="A292" s="2">
        <v>1.0</v>
      </c>
      <c r="B292" s="2" t="s">
        <v>934</v>
      </c>
      <c r="C292" s="2" t="s">
        <v>935</v>
      </c>
      <c r="D292" s="2" t="s">
        <v>598</v>
      </c>
      <c r="E292" s="2" t="s">
        <v>21</v>
      </c>
      <c r="F292" s="2" t="s">
        <v>15</v>
      </c>
      <c r="G292" s="2" t="s">
        <v>936</v>
      </c>
      <c r="H292" s="2" t="s">
        <v>606</v>
      </c>
      <c r="I292" s="2" t="str">
        <f>IFERROR(__xludf.DUMMYFUNCTION("GOOGLETRANSLATE(C292,""fr"",""en"")"),"Generali should not Sevire in France and Banque Populaire should this separate from this partner, we also have very big problems with them and for 1 1/2 years while the medical expert in Validée my accident still do not want to pay , we do not let go, we "&amp;"continue to beat against them, we absolutely do not recommend this insurance must be leaked to believe us.")</f>
        <v>Generali should not Sevire in France and Banque Populaire should this separate from this partner, we also have very big problems with them and for 1 1/2 years while the medical expert in Validée my accident still do not want to pay , we do not let go, we continue to beat against them, we absolutely do not recommend this insurance must be leaked to believe us.</v>
      </c>
    </row>
    <row r="293" ht="15.75" customHeight="1">
      <c r="A293" s="2">
        <v>4.0</v>
      </c>
      <c r="B293" s="2" t="s">
        <v>937</v>
      </c>
      <c r="C293" s="2" t="s">
        <v>938</v>
      </c>
      <c r="D293" s="2" t="s">
        <v>26</v>
      </c>
      <c r="E293" s="2" t="s">
        <v>27</v>
      </c>
      <c r="F293" s="2" t="s">
        <v>15</v>
      </c>
      <c r="G293" s="2" t="s">
        <v>514</v>
      </c>
      <c r="H293" s="2" t="s">
        <v>62</v>
      </c>
      <c r="I293" s="2" t="str">
        <f>IFERROR(__xludf.DUMMYFUNCTION("GOOGLETRANSLATE(C293,""fr"",""en"")"),"Services always up to my expectations and the staff if necessary are patient listening and responsive as far as possible.
The price is very advantageous")</f>
        <v>Services always up to my expectations and the staff if necessary are patient listening and responsive as far as possible.
The price is very advantageous</v>
      </c>
    </row>
    <row r="294" ht="15.75" customHeight="1">
      <c r="A294" s="2">
        <v>1.0</v>
      </c>
      <c r="B294" s="2" t="s">
        <v>939</v>
      </c>
      <c r="C294" s="2" t="s">
        <v>940</v>
      </c>
      <c r="D294" s="2" t="s">
        <v>141</v>
      </c>
      <c r="E294" s="2" t="s">
        <v>33</v>
      </c>
      <c r="F294" s="2" t="s">
        <v>15</v>
      </c>
      <c r="G294" s="2" t="s">
        <v>941</v>
      </c>
      <c r="H294" s="2" t="s">
        <v>78</v>
      </c>
      <c r="I294" s="2" t="str">
        <f>IFERROR(__xludf.DUMMYFUNCTION("GOOGLETRANSLATE(C294,""fr"",""en"")"),"Refusal to compensate ourselves following a gale that distorted our component on the pretext that the wind was not strong enough. If we are flooded or if our house takes fire one day, I may be told that the water was not wet enough or the fire not hot eno"&amp;"ugh ... In addition, unreachable customer service Treatment too long.")</f>
        <v>Refusal to compensate ourselves following a gale that distorted our component on the pretext that the wind was not strong enough. If we are flooded or if our house takes fire one day, I may be told that the water was not wet enough or the fire not hot enough ... In addition, unreachable customer service Treatment too long.</v>
      </c>
    </row>
    <row r="295" ht="15.75" customHeight="1">
      <c r="A295" s="2">
        <v>1.0</v>
      </c>
      <c r="B295" s="2" t="s">
        <v>942</v>
      </c>
      <c r="C295" s="2" t="s">
        <v>943</v>
      </c>
      <c r="D295" s="2" t="s">
        <v>459</v>
      </c>
      <c r="E295" s="2" t="s">
        <v>460</v>
      </c>
      <c r="F295" s="2" t="s">
        <v>15</v>
      </c>
      <c r="G295" s="2" t="s">
        <v>944</v>
      </c>
      <c r="H295" s="2" t="s">
        <v>372</v>
      </c>
      <c r="I295" s="2" t="str">
        <f>IFERROR(__xludf.DUMMYFUNCTION("GOOGLETRANSLATE(C295,""fr"",""en"")"),"100% beneficiary of life insurance since November 2016. Complete file since December 22. I still do not have the money, knowing that these people have a month to settle. All the apologies are good, now they asked in early February a certificate of notorie"&amp;"ty that they had on February 8. Since then, no problem for the settlement has been an employee at home. Except that following 2 recommended, they answer that my file will be processed within fortnight if all goes well but at worst 2 months. Deplorable cus"&amp;"tomer service. This money is for us and not to you")</f>
        <v>100% beneficiary of life insurance since November 2016. Complete file since December 22. I still do not have the money, knowing that these people have a month to settle. All the apologies are good, now they asked in early February a certificate of notoriety that they had on February 8. Since then, no problem for the settlement has been an employee at home. Except that following 2 recommended, they answer that my file will be processed within fortnight if all goes well but at worst 2 months. Deplorable customer service. This money is for us and not to you</v>
      </c>
    </row>
    <row r="296" ht="15.75" customHeight="1">
      <c r="A296" s="2">
        <v>2.0</v>
      </c>
      <c r="B296" s="2" t="s">
        <v>945</v>
      </c>
      <c r="C296" s="2" t="s">
        <v>946</v>
      </c>
      <c r="D296" s="2" t="s">
        <v>125</v>
      </c>
      <c r="E296" s="2" t="s">
        <v>14</v>
      </c>
      <c r="F296" s="2" t="s">
        <v>15</v>
      </c>
      <c r="G296" s="2" t="s">
        <v>947</v>
      </c>
      <c r="H296" s="2" t="s">
        <v>214</v>
      </c>
      <c r="I296" s="2" t="str">
        <f>IFERROR(__xludf.DUMMYFUNCTION("GOOGLETRANSLATE(C296,""fr"",""en"")"),"At no time does he inform their client how and when to terminate their contract and refuses the termination when it arrives. O The DGCCRF site specifies
Contracts taken out by individuals termination with maturity
With the exception of contracts taken o"&amp;"ut for a fixed period, insurance contracts are automatically renewed. In accordance with the provisions of the insurance code, the insured may request the termination of his contract no later than two months before his due date, except for health insuranc"&amp;"e contracts, for which this period may be different.
To facilitate the termination of tacitly renewable contracts, the insurance code provides that the insurer is required to recall, with the maturity notice, the deadline to which the insured has the pos"&amp;"sibility of denouncing the automatic renewal of his contract . This reminder may appear on the maturity notice or on a separate document transmitted with the deadline.
If the sending of the maturity notice and this information are sent to him less than f"&amp;"ifteen days before the deadline to which he can request the termination of his contract, the insured has a period of twenty days from of the date of sending the opinion to end his contract.
Finally, if the insured receives no information on this subject,"&amp;" he can terminate the contract at any time, without notice or penalty.
These provisions only concern contracts guaranteeing individuals outside their professional activity. They are also applicable to life insurance or group contracts.
They cannot ref"&amp;"use the termination")</f>
        <v>At no time does he inform their client how and when to terminate their contract and refuses the termination when it arrives. O The DGCCRF site specifies
Contracts taken out by individuals termination with maturity
With the exception of contracts taken out for a fixed period, insurance contracts are automatically renewed. In accordance with the provisions of the insurance code, the insured may request the termination of his contract no later than two months before his due date, except for health insurance contracts, for which this period may be different.
To facilitate the termination of tacitly renewable contracts, the insurance code provides that the insurer is required to recall, with the maturity notice, the deadline to which the insured has the possibility of denouncing the automatic renewal of his contract . This reminder may appear on the maturity notice or on a separate document transmitted with the deadline.
If the sending of the maturity notice and this information are sent to him less than fifteen days before the deadline to which he can request the termination of his contract, the insured has a period of twenty days from of the date of sending the opinion to end his contract.
Finally, if the insured receives no information on this subject, he can terminate the contract at any time, without notice or penalty.
These provisions only concern contracts guaranteeing individuals outside their professional activity. They are also applicable to life insurance or group contracts.
They cannot refuse the termination</v>
      </c>
    </row>
    <row r="297" ht="15.75" customHeight="1">
      <c r="A297" s="2">
        <v>4.0</v>
      </c>
      <c r="B297" s="2" t="s">
        <v>948</v>
      </c>
      <c r="C297" s="2" t="s">
        <v>949</v>
      </c>
      <c r="D297" s="2" t="s">
        <v>44</v>
      </c>
      <c r="E297" s="2" t="s">
        <v>27</v>
      </c>
      <c r="F297" s="2" t="s">
        <v>15</v>
      </c>
      <c r="G297" s="2" t="s">
        <v>950</v>
      </c>
      <c r="H297" s="2" t="s">
        <v>29</v>
      </c>
      <c r="I297" s="2" t="str">
        <f>IFERROR(__xludf.DUMMYFUNCTION("GOOGLETRANSLATE(C297,""fr"",""en"")"),"Very satisfied with the fast and efficient service treatment of insurance immediately simple and useful I highly recommend direct insurance number 1")</f>
        <v>Very satisfied with the fast and efficient service treatment of insurance immediately simple and useful I highly recommend direct insurance number 1</v>
      </c>
    </row>
    <row r="298" ht="15.75" customHeight="1">
      <c r="A298" s="2">
        <v>5.0</v>
      </c>
      <c r="B298" s="2" t="s">
        <v>951</v>
      </c>
      <c r="C298" s="2" t="s">
        <v>952</v>
      </c>
      <c r="D298" s="2" t="s">
        <v>134</v>
      </c>
      <c r="E298" s="2" t="s">
        <v>27</v>
      </c>
      <c r="F298" s="2" t="s">
        <v>15</v>
      </c>
      <c r="G298" s="2" t="s">
        <v>46</v>
      </c>
      <c r="H298" s="2" t="s">
        <v>46</v>
      </c>
      <c r="I298" s="2" t="str">
        <f>IFERROR(__xludf.DUMMYFUNCTION("GOOGLETRANSLATE(C298,""fr"",""en"")"),"I am very satisfied with your service. The prices are reasonable. Insurance Housing Cars and Civil Responsibilities and School Insurance for my children are up to par.")</f>
        <v>I am very satisfied with your service. The prices are reasonable. Insurance Housing Cars and Civil Responsibilities and School Insurance for my children are up to par.</v>
      </c>
    </row>
    <row r="299" ht="15.75" customHeight="1">
      <c r="A299" s="2">
        <v>4.0</v>
      </c>
      <c r="B299" s="2" t="s">
        <v>953</v>
      </c>
      <c r="C299" s="2" t="s">
        <v>954</v>
      </c>
      <c r="D299" s="2" t="s">
        <v>38</v>
      </c>
      <c r="E299" s="2" t="s">
        <v>39</v>
      </c>
      <c r="F299" s="2" t="s">
        <v>15</v>
      </c>
      <c r="G299" s="2" t="s">
        <v>162</v>
      </c>
      <c r="H299" s="2" t="s">
        <v>29</v>
      </c>
      <c r="I299" s="2" t="str">
        <f>IFERROR(__xludf.DUMMYFUNCTION("GOOGLETRANSLATE(C299,""fr"",""en"")"),"I am satisfied with the service, the prices are correct, it is easy to subscribe on the Internet, a single site. The subscription takes effect immediately.")</f>
        <v>I am satisfied with the service, the prices are correct, it is easy to subscribe on the Internet, a single site. The subscription takes effect immediately.</v>
      </c>
    </row>
    <row r="300" ht="15.75" customHeight="1">
      <c r="A300" s="2">
        <v>1.0</v>
      </c>
      <c r="B300" s="2" t="s">
        <v>955</v>
      </c>
      <c r="C300" s="2" t="s">
        <v>956</v>
      </c>
      <c r="D300" s="2" t="s">
        <v>560</v>
      </c>
      <c r="E300" s="2" t="s">
        <v>561</v>
      </c>
      <c r="F300" s="2" t="s">
        <v>15</v>
      </c>
      <c r="G300" s="2" t="s">
        <v>957</v>
      </c>
      <c r="H300" s="2" t="s">
        <v>62</v>
      </c>
      <c r="I300" s="2" t="str">
        <f>IFERROR(__xludf.DUMMYFUNCTION("GOOGLETRANSLATE(C300,""fr"",""en"")"),"To run away absolutely. Refunds that do not correspond to what is announced. A mediocre service. A not kind person who tells me that I only had to read my contract better. I terminate the anniversary date.")</f>
        <v>To run away absolutely. Refunds that do not correspond to what is announced. A mediocre service. A not kind person who tells me that I only had to read my contract better. I terminate the anniversary date.</v>
      </c>
    </row>
    <row r="301" ht="15.75" customHeight="1">
      <c r="A301" s="2">
        <v>2.0</v>
      </c>
      <c r="B301" s="2" t="s">
        <v>958</v>
      </c>
      <c r="C301" s="2" t="s">
        <v>959</v>
      </c>
      <c r="D301" s="2" t="s">
        <v>141</v>
      </c>
      <c r="E301" s="2" t="s">
        <v>27</v>
      </c>
      <c r="F301" s="2" t="s">
        <v>15</v>
      </c>
      <c r="G301" s="2" t="s">
        <v>960</v>
      </c>
      <c r="H301" s="2" t="s">
        <v>184</v>
      </c>
      <c r="I301" s="2" t="str">
        <f>IFERROR(__xludf.DUMMYFUNCTION("GOOGLETRANSLATE(C301,""fr"",""en"")"),"I was fired, by registered letter, from the MAAF after 25 years of seniority.
Registered letter where it was written, ""following our interview"", interview which did not take place.
Apart from two minor claims (windshield and rear rag), nothing serious"&amp;" never.
I found myself in the AGIRA car termination file.
""It is not a punishment"" but I was redirected to Zéphir ...")</f>
        <v>I was fired, by registered letter, from the MAAF after 25 years of seniority.
Registered letter where it was written, "following our interview", interview which did not take place.
Apart from two minor claims (windshield and rear rag), nothing serious never.
I found myself in the AGIRA car termination file.
"It is not a punishment" but I was redirected to Zéphir ...</v>
      </c>
    </row>
    <row r="302" ht="15.75" customHeight="1">
      <c r="A302" s="2">
        <v>2.0</v>
      </c>
      <c r="B302" s="2" t="s">
        <v>961</v>
      </c>
      <c r="C302" s="2" t="s">
        <v>962</v>
      </c>
      <c r="D302" s="2" t="s">
        <v>105</v>
      </c>
      <c r="E302" s="2" t="s">
        <v>39</v>
      </c>
      <c r="F302" s="2" t="s">
        <v>15</v>
      </c>
      <c r="G302" s="2" t="s">
        <v>963</v>
      </c>
      <c r="H302" s="2" t="s">
        <v>268</v>
      </c>
      <c r="I302" s="2" t="str">
        <f>IFERROR(__xludf.DUMMYFUNCTION("GOOGLETRANSLATE(C302,""fr"",""en"")"),"Following a breakdown, I contact my insurance at 10am. After 15 minutes of waiting I finally have someone on the phone. I send him all the information. She tells me that a tow truck will arrive within 45 minutes / 1 hour. Very good ... wait ...
At 11:10 "&amp;"am AMV reminds me of knowing my scooter, I transmit it and she tells me very well a tow truck will be on site in 45m / 1h ... inadmissible!
I explain to her that it's been 1 hour that I am waiting for the tow truck and she replies that there are a lot of"&amp;" people who call ... This insurance does not know how to manage !!! We pay for a service that we do not have !! I hope to have compensation for this situation!")</f>
        <v>Following a breakdown, I contact my insurance at 10am. After 15 minutes of waiting I finally have someone on the phone. I send him all the information. She tells me that a tow truck will arrive within 45 minutes / 1 hour. Very good ... wait ...
At 11:10 am AMV reminds me of knowing my scooter, I transmit it and she tells me very well a tow truck will be on site in 45m / 1h ... inadmissible!
I explain to her that it's been 1 hour that I am waiting for the tow truck and she replies that there are a lot of people who call ... This insurance does not know how to manage !!! We pay for a service that we do not have !! I hope to have compensation for this situation!</v>
      </c>
    </row>
    <row r="303" ht="15.75" customHeight="1">
      <c r="A303" s="2">
        <v>4.0</v>
      </c>
      <c r="B303" s="2" t="s">
        <v>964</v>
      </c>
      <c r="C303" s="2" t="s">
        <v>965</v>
      </c>
      <c r="D303" s="2" t="s">
        <v>60</v>
      </c>
      <c r="E303" s="2" t="s">
        <v>14</v>
      </c>
      <c r="F303" s="2" t="s">
        <v>15</v>
      </c>
      <c r="G303" s="2" t="s">
        <v>966</v>
      </c>
      <c r="H303" s="2" t="s">
        <v>382</v>
      </c>
      <c r="I303" s="2" t="str">
        <f>IFERROR(__xludf.DUMMYFUNCTION("GOOGLETRANSLATE(C303,""fr"",""en"")"),"Very well I find the foreign customer service the best prices and indicates the best offers selected by their requirements for their customers. The customer monitoring service is very close to customers")</f>
        <v>Very well I find the foreign customer service the best prices and indicates the best offers selected by their requirements for their customers. The customer monitoring service is very close to customers</v>
      </c>
    </row>
    <row r="304" ht="15.75" customHeight="1">
      <c r="A304" s="2">
        <v>1.0</v>
      </c>
      <c r="B304" s="2" t="s">
        <v>967</v>
      </c>
      <c r="C304" s="2" t="s">
        <v>968</v>
      </c>
      <c r="D304" s="2" t="s">
        <v>32</v>
      </c>
      <c r="E304" s="2" t="s">
        <v>33</v>
      </c>
      <c r="F304" s="2" t="s">
        <v>15</v>
      </c>
      <c r="G304" s="2" t="s">
        <v>969</v>
      </c>
      <c r="H304" s="2" t="s">
        <v>206</v>
      </c>
      <c r="I304" s="2" t="str">
        <f>IFERROR(__xludf.DUMMYFUNCTION("GOOGLETRANSLATE(C304,""fr"",""en"")"),"I want to change insurer for my house and contact the Macif in July 2020, to replace an Allianz contract, at the exorbitant cost, which goes from August to August. In September, the Macif has done nothing yet, but ensures that in early October the termina"&amp;"tion letter will be sent. I receive a formal notice from Allianz on October 20, to which I therefore take no importance. New problem, said an employee of the Macif whom I nevertheless contact: Allianz refused to validate my first request: there are insure"&amp;"rs like that who refuse to settle things amicably. Except that an employee of the Macif will teach me in early December that it is a total lie: nothing in early October, before the 1st formal notice from Allianz (absolutely intractable, by the way), had n"&amp;"ot yet been sent. I end up sending the Macif again to my termination letter, finally transmitted to Allianz ... at the end of November. Except that in the meantime I have just received a 2nd formal notice from Allianz, with obligation to pay the whole sum"&amp;" due for the year, plus 80 euros in litigation! The Macif employee recognizes that they are indeed responsible for the situation (it makes me a beautiful leg), that they are sorry, but that they can do nothing for me. Incompetence and lie that cost me ver"&amp;"y dear: to flee!")</f>
        <v>I want to change insurer for my house and contact the Macif in July 2020, to replace an Allianz contract, at the exorbitant cost, which goes from August to August. In September, the Macif has done nothing yet, but ensures that in early October the termination letter will be sent. I receive a formal notice from Allianz on October 20, to which I therefore take no importance. New problem, said an employee of the Macif whom I nevertheless contact: Allianz refused to validate my first request: there are insurers like that who refuse to settle things amicably. Except that an employee of the Macif will teach me in early December that it is a total lie: nothing in early October, before the 1st formal notice from Allianz (absolutely intractable, by the way), had not yet been sent. I end up sending the Macif again to my termination letter, finally transmitted to Allianz ... at the end of November. Except that in the meantime I have just received a 2nd formal notice from Allianz, with obligation to pay the whole sum due for the year, plus 80 euros in litigation! The Macif employee recognizes that they are indeed responsible for the situation (it makes me a beautiful leg), that they are sorry, but that they can do nothing for me. Incompetence and lie that cost me very dear: to flee!</v>
      </c>
    </row>
    <row r="305" ht="15.75" customHeight="1">
      <c r="A305" s="2">
        <v>1.0</v>
      </c>
      <c r="B305" s="2" t="s">
        <v>970</v>
      </c>
      <c r="C305" s="2" t="s">
        <v>971</v>
      </c>
      <c r="D305" s="2" t="s">
        <v>148</v>
      </c>
      <c r="E305" s="2" t="s">
        <v>33</v>
      </c>
      <c r="F305" s="2" t="s">
        <v>15</v>
      </c>
      <c r="G305" s="2" t="s">
        <v>972</v>
      </c>
      <c r="H305" s="2" t="s">
        <v>339</v>
      </c>
      <c r="I305" s="2" t="str">
        <f>IFERROR(__xludf.DUMMYFUNCTION("GOOGLETRANSLATE(C305,""fr"",""en"")"),"Problem of the problem;
Question 1: Do you agree to become a donor to external organizations instead of remaining MAIF member without any authorization on your part?
Question 2: Do you agree that the funds are no longer available to the difficulties of "&amp;"MAIF members?
Question 3: Do you think that a mutual and a foundation have the same legal status?
Question 4: Do you think that the current maif always respects the ideas of Edmond Proust who was fighting in the trenches?
Question 5: Do you think there"&amp;" is no conflict when the interests of members pass after the many interests that MAIF has with the outside?
")</f>
        <v>Problem of the problem;
Question 1: Do you agree to become a donor to external organizations instead of remaining MAIF member without any authorization on your part?
Question 2: Do you agree that the funds are no longer available to the difficulties of MAIF members?
Question 3: Do you think that a mutual and a foundation have the same legal status?
Question 4: Do you think that the current maif always respects the ideas of Edmond Proust who was fighting in the trenches?
Question 5: Do you think there is no conflict when the interests of members pass after the many interests that MAIF has with the outside?
</v>
      </c>
    </row>
    <row r="306" ht="15.75" customHeight="1">
      <c r="A306" s="2">
        <v>2.0</v>
      </c>
      <c r="B306" s="2" t="s">
        <v>973</v>
      </c>
      <c r="C306" s="2" t="s">
        <v>974</v>
      </c>
      <c r="D306" s="2" t="s">
        <v>55</v>
      </c>
      <c r="E306" s="2" t="s">
        <v>14</v>
      </c>
      <c r="F306" s="2" t="s">
        <v>15</v>
      </c>
      <c r="G306" s="2" t="s">
        <v>975</v>
      </c>
      <c r="H306" s="2" t="s">
        <v>403</v>
      </c>
      <c r="I306" s="2" t="str">
        <f>IFERROR(__xludf.DUMMYFUNCTION("GOOGLETRANSLATE(C306,""fr"",""en"")"),"CAUTION: Landy processes. I want to alert anyone who would have been contacted by phone as me and who receives a letter a letter thanking her from contracts -in which she would have joined her.")</f>
        <v>CAUTION: Landy processes. I want to alert anyone who would have been contacted by phone as me and who receives a letter a letter thanking her from contracts -in which she would have joined her.</v>
      </c>
    </row>
    <row r="307" ht="15.75" customHeight="1">
      <c r="A307" s="2">
        <v>4.0</v>
      </c>
      <c r="B307" s="2" t="s">
        <v>976</v>
      </c>
      <c r="C307" s="2" t="s">
        <v>977</v>
      </c>
      <c r="D307" s="2" t="s">
        <v>44</v>
      </c>
      <c r="E307" s="2" t="s">
        <v>27</v>
      </c>
      <c r="F307" s="2" t="s">
        <v>15</v>
      </c>
      <c r="G307" s="2" t="s">
        <v>978</v>
      </c>
      <c r="H307" s="2" t="s">
        <v>46</v>
      </c>
      <c r="I307" s="2" t="str">
        <f>IFERROR(__xludf.DUMMYFUNCTION("GOOGLETRANSLATE(C307,""fr"",""en"")"),"Very good service but the prices are a little high and increases quickly by adding the different options such as the loan vehicle and the extension of the loan vehicle")</f>
        <v>Very good service but the prices are a little high and increases quickly by adding the different options such as the loan vehicle and the extension of the loan vehicle</v>
      </c>
    </row>
    <row r="308" ht="15.75" customHeight="1">
      <c r="A308" s="2">
        <v>1.0</v>
      </c>
      <c r="B308" s="2" t="s">
        <v>979</v>
      </c>
      <c r="C308" s="2" t="s">
        <v>980</v>
      </c>
      <c r="D308" s="2" t="s">
        <v>44</v>
      </c>
      <c r="E308" s="2" t="s">
        <v>27</v>
      </c>
      <c r="F308" s="2" t="s">
        <v>15</v>
      </c>
      <c r="G308" s="2" t="s">
        <v>981</v>
      </c>
      <c r="H308" s="2" t="s">
        <v>35</v>
      </c>
      <c r="I308" s="2" t="str">
        <f>IFERROR(__xludf.DUMMYFUNCTION("GOOGLETRANSLATE(C308,""fr"",""en"")"),"I am not satisfied with the sales department: I chose Direct Assurance 3 years ago for competitive rates, which is no longer the case today. No attempt at the best commercial proposal made by the advisor, following my exchanges today and the evocation of "&amp;"my desire to request other insurance companies.")</f>
        <v>I am not satisfied with the sales department: I chose Direct Assurance 3 years ago for competitive rates, which is no longer the case today. No attempt at the best commercial proposal made by the advisor, following my exchanges today and the evocation of my desire to request other insurance companies.</v>
      </c>
    </row>
    <row r="309" ht="15.75" customHeight="1">
      <c r="A309" s="2">
        <v>1.0</v>
      </c>
      <c r="B309" s="2" t="s">
        <v>982</v>
      </c>
      <c r="C309" s="2" t="s">
        <v>983</v>
      </c>
      <c r="D309" s="2" t="s">
        <v>560</v>
      </c>
      <c r="E309" s="2" t="s">
        <v>561</v>
      </c>
      <c r="F309" s="2" t="s">
        <v>15</v>
      </c>
      <c r="G309" s="2" t="s">
        <v>853</v>
      </c>
      <c r="H309" s="2" t="s">
        <v>23</v>
      </c>
      <c r="I309" s="2" t="str">
        <f>IFERROR(__xludf.DUMMYFUNCTION("GOOGLETRANSLATE(C309,""fr"",""en"")"),"I do not recommend this insurer,
I lost my animal in December 20, I sent them a letter in AR, to break my contract which arrived in the end on 1mars 21.
They received the mail in December and not wanted to stop my contract despite the loss of my animal."&amp;"
The complaint service asked me for the ICAD cancellation certificate (I did not necessarily want to do it in the IMMIDIAT), I still did it! To stop paying for nothing! Once document is sent, they only take into account the date of the ICAD certificate: "&amp;"which is June 21 (6 months paid in the void). This is how to make money on people's misfortune. They have absolutely nothing to do with the animal! it is shameful!!! TO FLEE!.")</f>
        <v>I do not recommend this insurer,
I lost my animal in December 20, I sent them a letter in AR, to break my contract which arrived in the end on 1mars 21.
They received the mail in December and not wanted to stop my contract despite the loss of my animal.
The complaint service asked me for the ICAD cancellation certificate (I did not necessarily want to do it in the IMMIDIAT), I still did it! To stop paying for nothing! Once document is sent, they only take into account the date of the ICAD certificate: which is June 21 (6 months paid in the void). This is how to make money on people's misfortune. They have absolutely nothing to do with the animal! it is shameful!!! TO FLEE!.</v>
      </c>
    </row>
    <row r="310" ht="15.75" customHeight="1">
      <c r="A310" s="2">
        <v>1.0</v>
      </c>
      <c r="B310" s="2" t="s">
        <v>984</v>
      </c>
      <c r="C310" s="2" t="s">
        <v>985</v>
      </c>
      <c r="D310" s="2" t="s">
        <v>459</v>
      </c>
      <c r="E310" s="2" t="s">
        <v>460</v>
      </c>
      <c r="F310" s="2" t="s">
        <v>15</v>
      </c>
      <c r="G310" s="2" t="s">
        <v>986</v>
      </c>
      <c r="H310" s="2" t="s">
        <v>680</v>
      </c>
      <c r="I310" s="2" t="str">
        <f>IFERROR(__xludf.DUMMYFUNCTION("GOOGLETRANSLATE(C310,""fr"",""en"")"),"Profers and totally disrespectful ..... life insurance not paid for almost a year despite all the documents provided. Ridiculous and totally false arguments when you phone ....")</f>
        <v>Profers and totally disrespectful ..... life insurance not paid for almost a year despite all the documents provided. Ridiculous and totally false arguments when you phone ....</v>
      </c>
    </row>
    <row r="311" ht="15.75" customHeight="1">
      <c r="A311" s="2">
        <v>2.0</v>
      </c>
      <c r="B311" s="2" t="s">
        <v>987</v>
      </c>
      <c r="C311" s="2" t="s">
        <v>988</v>
      </c>
      <c r="D311" s="2" t="s">
        <v>32</v>
      </c>
      <c r="E311" s="2" t="s">
        <v>27</v>
      </c>
      <c r="F311" s="2" t="s">
        <v>15</v>
      </c>
      <c r="G311" s="2" t="s">
        <v>989</v>
      </c>
      <c r="H311" s="2" t="s">
        <v>278</v>
      </c>
      <c r="I311" s="2" t="str">
        <f>IFERROR(__xludf.DUMMYFUNCTION("GOOGLETRANSLATE(C311,""fr"",""en"")"),"Guarantees not the height but a relatively attractive price ... Today I do not look at the price but also the service
I have changed because today I’m fed up with telephone platforms.
")</f>
        <v>Guarantees not the height but a relatively attractive price ... Today I do not look at the price but also the service
I have changed because today I’m fed up with telephone platforms.
</v>
      </c>
    </row>
    <row r="312" ht="15.75" customHeight="1">
      <c r="A312" s="2">
        <v>1.0</v>
      </c>
      <c r="B312" s="2" t="s">
        <v>990</v>
      </c>
      <c r="C312" s="2" t="s">
        <v>991</v>
      </c>
      <c r="D312" s="2" t="s">
        <v>141</v>
      </c>
      <c r="E312" s="2" t="s">
        <v>27</v>
      </c>
      <c r="F312" s="2" t="s">
        <v>15</v>
      </c>
      <c r="G312" s="2" t="s">
        <v>487</v>
      </c>
      <c r="H312" s="2" t="s">
        <v>57</v>
      </c>
      <c r="I312" s="2" t="str">
        <f>IFERROR(__xludf.DUMMYFUNCTION("GOOGLETRANSLATE(C312,""fr"",""en"")"),"To flee, price that increases every year.
At the first grip they no longer want to assure you.
Even after 20 years !!!
A shame, maaf insurance = no consideration for these customers")</f>
        <v>To flee, price that increases every year.
At the first grip they no longer want to assure you.
Even after 20 years !!!
A shame, maaf insurance = no consideration for these customers</v>
      </c>
    </row>
    <row r="313" ht="15.75" customHeight="1">
      <c r="A313" s="2">
        <v>2.0</v>
      </c>
      <c r="B313" s="2" t="s">
        <v>992</v>
      </c>
      <c r="C313" s="2" t="s">
        <v>993</v>
      </c>
      <c r="D313" s="2" t="s">
        <v>117</v>
      </c>
      <c r="E313" s="2" t="s">
        <v>33</v>
      </c>
      <c r="F313" s="2" t="s">
        <v>15</v>
      </c>
      <c r="G313" s="2" t="s">
        <v>994</v>
      </c>
      <c r="H313" s="2" t="s">
        <v>571</v>
      </c>
      <c r="I313" s="2" t="str">
        <f>IFERROR(__xludf.DUMMYFUNCTION("GOOGLETRANSLATE(C313,""fr"",""en"")"),"Very disappointed by Pacifica on April 25, 2018 of the reaction they have had on my phone since April 24/April I have been waiting for the expert on the island of the 2018 Fakir Storm Reunion to date I am always waiting")</f>
        <v>Very disappointed by Pacifica on April 25, 2018 of the reaction they have had on my phone since April 24/April I have been waiting for the expert on the island of the 2018 Fakir Storm Reunion to date I am always waiting</v>
      </c>
    </row>
    <row r="314" ht="15.75" customHeight="1">
      <c r="A314" s="2">
        <v>4.0</v>
      </c>
      <c r="B314" s="2" t="s">
        <v>995</v>
      </c>
      <c r="C314" s="2" t="s">
        <v>996</v>
      </c>
      <c r="D314" s="2" t="s">
        <v>26</v>
      </c>
      <c r="E314" s="2" t="s">
        <v>27</v>
      </c>
      <c r="F314" s="2" t="s">
        <v>15</v>
      </c>
      <c r="G314" s="2" t="s">
        <v>997</v>
      </c>
      <c r="H314" s="2" t="s">
        <v>23</v>
      </c>
      <c r="I314" s="2" t="str">
        <f>IFERROR(__xludf.DUMMYFUNCTION("GOOGLETRANSLATE(C314,""fr"",""en"")"),"I join this nouvrlle insurance cheaper or the previous one ... To see in time and especially if there is a disaster .. it is there that we see if it is good insurance")</f>
        <v>I join this nouvrlle insurance cheaper or the previous one ... To see in time and especially if there is a disaster .. it is there that we see if it is good insurance</v>
      </c>
    </row>
    <row r="315" ht="15.75" customHeight="1">
      <c r="A315" s="2">
        <v>2.0</v>
      </c>
      <c r="B315" s="2" t="s">
        <v>998</v>
      </c>
      <c r="C315" s="2" t="s">
        <v>999</v>
      </c>
      <c r="D315" s="2" t="s">
        <v>84</v>
      </c>
      <c r="E315" s="2" t="s">
        <v>33</v>
      </c>
      <c r="F315" s="2" t="s">
        <v>15</v>
      </c>
      <c r="G315" s="2" t="s">
        <v>1000</v>
      </c>
      <c r="H315" s="2" t="s">
        <v>320</v>
      </c>
      <c r="I315" s="2" t="str">
        <f>IFERROR(__xludf.DUMMYFUNCTION("GOOGLETRANSLATE(C315,""fr"",""en"")"),"Hello
I have been the victim of water damage for 18 months. The sinister platform is relocated to Morocco and there is no official manager. So the file is not followed. For 18 months, the expert has been on the way to put my file out of the warranty, fir"&amp;"st pretending to be capillary lifts, then facade infiltration. AXA refuses to do a leak search. After 4 expertise, I am now asked to do work on the roof without knowing if it has a link with the infinders. I still don't have an interlocutor and I don't kn"&amp;"ow what to do. The accommodation is unhealthy (Placo withdrawn, wall saturated with water, mold, insects, tiling that takes off, a real nightmare.")</f>
        <v>Hello
I have been the victim of water damage for 18 months. The sinister platform is relocated to Morocco and there is no official manager. So the file is not followed. For 18 months, the expert has been on the way to put my file out of the warranty, first pretending to be capillary lifts, then facade infiltration. AXA refuses to do a leak search. After 4 expertise, I am now asked to do work on the roof without knowing if it has a link with the infinders. I still don't have an interlocutor and I don't know what to do. The accommodation is unhealthy (Placo withdrawn, wall saturated with water, mold, insects, tiling that takes off, a real nightmare.</v>
      </c>
    </row>
    <row r="316" ht="15.75" customHeight="1">
      <c r="A316" s="2">
        <v>4.0</v>
      </c>
      <c r="B316" s="2" t="s">
        <v>1001</v>
      </c>
      <c r="C316" s="2" t="s">
        <v>1002</v>
      </c>
      <c r="D316" s="2" t="s">
        <v>26</v>
      </c>
      <c r="E316" s="2" t="s">
        <v>27</v>
      </c>
      <c r="F316" s="2" t="s">
        <v>15</v>
      </c>
      <c r="G316" s="2" t="s">
        <v>1003</v>
      </c>
      <c r="H316" s="2" t="s">
        <v>57</v>
      </c>
      <c r="I316" s="2" t="str">
        <f>IFERROR(__xludf.DUMMYFUNCTION("GOOGLETRANSLATE(C316,""fr"",""en"")"),"I am satisfied with the service and the prices suit me simple and practical to me
I plan to sponsor someone very soon and place all my confidence")</f>
        <v>I am satisfied with the service and the prices suit me simple and practical to me
I plan to sponsor someone very soon and place all my confidence</v>
      </c>
    </row>
    <row r="317" ht="15.75" customHeight="1">
      <c r="A317" s="2">
        <v>5.0</v>
      </c>
      <c r="B317" s="2" t="s">
        <v>1004</v>
      </c>
      <c r="C317" s="2" t="s">
        <v>1005</v>
      </c>
      <c r="D317" s="2" t="s">
        <v>26</v>
      </c>
      <c r="E317" s="2" t="s">
        <v>27</v>
      </c>
      <c r="F317" s="2" t="s">
        <v>15</v>
      </c>
      <c r="G317" s="2" t="s">
        <v>700</v>
      </c>
      <c r="H317" s="2" t="s">
        <v>23</v>
      </c>
      <c r="I317" s="2" t="str">
        <f>IFERROR(__xludf.DUMMYFUNCTION("GOOGLETRANSLATE(C317,""fr"",""en"")"),"Yes I am satisfied with the service as well as the general price of the annual subscription. Hoping that as the tempty as well with the subscription.
Thank you")</f>
        <v>Yes I am satisfied with the service as well as the general price of the annual subscription. Hoping that as the tempty as well with the subscription.
Thank you</v>
      </c>
    </row>
    <row r="318" ht="15.75" customHeight="1">
      <c r="A318" s="2">
        <v>2.0</v>
      </c>
      <c r="B318" s="2" t="s">
        <v>1006</v>
      </c>
      <c r="C318" s="2" t="s">
        <v>1007</v>
      </c>
      <c r="D318" s="2" t="s">
        <v>109</v>
      </c>
      <c r="E318" s="2" t="s">
        <v>33</v>
      </c>
      <c r="F318" s="2" t="s">
        <v>15</v>
      </c>
      <c r="G318" s="2" t="s">
        <v>277</v>
      </c>
      <c r="H318" s="2" t="s">
        <v>278</v>
      </c>
      <c r="I318" s="2" t="str">
        <f>IFERROR(__xludf.DUMMYFUNCTION("GOOGLETRANSLATE(C318,""fr"",""en"")"),"Two small claims this year (€ 500 compensation received) and hop I receive a letter of termination from the Matmut.
So the Matmut assures as she says so well in her advertising, but she should only add those who do not declare a claim!
Another way to co"&amp;"llect the contributions from the insured ones!")</f>
        <v>Two small claims this year (€ 500 compensation received) and hop I receive a letter of termination from the Matmut.
So the Matmut assures as she says so well in her advertising, but she should only add those who do not declare a claim!
Another way to collect the contributions from the insured ones!</v>
      </c>
    </row>
    <row r="319" ht="15.75" customHeight="1">
      <c r="A319" s="2">
        <v>3.0</v>
      </c>
      <c r="B319" s="2" t="s">
        <v>1008</v>
      </c>
      <c r="C319" s="2" t="s">
        <v>1009</v>
      </c>
      <c r="D319" s="2" t="s">
        <v>55</v>
      </c>
      <c r="E319" s="2" t="s">
        <v>14</v>
      </c>
      <c r="F319" s="2" t="s">
        <v>15</v>
      </c>
      <c r="G319" s="2" t="s">
        <v>1010</v>
      </c>
      <c r="H319" s="2" t="s">
        <v>41</v>
      </c>
      <c r="I319" s="2" t="str">
        <f>IFERROR(__xludf.DUMMYFUNCTION("GOOGLETRANSLATE(C319,""fr"",""en"")"),"My opinion is mixed 50% due to the broker to whom I sent email, sms and who did not deign to take into account my remarks, &amp; a recurring problem of access to my personal computer space which only comes from be set by an ""Emeline"" person who took the tim"&amp;"e to give me satisfaction ..! Bravo for his professionalism &amp; his kindness on the phone.")</f>
        <v>My opinion is mixed 50% due to the broker to whom I sent email, sms and who did not deign to take into account my remarks, &amp; a recurring problem of access to my personal computer space which only comes from be set by an "Emeline" person who took the time to give me satisfaction ..! Bravo for his professionalism &amp; his kindness on the phone.</v>
      </c>
    </row>
    <row r="320" ht="15.75" customHeight="1">
      <c r="A320" s="2">
        <v>1.0</v>
      </c>
      <c r="B320" s="2" t="s">
        <v>1011</v>
      </c>
      <c r="C320" s="2" t="s">
        <v>1012</v>
      </c>
      <c r="D320" s="2" t="s">
        <v>75</v>
      </c>
      <c r="E320" s="2" t="s">
        <v>76</v>
      </c>
      <c r="F320" s="2" t="s">
        <v>15</v>
      </c>
      <c r="G320" s="2" t="s">
        <v>1013</v>
      </c>
      <c r="H320" s="2" t="s">
        <v>554</v>
      </c>
      <c r="I320" s="2" t="str">
        <f>IFERROR(__xludf.DUMMYFUNCTION("GOOGLETRANSLATE(C320,""fr"",""en"")"),"Really in bad faith this ""bank"", he never answers on the phone, to the email. To put it simply, a contract of one of my aunts with payment clause for my profit, documents sent with the contract and the clause. He wants a declaration of the notary on the"&amp;" inheritance devolution !!!!!!!!!!!")</f>
        <v>Really in bad faith this "bank", he never answers on the phone, to the email. To put it simply, a contract of one of my aunts with payment clause for my profit, documents sent with the contract and the clause. He wants a declaration of the notary on the inheritance devolution !!!!!!!!!!!</v>
      </c>
    </row>
    <row r="321" ht="15.75" customHeight="1">
      <c r="A321" s="2">
        <v>5.0</v>
      </c>
      <c r="B321" s="2" t="s">
        <v>1014</v>
      </c>
      <c r="C321" s="2" t="s">
        <v>1015</v>
      </c>
      <c r="D321" s="2" t="s">
        <v>44</v>
      </c>
      <c r="E321" s="2" t="s">
        <v>27</v>
      </c>
      <c r="F321" s="2" t="s">
        <v>15</v>
      </c>
      <c r="G321" s="2" t="s">
        <v>1016</v>
      </c>
      <c r="H321" s="2" t="s">
        <v>159</v>
      </c>
      <c r="I321" s="2" t="str">
        <f>IFERROR(__xludf.DUMMYFUNCTION("GOOGLETRANSLATE(C321,""fr"",""en"")"),"Nothing said for the price, communication, care for the claim.
This is why I have been at Direct Insurance for different vehicles and for many years.
For view that hard")</f>
        <v>Nothing said for the price, communication, care for the claim.
This is why I have been at Direct Insurance for different vehicles and for many years.
For view that hard</v>
      </c>
    </row>
    <row r="322" ht="15.75" customHeight="1">
      <c r="A322" s="2">
        <v>5.0</v>
      </c>
      <c r="B322" s="2" t="s">
        <v>1017</v>
      </c>
      <c r="C322" s="2" t="s">
        <v>1018</v>
      </c>
      <c r="D322" s="2" t="s">
        <v>38</v>
      </c>
      <c r="E322" s="2" t="s">
        <v>39</v>
      </c>
      <c r="F322" s="2" t="s">
        <v>15</v>
      </c>
      <c r="G322" s="2" t="s">
        <v>1019</v>
      </c>
      <c r="H322" s="2" t="s">
        <v>159</v>
      </c>
      <c r="I322" s="2" t="str">
        <f>IFERROR(__xludf.DUMMYFUNCTION("GOOGLETRANSLATE(C322,""fr"",""en"")"),"Perfect very good price for scooter insurance, fast and very effective registration, it was done in less than 20 min, thank you very much")</f>
        <v>Perfect very good price for scooter insurance, fast and very effective registration, it was done in less than 20 min, thank you very much</v>
      </c>
    </row>
    <row r="323" ht="15.75" customHeight="1">
      <c r="A323" s="2">
        <v>2.0</v>
      </c>
      <c r="B323" s="2" t="s">
        <v>1020</v>
      </c>
      <c r="C323" s="2" t="s">
        <v>1021</v>
      </c>
      <c r="D323" s="2" t="s">
        <v>44</v>
      </c>
      <c r="E323" s="2" t="s">
        <v>27</v>
      </c>
      <c r="F323" s="2" t="s">
        <v>15</v>
      </c>
      <c r="G323" s="2" t="s">
        <v>49</v>
      </c>
      <c r="H323" s="2" t="s">
        <v>35</v>
      </c>
      <c r="I323" s="2" t="str">
        <f>IFERROR(__xludf.DUMMYFUNCTION("GOOGLETRANSLATE(C323,""fr"",""en"")"),"Disaster of April 18 is still no contacts of direct insurance
very very very online insurance
Not sure of continuing in you despite 2 car contracts
Fortunately, these are only material and non -human degats because I think I will have a lot of concerns"&amp;" to make me with the little contact of this insurance
As long as we pay everything is fine")</f>
        <v>Disaster of April 18 is still no contacts of direct insurance
very very very online insurance
Not sure of continuing in you despite 2 car contracts
Fortunately, these are only material and non -human degats because I think I will have a lot of concerns to make me with the little contact of this insurance
As long as we pay everything is fine</v>
      </c>
    </row>
    <row r="324" ht="15.75" customHeight="1">
      <c r="A324" s="2">
        <v>5.0</v>
      </c>
      <c r="B324" s="2" t="s">
        <v>1022</v>
      </c>
      <c r="C324" s="2" t="s">
        <v>1023</v>
      </c>
      <c r="D324" s="2" t="s">
        <v>26</v>
      </c>
      <c r="E324" s="2" t="s">
        <v>27</v>
      </c>
      <c r="F324" s="2" t="s">
        <v>15</v>
      </c>
      <c r="G324" s="2" t="s">
        <v>1024</v>
      </c>
      <c r="H324" s="2" t="s">
        <v>159</v>
      </c>
      <c r="I324" s="2" t="str">
        <f>IFERROR(__xludf.DUMMYFUNCTION("GOOGLETRANSLATE(C324,""fr"",""en"")"),"No problem,
Thanking you for your responsiveness and the clauses of my contract which suits me perfectly,
I would recommend your company
Cordially")</f>
        <v>No problem,
Thanking you for your responsiveness and the clauses of my contract which suits me perfectly,
I would recommend your company
Cordially</v>
      </c>
    </row>
    <row r="325" ht="15.75" customHeight="1">
      <c r="A325" s="2">
        <v>5.0</v>
      </c>
      <c r="B325" s="2" t="s">
        <v>1025</v>
      </c>
      <c r="C325" s="2" t="s">
        <v>1026</v>
      </c>
      <c r="D325" s="2" t="s">
        <v>44</v>
      </c>
      <c r="E325" s="2" t="s">
        <v>27</v>
      </c>
      <c r="F325" s="2" t="s">
        <v>15</v>
      </c>
      <c r="G325" s="2" t="s">
        <v>470</v>
      </c>
      <c r="H325" s="2" t="s">
        <v>57</v>
      </c>
      <c r="I325" s="2" t="str">
        <f>IFERROR(__xludf.DUMMYFUNCTION("GOOGLETRANSLATE(C325,""fr"",""en"")"),"Good service easy to use, Rest e having how to have contact with this insurance. Correct and very well done price. Too bad there is no discount if I put my three vehicles with you")</f>
        <v>Good service easy to use, Rest e having how to have contact with this insurance. Correct and very well done price. Too bad there is no discount if I put my three vehicles with you</v>
      </c>
    </row>
    <row r="326" ht="15.75" customHeight="1">
      <c r="A326" s="2">
        <v>3.0</v>
      </c>
      <c r="B326" s="2" t="s">
        <v>1027</v>
      </c>
      <c r="C326" s="2" t="s">
        <v>1028</v>
      </c>
      <c r="D326" s="2" t="s">
        <v>26</v>
      </c>
      <c r="E326" s="2" t="s">
        <v>27</v>
      </c>
      <c r="F326" s="2" t="s">
        <v>15</v>
      </c>
      <c r="G326" s="2" t="s">
        <v>1029</v>
      </c>
      <c r="H326" s="2" t="s">
        <v>46</v>
      </c>
      <c r="I326" s="2" t="str">
        <f>IFERROR(__xludf.DUMMYFUNCTION("GOOGLETRANSLATE(C326,""fr"",""en"")"),"RAS, everything went well at the signing of my car insurance contract even if the name on the contract is not the right compared to what has been said on the phone")</f>
        <v>RAS, everything went well at the signing of my car insurance contract even if the name on the contract is not the right compared to what has been said on the phone</v>
      </c>
    </row>
    <row r="327" ht="15.75" customHeight="1">
      <c r="A327" s="2">
        <v>1.0</v>
      </c>
      <c r="B327" s="2" t="s">
        <v>1030</v>
      </c>
      <c r="C327" s="2" t="s">
        <v>1031</v>
      </c>
      <c r="D327" s="2" t="s">
        <v>204</v>
      </c>
      <c r="E327" s="2" t="s">
        <v>460</v>
      </c>
      <c r="F327" s="2" t="s">
        <v>15</v>
      </c>
      <c r="G327" s="2" t="s">
        <v>1032</v>
      </c>
      <c r="H327" s="2" t="s">
        <v>529</v>
      </c>
      <c r="I327" s="2" t="str">
        <f>IFERROR(__xludf.DUMMYFUNCTION("GOOGLETRANSLATE(C327,""fr"",""en"")"),"My father subscribed to a Tellus life insurance from Allianz in 1992. He has just died. My mother who is a beneficiary received capital. They removed 1,500 euros in social security contributions from this capital. This is theft. We called the Brest insure"&amp;"r where he subscribed to this life insurance, they tell us to call Strasbourg. Strasbourg does not answer us either. We had 4 interlocutors, no one to find out about these 1500 euros in withdrawal. TO FLEE")</f>
        <v>My father subscribed to a Tellus life insurance from Allianz in 1992. He has just died. My mother who is a beneficiary received capital. They removed 1,500 euros in social security contributions from this capital. This is theft. We called the Brest insurer where he subscribed to this life insurance, they tell us to call Strasbourg. Strasbourg does not answer us either. We had 4 interlocutors, no one to find out about these 1500 euros in withdrawal. TO FLEE</v>
      </c>
    </row>
    <row r="328" ht="15.75" customHeight="1">
      <c r="A328" s="2">
        <v>1.0</v>
      </c>
      <c r="B328" s="2" t="s">
        <v>1033</v>
      </c>
      <c r="C328" s="2" t="s">
        <v>1034</v>
      </c>
      <c r="D328" s="2" t="s">
        <v>165</v>
      </c>
      <c r="E328" s="2" t="s">
        <v>27</v>
      </c>
      <c r="F328" s="2" t="s">
        <v>15</v>
      </c>
      <c r="G328" s="2" t="s">
        <v>1035</v>
      </c>
      <c r="H328" s="2" t="s">
        <v>230</v>
      </c>
      <c r="I328" s="2" t="str">
        <f>IFERROR(__xludf.DUMMYFUNCTION("GOOGLETRANSLATE(C328,""fr"",""en"")"),"Hello, Insurance to flee !!! incompetent expert
My spouse being the victim of a collision by the rear, (non -responsible accident) at the stop,
The saying of the saying expert have been: your vehicle has scratches on the side of the rear bumper therefor"&amp;"e non -compensable, because being disaster! However, the tailgate presents 0 disaster damage (photo at the press.)")</f>
        <v>Hello, Insurance to flee !!! incompetent expert
My spouse being the victim of a collision by the rear, (non -responsible accident) at the stop,
The saying of the saying expert have been: your vehicle has scratches on the side of the rear bumper therefore non -compensable, because being disaster! However, the tailgate presents 0 disaster damage (photo at the press.)</v>
      </c>
    </row>
    <row r="329" ht="15.75" customHeight="1">
      <c r="A329" s="2">
        <v>2.0</v>
      </c>
      <c r="B329" s="2" t="s">
        <v>1036</v>
      </c>
      <c r="C329" s="2" t="s">
        <v>1037</v>
      </c>
      <c r="D329" s="2" t="s">
        <v>455</v>
      </c>
      <c r="E329" s="2" t="s">
        <v>76</v>
      </c>
      <c r="F329" s="2" t="s">
        <v>15</v>
      </c>
      <c r="G329" s="2" t="s">
        <v>1038</v>
      </c>
      <c r="H329" s="2" t="s">
        <v>159</v>
      </c>
      <c r="I329" s="2" t="str">
        <f>IFERROR(__xludf.DUMMYFUNCTION("GOOGLETRANSLATE(C329,""fr"",""en"")"),"Humanis is responsible for my Arrco-Agirc supplementary retirement.
In June 2021, I discovered that Humanis withdrew from its website any postal address which would allow you to send by post a letter and supporting documents allowing an insured like me"&amp;" to request the rectification of errors in his career statement . Worse, when I contacted Humanis by phone, the interlocutor refused to communicate to me the slightest postal address on the pretext that Humanis refuses to process my request for rectificat"&amp;"ion before 2022.
An insurer who refuses to communicate to his insured his postal address is unacceptable. Postal letters recommended with AR having significant legal value in insurance, it is essential to be able to write to an official public address "&amp;"of its insurer.
For the insured who would like to write to Humanis about their complementary retirement and encounter the same difficulties, I share here two postal addresses that I ended up finding:
- Humanis headquarters: 21 rue Laffitte, 75009 Pari"&amp;"s
- A new address since October 1, 2020 whose title makes it believe that it is only intended for retirees and not to active employees:
Beneficiaries Agirc-Arrco TSA reception center 36661 92621 Gennevilliers Cedex
For your information, for seven yea"&amp;"rs, Humanis has repeated the same error on my career statement each year by registering no annual points when I have the right to a significant number of points each year. For seven years, Humanis has demanded that I have addressed supporting documents ev"&amp;"ery year to rectify their own mistakes in my career statement. Hence the need for a postal address ...
I ask that Humanis clearly indicates on its website a postal address and communicates by telephone a postal address for active employees who want to "&amp;"have their career read.")</f>
        <v>Humanis is responsible for my Arrco-Agirc supplementary retirement.
In June 2021, I discovered that Humanis withdrew from its website any postal address which would allow you to send by post a letter and supporting documents allowing an insured like me to request the rectification of errors in his career statement . Worse, when I contacted Humanis by phone, the interlocutor refused to communicate to me the slightest postal address on the pretext that Humanis refuses to process my request for rectification before 2022.
An insurer who refuses to communicate to his insured his postal address is unacceptable. Postal letters recommended with AR having significant legal value in insurance, it is essential to be able to write to an official public address of its insurer.
For the insured who would like to write to Humanis about their complementary retirement and encounter the same difficulties, I share here two postal addresses that I ended up finding:
- Humanis headquarters: 21 rue Laffitte, 75009 Paris
- A new address since October 1, 2020 whose title makes it believe that it is only intended for retirees and not to active employees:
Beneficiaries Agirc-Arrco TSA reception center 36661 92621 Gennevilliers Cedex
For your information, for seven years, Humanis has repeated the same error on my career statement each year by registering no annual points when I have the right to a significant number of points each year. For seven years, Humanis has demanded that I have addressed supporting documents every year to rectify their own mistakes in my career statement. Hence the need for a postal address ...
I ask that Humanis clearly indicates on its website a postal address and communicates by telephone a postal address for active employees who want to have their career read.</v>
      </c>
    </row>
    <row r="330" ht="15.75" customHeight="1">
      <c r="A330" s="2">
        <v>3.0</v>
      </c>
      <c r="B330" s="2" t="s">
        <v>1039</v>
      </c>
      <c r="C330" s="2" t="s">
        <v>1040</v>
      </c>
      <c r="D330" s="2" t="s">
        <v>141</v>
      </c>
      <c r="E330" s="2" t="s">
        <v>27</v>
      </c>
      <c r="F330" s="2" t="s">
        <v>15</v>
      </c>
      <c r="G330" s="2" t="s">
        <v>274</v>
      </c>
      <c r="H330" s="2" t="s">
        <v>41</v>
      </c>
      <c r="I330" s="2" t="str">
        <f>IFERROR(__xludf.DUMMYFUNCTION("GOOGLETRANSLATE(C330,""fr"",""en"")"),"The prices were competitive but increasing every year
New customers have more competitive prices than me loyal customer for over 15 years
I leave more than 2000 per year I will put them in competition")</f>
        <v>The prices were competitive but increasing every year
New customers have more competitive prices than me loyal customer for over 15 years
I leave more than 2000 per year I will put them in competition</v>
      </c>
    </row>
    <row r="331" ht="15.75" customHeight="1">
      <c r="A331" s="2">
        <v>5.0</v>
      </c>
      <c r="B331" s="2" t="s">
        <v>1041</v>
      </c>
      <c r="C331" s="2" t="s">
        <v>1042</v>
      </c>
      <c r="D331" s="2" t="s">
        <v>44</v>
      </c>
      <c r="E331" s="2" t="s">
        <v>27</v>
      </c>
      <c r="F331" s="2" t="s">
        <v>15</v>
      </c>
      <c r="G331" s="2" t="s">
        <v>748</v>
      </c>
      <c r="H331" s="2" t="s">
        <v>159</v>
      </c>
      <c r="I331" s="2" t="str">
        <f>IFERROR(__xludf.DUMMYFUNCTION("GOOGLETRANSLATE(C331,""fr"",""en"")"),"Hello, I wanted to thank the gentleman who advised me during our telephone interview, he put himself within my reach and he gave advice according to my needs thank you for all your advice")</f>
        <v>Hello, I wanted to thank the gentleman who advised me during our telephone interview, he put himself within my reach and he gave advice according to my needs thank you for all your advice</v>
      </c>
    </row>
    <row r="332" ht="15.75" customHeight="1">
      <c r="A332" s="2">
        <v>5.0</v>
      </c>
      <c r="B332" s="2" t="s">
        <v>1043</v>
      </c>
      <c r="C332" s="2" t="s">
        <v>1044</v>
      </c>
      <c r="D332" s="2" t="s">
        <v>26</v>
      </c>
      <c r="E332" s="2" t="s">
        <v>27</v>
      </c>
      <c r="F332" s="2" t="s">
        <v>15</v>
      </c>
      <c r="G332" s="2" t="s">
        <v>490</v>
      </c>
      <c r="H332" s="2" t="s">
        <v>343</v>
      </c>
      <c r="I332" s="2" t="str">
        <f>IFERROR(__xludf.DUMMYFUNCTION("GOOGLETRANSLATE(C332,""fr"",""en"")"),"Very happy to have insured my car at the Olivier. An accident quickly forgotten. A bumper and a windshield supported immediately by the insurer.")</f>
        <v>Very happy to have insured my car at the Olivier. An accident quickly forgotten. A bumper and a windshield supported immediately by the insurer.</v>
      </c>
    </row>
    <row r="333" ht="15.75" customHeight="1">
      <c r="A333" s="2">
        <v>4.0</v>
      </c>
      <c r="B333" s="2" t="s">
        <v>1045</v>
      </c>
      <c r="C333" s="2" t="s">
        <v>1046</v>
      </c>
      <c r="D333" s="2" t="s">
        <v>38</v>
      </c>
      <c r="E333" s="2" t="s">
        <v>39</v>
      </c>
      <c r="F333" s="2" t="s">
        <v>15</v>
      </c>
      <c r="G333" s="2" t="s">
        <v>1047</v>
      </c>
      <c r="H333" s="2" t="s">
        <v>23</v>
      </c>
      <c r="I333" s="2" t="str">
        <f>IFERROR(__xludf.DUMMYFUNCTION("GOOGLETRANSLATE(C333,""fr"",""en"")"),"I am satisfied with the quality and the ease of ensuring without having to move thank you very much you have to be very productive to do cala by internet")</f>
        <v>I am satisfied with the quality and the ease of ensuring without having to move thank you very much you have to be very productive to do cala by internet</v>
      </c>
    </row>
    <row r="334" ht="15.75" customHeight="1">
      <c r="A334" s="2">
        <v>1.0</v>
      </c>
      <c r="B334" s="2" t="s">
        <v>1048</v>
      </c>
      <c r="C334" s="2" t="s">
        <v>1049</v>
      </c>
      <c r="D334" s="2" t="s">
        <v>129</v>
      </c>
      <c r="E334" s="2" t="s">
        <v>27</v>
      </c>
      <c r="F334" s="2" t="s">
        <v>15</v>
      </c>
      <c r="G334" s="2" t="s">
        <v>1050</v>
      </c>
      <c r="H334" s="2" t="s">
        <v>372</v>
      </c>
      <c r="I334" s="2" t="str">
        <f>IFERROR(__xludf.DUMMYFUNCTION("GOOGLETRANSLATE(C334,""fr"",""en"")"),"Hello, Customer N 244222 I wait after my green card as well as the sticker that I still have not received how I do knowing that my old insurance was terminated on 03/24/2017 I am waiting for a response from you thank you .")</f>
        <v>Hello, Customer N 244222 I wait after my green card as well as the sticker that I still have not received how I do knowing that my old insurance was terminated on 03/24/2017 I am waiting for a response from you thank you .</v>
      </c>
    </row>
    <row r="335" ht="15.75" customHeight="1">
      <c r="A335" s="2">
        <v>4.0</v>
      </c>
      <c r="B335" s="2" t="s">
        <v>1051</v>
      </c>
      <c r="C335" s="2" t="s">
        <v>1052</v>
      </c>
      <c r="D335" s="2" t="s">
        <v>44</v>
      </c>
      <c r="E335" s="2" t="s">
        <v>27</v>
      </c>
      <c r="F335" s="2" t="s">
        <v>15</v>
      </c>
      <c r="G335" s="2" t="s">
        <v>81</v>
      </c>
      <c r="H335" s="2" t="s">
        <v>29</v>
      </c>
      <c r="I335" s="2" t="str">
        <f>IFERROR(__xludf.DUMMYFUNCTION("GOOGLETRANSLATE(C335,""fr"",""en"")"),"Simple and quick, to see so effective in the event of a problem. I just subscribed so I cannot yet establish a real opinion. The price is very competitive so to see if the service is responsive and competent.")</f>
        <v>Simple and quick, to see so effective in the event of a problem. I just subscribed so I cannot yet establish a real opinion. The price is very competitive so to see if the service is responsive and competent.</v>
      </c>
    </row>
    <row r="336" ht="15.75" customHeight="1">
      <c r="A336" s="2">
        <v>2.0</v>
      </c>
      <c r="B336" s="2" t="s">
        <v>1053</v>
      </c>
      <c r="C336" s="2" t="s">
        <v>1054</v>
      </c>
      <c r="D336" s="2" t="s">
        <v>109</v>
      </c>
      <c r="E336" s="2" t="s">
        <v>33</v>
      </c>
      <c r="F336" s="2" t="s">
        <v>15</v>
      </c>
      <c r="G336" s="2" t="s">
        <v>1055</v>
      </c>
      <c r="H336" s="2" t="s">
        <v>72</v>
      </c>
      <c r="I336" s="2" t="str">
        <f>IFERROR(__xludf.DUMMYFUNCTION("GOOGLETRANSLATE(C336,""fr"",""en"")"),"Hello I have been waiting for 2 months for broken glazing with refusal of care")</f>
        <v>Hello I have been waiting for 2 months for broken glazing with refusal of care</v>
      </c>
    </row>
    <row r="337" ht="15.75" customHeight="1">
      <c r="A337" s="2">
        <v>1.0</v>
      </c>
      <c r="B337" s="2" t="s">
        <v>1056</v>
      </c>
      <c r="C337" s="2" t="s">
        <v>1057</v>
      </c>
      <c r="D337" s="2" t="s">
        <v>148</v>
      </c>
      <c r="E337" s="2" t="s">
        <v>33</v>
      </c>
      <c r="F337" s="2" t="s">
        <v>15</v>
      </c>
      <c r="G337" s="2" t="s">
        <v>122</v>
      </c>
      <c r="H337" s="2" t="s">
        <v>57</v>
      </c>
      <c r="I337" s="2" t="str">
        <f>IFERROR(__xludf.DUMMYFUNCTION("GOOGLETRANSLATE(C337,""fr"",""en"")"),"I have been insured in Maif for a conquant. At the beginning: impeccable. Speed, responsiveness, kindness etc ...
For 2 or 3 years: negligence, I have-fourty, lack of kindness ... they take themselves for Berkshire Hathaway.
I have a file at home that h"&amp;"as been dragging for several months: infiltration of cellars in the basement of my building in, Paris caused considerable damage in my apartment as well as a situation of dangerous unsanitary conditions. After having mandated an ""expert"" of which I have"&amp;" never been able to have the detailed relationship, and which I therefore suspect of having rock his work, the conclusion is without appeal: the damage is more than two years old, so I am not insured. No legal assistance. It is up to me to initiate a proc"&amp;"edure with the trustee and to initiate a lawyer if my approach with the trustee - for non -compliance with sanitation work periods - does not succeed. Comment from the person on the phone: ""And I assure you that it may cost you dear"" yes, that's why for"&amp;" 50 years I have been paying insurance ... for this kind of comment as coarse as it is inside. So I inquire to put an end to all my contracts (and there are !! ...) and find a less forgetful company of its obligations.")</f>
        <v>I have been insured in Maif for a conquant. At the beginning: impeccable. Speed, responsiveness, kindness etc ...
For 2 or 3 years: negligence, I have-fourty, lack of kindness ... they take themselves for Berkshire Hathaway.
I have a file at home that has been dragging for several months: infiltration of cellars in the basement of my building in, Paris caused considerable damage in my apartment as well as a situation of dangerous unsanitary conditions. After having mandated an "expert" of which I have never been able to have the detailed relationship, and which I therefore suspect of having rock his work, the conclusion is without appeal: the damage is more than two years old, so I am not insured. No legal assistance. It is up to me to initiate a procedure with the trustee and to initiate a lawyer if my approach with the trustee - for non -compliance with sanitation work periods - does not succeed. Comment from the person on the phone: "And I assure you that it may cost you dear" yes, that's why for 50 years I have been paying insurance ... for this kind of comment as coarse as it is inside. So I inquire to put an end to all my contracts (and there are !! ...) and find a less forgetful company of its obligations.</v>
      </c>
    </row>
    <row r="338" ht="15.75" customHeight="1">
      <c r="A338" s="2">
        <v>1.0</v>
      </c>
      <c r="B338" s="2" t="s">
        <v>1058</v>
      </c>
      <c r="C338" s="2" t="s">
        <v>1059</v>
      </c>
      <c r="D338" s="2" t="s">
        <v>70</v>
      </c>
      <c r="E338" s="2" t="s">
        <v>14</v>
      </c>
      <c r="F338" s="2" t="s">
        <v>15</v>
      </c>
      <c r="G338" s="2" t="s">
        <v>960</v>
      </c>
      <c r="H338" s="2" t="s">
        <v>184</v>
      </c>
      <c r="I338" s="2" t="str">
        <f>IFERROR(__xludf.DUMMYFUNCTION("GOOGLETRANSLATE(C338,""fr"",""en"")"),"A mutual that does not keep its commitments.
I am beneficiary of the complementary solidarity health at home and previously Mutual Health Customer.
I moved and therefore sent the information on August 02 (vía my member account) so that they update t"&amp;"eletransmission (Noémie connection) to be able to continue to benefit from my third-party payment right and not have to advance the fresh.
Today we are on August 26, nothing was done despite the reminders, I am told to wait another 15 days.
Except tha"&amp;"t I pay in time but I cannot benefit from this.
Knowing that Friday August 28 in the morning I have very important examinations at the ophthalmologist, this is an appointment that I made 7 months ago, and that I could not honored because I still have t"&amp;"o wait indefinitely For him to process my file, and I cannot advance more than 200 € consultation and exams when I pay a mutual which is supposed to take care of me ...
It is a scandal this mutual, the corona with a good back ...
(I contacted them b"&amp;"y phone, email, facebook and space guaranteed without success)")</f>
        <v>A mutual that does not keep its commitments.
I am beneficiary of the complementary solidarity health at home and previously Mutual Health Customer.
I moved and therefore sent the information on August 02 (vía my member account) so that they update teletransmission (Noémie connection) to be able to continue to benefit from my third-party payment right and not have to advance the fresh.
Today we are on August 26, nothing was done despite the reminders, I am told to wait another 15 days.
Except that I pay in time but I cannot benefit from this.
Knowing that Friday August 28 in the morning I have very important examinations at the ophthalmologist, this is an appointment that I made 7 months ago, and that I could not honored because I still have to wait indefinitely For him to process my file, and I cannot advance more than 200 € consultation and exams when I pay a mutual which is supposed to take care of me ...
It is a scandal this mutual, the corona with a good back ...
(I contacted them by phone, email, facebook and space guaranteed without success)</v>
      </c>
    </row>
    <row r="339" ht="15.75" customHeight="1">
      <c r="A339" s="2">
        <v>2.0</v>
      </c>
      <c r="B339" s="2" t="s">
        <v>1060</v>
      </c>
      <c r="C339" s="2" t="s">
        <v>1061</v>
      </c>
      <c r="D339" s="2" t="s">
        <v>75</v>
      </c>
      <c r="E339" s="2" t="s">
        <v>76</v>
      </c>
      <c r="F339" s="2" t="s">
        <v>15</v>
      </c>
      <c r="G339" s="2" t="s">
        <v>1062</v>
      </c>
      <c r="H339" s="2" t="s">
        <v>57</v>
      </c>
      <c r="I339" s="2" t="str">
        <f>IFERROR(__xludf.DUMMYFUNCTION("GOOGLETRANSLATE(C339,""fr"",""en"")"),"Flee the CNP quickly because if you have a health problem it will be the obstacle to the fighter to have nothing in the end. She will do everything to give you nothing he will always miss a paper")</f>
        <v>Flee the CNP quickly because if you have a health problem it will be the obstacle to the fighter to have nothing in the end. She will do everything to give you nothing he will always miss a paper</v>
      </c>
    </row>
    <row r="340" ht="15.75" customHeight="1">
      <c r="A340" s="2">
        <v>1.0</v>
      </c>
      <c r="B340" s="2" t="s">
        <v>1063</v>
      </c>
      <c r="C340" s="2" t="s">
        <v>1064</v>
      </c>
      <c r="D340" s="2" t="s">
        <v>204</v>
      </c>
      <c r="E340" s="2" t="s">
        <v>27</v>
      </c>
      <c r="F340" s="2" t="s">
        <v>15</v>
      </c>
      <c r="G340" s="2" t="s">
        <v>1065</v>
      </c>
      <c r="H340" s="2" t="s">
        <v>452</v>
      </c>
      <c r="I340" s="2" t="str">
        <f>IFERROR(__xludf.DUMMYFUNCTION("GOOGLETRANSLATE(C340,""fr"",""en"")"),"I subscribed to Auto Insurance at Allianz on December 7, 2017, they withdraw from your bank account 196 euros for your one -month provisional insurance period, you terminate your former insurance. Make you wait several weeks and after several customer ser"&amp;"vice calls because without news of your contract, explains that this will not be possible to insure you, but goods on the entire paid amount will not be reimbursed ...
Well played Allianz !!!
My opinion: Flee this insurance.")</f>
        <v>I subscribed to Auto Insurance at Allianz on December 7, 2017, they withdraw from your bank account 196 euros for your one -month provisional insurance period, you terminate your former insurance. Make you wait several weeks and after several customer service calls because without news of your contract, explains that this will not be possible to insure you, but goods on the entire paid amount will not be reimbursed ...
Well played Allianz !!!
My opinion: Flee this insurance.</v>
      </c>
    </row>
    <row r="341" ht="15.75" customHeight="1">
      <c r="A341" s="2">
        <v>2.0</v>
      </c>
      <c r="B341" s="2" t="s">
        <v>1066</v>
      </c>
      <c r="C341" s="2" t="s">
        <v>1067</v>
      </c>
      <c r="D341" s="2" t="s">
        <v>117</v>
      </c>
      <c r="E341" s="2" t="s">
        <v>33</v>
      </c>
      <c r="F341" s="2" t="s">
        <v>15</v>
      </c>
      <c r="G341" s="2" t="s">
        <v>1068</v>
      </c>
      <c r="H341" s="2" t="s">
        <v>35</v>
      </c>
      <c r="I341" s="2" t="str">
        <f>IFERROR(__xludf.DUMMYFUNCTION("GOOGLETRANSLATE(C341,""fr"",""en"")"),"Impossible to declare a claim !!!! Neither by email nor by the application and worse on the phone, an advisor answers and cuts without. Only information saying that there is too many call and that must be tried. I've been trying on all platforms for 4 day"&amp;"s. 1 year, not 2 at Pacifica !!!!!")</f>
        <v>Impossible to declare a claim !!!! Neither by email nor by the application and worse on the phone, an advisor answers and cuts without. Only information saying that there is too many call and that must be tried. I've been trying on all platforms for 4 days. 1 year, not 2 at Pacifica !!!!!</v>
      </c>
    </row>
    <row r="342" ht="15.75" customHeight="1">
      <c r="A342" s="2">
        <v>4.0</v>
      </c>
      <c r="B342" s="2" t="s">
        <v>1069</v>
      </c>
      <c r="C342" s="2" t="s">
        <v>1070</v>
      </c>
      <c r="D342" s="2" t="s">
        <v>38</v>
      </c>
      <c r="E342" s="2" t="s">
        <v>39</v>
      </c>
      <c r="F342" s="2" t="s">
        <v>15</v>
      </c>
      <c r="G342" s="2" t="s">
        <v>1071</v>
      </c>
      <c r="H342" s="2" t="s">
        <v>606</v>
      </c>
      <c r="I342" s="2" t="str">
        <f>IFERROR(__xludf.DUMMYFUNCTION("GOOGLETRANSLATE(C342,""fr"",""en"")"),"best insurance with good quality of services, at all times .. with expert advisers")</f>
        <v>best insurance with good quality of services, at all times .. with expert advisers</v>
      </c>
    </row>
    <row r="343" ht="15.75" customHeight="1">
      <c r="A343" s="2">
        <v>5.0</v>
      </c>
      <c r="B343" s="2" t="s">
        <v>1072</v>
      </c>
      <c r="C343" s="2" t="s">
        <v>1073</v>
      </c>
      <c r="D343" s="2" t="s">
        <v>105</v>
      </c>
      <c r="E343" s="2" t="s">
        <v>39</v>
      </c>
      <c r="F343" s="2" t="s">
        <v>15</v>
      </c>
      <c r="G343" s="2" t="s">
        <v>1074</v>
      </c>
      <c r="H343" s="2" t="s">
        <v>23</v>
      </c>
      <c r="I343" s="2" t="str">
        <f>IFERROR(__xludf.DUMMYFUNCTION("GOOGLETRANSLATE(C343,""fr"",""en"")"),"Super good graceful and friendly telephone contact
Super good graceful and friendly telephone contact
Super good graceful and friendly telephone contact
")</f>
        <v>Super good graceful and friendly telephone contact
Super good graceful and friendly telephone contact
Super good graceful and friendly telephone contact
</v>
      </c>
    </row>
    <row r="344" ht="15.75" customHeight="1">
      <c r="A344" s="2">
        <v>5.0</v>
      </c>
      <c r="B344" s="2" t="s">
        <v>1075</v>
      </c>
      <c r="C344" s="2" t="s">
        <v>1076</v>
      </c>
      <c r="D344" s="2" t="s">
        <v>105</v>
      </c>
      <c r="E344" s="2" t="s">
        <v>39</v>
      </c>
      <c r="F344" s="2" t="s">
        <v>15</v>
      </c>
      <c r="G344" s="2" t="s">
        <v>297</v>
      </c>
      <c r="H344" s="2" t="s">
        <v>46</v>
      </c>
      <c r="I344" s="2" t="str">
        <f>IFERROR(__xludf.DUMMYFUNCTION("GOOGLETRANSLATE(C344,""fr"",""en"")"),"Transaction in progress for me I must contact
Easy well directed correct rates I recommend it is insurer around me car or motorcycle depending on the case")</f>
        <v>Transaction in progress for me I must contact
Easy well directed correct rates I recommend it is insurer around me car or motorcycle depending on the case</v>
      </c>
    </row>
    <row r="345" ht="15.75" customHeight="1">
      <c r="A345" s="2">
        <v>5.0</v>
      </c>
      <c r="B345" s="2" t="s">
        <v>1077</v>
      </c>
      <c r="C345" s="2" t="s">
        <v>1078</v>
      </c>
      <c r="D345" s="2" t="s">
        <v>1079</v>
      </c>
      <c r="E345" s="2" t="s">
        <v>561</v>
      </c>
      <c r="F345" s="2" t="s">
        <v>15</v>
      </c>
      <c r="G345" s="2" t="s">
        <v>1080</v>
      </c>
      <c r="H345" s="2" t="s">
        <v>119</v>
      </c>
      <c r="I345" s="2" t="str">
        <f>IFERROR(__xludf.DUMMYFUNCTION("GOOGLETRANSLATE(C345,""fr"",""en"")"),"Good mutual, reimbursements are made quickly. Frankly I recommend this insurance for animals. Their application is top")</f>
        <v>Good mutual, reimbursements are made quickly. Frankly I recommend this insurance for animals. Their application is top</v>
      </c>
    </row>
    <row r="346" ht="15.75" customHeight="1">
      <c r="A346" s="2">
        <v>5.0</v>
      </c>
      <c r="B346" s="2" t="s">
        <v>1081</v>
      </c>
      <c r="C346" s="2" t="s">
        <v>1082</v>
      </c>
      <c r="D346" s="2" t="s">
        <v>1083</v>
      </c>
      <c r="E346" s="2" t="s">
        <v>76</v>
      </c>
      <c r="F346" s="2" t="s">
        <v>15</v>
      </c>
      <c r="G346" s="2" t="s">
        <v>1084</v>
      </c>
      <c r="H346" s="2" t="s">
        <v>301</v>
      </c>
      <c r="I346" s="2" t="str">
        <f>IFERROR(__xludf.DUMMYFUNCTION("GOOGLETRANSLATE(C346,""fr"",""en"")"),"Prices and reimbursements are among the best on the market of what I have studied.")</f>
        <v>Prices and reimbursements are among the best on the market of what I have studied.</v>
      </c>
    </row>
    <row r="347" ht="15.75" customHeight="1">
      <c r="A347" s="2">
        <v>2.0</v>
      </c>
      <c r="B347" s="2" t="s">
        <v>1085</v>
      </c>
      <c r="C347" s="2" t="s">
        <v>1086</v>
      </c>
      <c r="D347" s="2" t="s">
        <v>105</v>
      </c>
      <c r="E347" s="2" t="s">
        <v>39</v>
      </c>
      <c r="F347" s="2" t="s">
        <v>15</v>
      </c>
      <c r="G347" s="2" t="s">
        <v>1087</v>
      </c>
      <c r="H347" s="2" t="s">
        <v>29</v>
      </c>
      <c r="I347" s="2" t="str">
        <f>IFERROR(__xludf.DUMMYFUNCTION("GOOGLETRANSLATE(C347,""fr"",""en"")"),"I would have pretended to be registered by phone. It is a hassle next time I would go mins to shout next to my home in an agency thank you")</f>
        <v>I would have pretended to be registered by phone. It is a hassle next time I would go mins to shout next to my home in an agency thank you</v>
      </c>
    </row>
    <row r="348" ht="15.75" customHeight="1">
      <c r="A348" s="2">
        <v>4.0</v>
      </c>
      <c r="B348" s="2" t="s">
        <v>1088</v>
      </c>
      <c r="C348" s="2" t="s">
        <v>1089</v>
      </c>
      <c r="D348" s="2" t="s">
        <v>55</v>
      </c>
      <c r="E348" s="2" t="s">
        <v>14</v>
      </c>
      <c r="F348" s="2" t="s">
        <v>15</v>
      </c>
      <c r="G348" s="2" t="s">
        <v>1090</v>
      </c>
      <c r="H348" s="2" t="s">
        <v>278</v>
      </c>
      <c r="I348" s="2" t="str">
        <f>IFERROR(__xludf.DUMMYFUNCTION("GOOGLETRANSLATE(C348,""fr"",""en"")"),"Not easy to obtain a communication such as, but once it is established with advisor Hugo my problem was very well treated. Good contact. Cordially")</f>
        <v>Not easy to obtain a communication such as, but once it is established with advisor Hugo my problem was very well treated. Good contact. Cordially</v>
      </c>
    </row>
    <row r="349" ht="15.75" customHeight="1">
      <c r="A349" s="2">
        <v>2.0</v>
      </c>
      <c r="B349" s="2" t="s">
        <v>1091</v>
      </c>
      <c r="C349" s="2" t="s">
        <v>1092</v>
      </c>
      <c r="D349" s="2" t="s">
        <v>32</v>
      </c>
      <c r="E349" s="2" t="s">
        <v>27</v>
      </c>
      <c r="F349" s="2" t="s">
        <v>15</v>
      </c>
      <c r="G349" s="2" t="s">
        <v>1093</v>
      </c>
      <c r="H349" s="2" t="s">
        <v>922</v>
      </c>
      <c r="I349" s="2" t="str">
        <f>IFERROR(__xludf.DUMMYFUNCTION("GOOGLETRANSLATE(C349,""fr"",""en"")"),"over 20 years customer with 50% bonus and no claim no commercial gestures")</f>
        <v>over 20 years customer with 50% bonus and no claim no commercial gestures</v>
      </c>
    </row>
    <row r="350" ht="15.75" customHeight="1">
      <c r="A350" s="2">
        <v>3.0</v>
      </c>
      <c r="B350" s="2" t="s">
        <v>1094</v>
      </c>
      <c r="C350" s="2" t="s">
        <v>1095</v>
      </c>
      <c r="D350" s="2" t="s">
        <v>44</v>
      </c>
      <c r="E350" s="2" t="s">
        <v>27</v>
      </c>
      <c r="F350" s="2" t="s">
        <v>15</v>
      </c>
      <c r="G350" s="2" t="s">
        <v>1096</v>
      </c>
      <c r="H350" s="2" t="s">
        <v>111</v>
      </c>
      <c r="I350" s="2" t="str">
        <f>IFERROR(__xludf.DUMMYFUNCTION("GOOGLETRANSLATE(C350,""fr"",""en"")"),"Hello, I do not understand why the price differs between one quote by phone and when I make the quote alone on the internet.
I would like to be recalled in order to reconsider my prices")</f>
        <v>Hello, I do not understand why the price differs between one quote by phone and when I make the quote alone on the internet.
I would like to be recalled in order to reconsider my prices</v>
      </c>
    </row>
    <row r="351" ht="15.75" customHeight="1">
      <c r="A351" s="2">
        <v>1.0</v>
      </c>
      <c r="B351" s="2" t="s">
        <v>1097</v>
      </c>
      <c r="C351" s="2" t="s">
        <v>1098</v>
      </c>
      <c r="D351" s="2" t="s">
        <v>1083</v>
      </c>
      <c r="E351" s="2" t="s">
        <v>76</v>
      </c>
      <c r="F351" s="2" t="s">
        <v>15</v>
      </c>
      <c r="G351" s="2" t="s">
        <v>1099</v>
      </c>
      <c r="H351" s="2" t="s">
        <v>1100</v>
      </c>
      <c r="I351" s="2" t="str">
        <f>IFERROR(__xludf.DUMMYFUNCTION("GOOGLETRANSLATE(C351,""fr"",""en"")"),"Go your way
No respect for the customer !!
Manipulation of the medical questionnaire so as not to take care of proof of the definition (ex not care for ligamentoplasty because it was replied not on joint damage
Because spraining in 2017 excluding defin"&amp;"ition does not speak of ligaments !!!!
In addition unscrupulous requests to sign an amendment dated 1 year or cancel the contract
A doubt that he reimburses the year of subscription !!!
Result being a Liberal nurse discovered Eborme since no re -entry "&amp;"of money for 2 months !!!
")</f>
        <v>Go your way
No respect for the customer !!
Manipulation of the medical questionnaire so as not to take care of proof of the definition (ex not care for ligamentoplasty because it was replied not on joint damage
Because spraining in 2017 excluding definition does not speak of ligaments !!!!
In addition unscrupulous requests to sign an amendment dated 1 year or cancel the contract
A doubt that he reimburses the year of subscription !!!
Result being a Liberal nurse discovered Eborme since no re -entry of money for 2 months !!!
</v>
      </c>
    </row>
    <row r="352" ht="15.75" customHeight="1">
      <c r="A352" s="2">
        <v>3.0</v>
      </c>
      <c r="B352" s="2" t="s">
        <v>1101</v>
      </c>
      <c r="C352" s="2" t="s">
        <v>1102</v>
      </c>
      <c r="D352" s="2" t="s">
        <v>60</v>
      </c>
      <c r="E352" s="2" t="s">
        <v>14</v>
      </c>
      <c r="F352" s="2" t="s">
        <v>15</v>
      </c>
      <c r="G352" s="2" t="s">
        <v>1103</v>
      </c>
      <c r="H352" s="2" t="s">
        <v>554</v>
      </c>
      <c r="I352" s="2" t="str">
        <f>IFERROR(__xludf.DUMMYFUNCTION("GOOGLETRANSLATE(C352,""fr"",""en"")"),"Desperate after several calls for a problem of termination with my old mutual and today I came across the wonderful ""Nadège"" which found me and helped me in my approach a solution in less than 15 minutes, again thank you Miss Nadège, I think That I ador"&amp;"e you, lol, I no longer believed it.")</f>
        <v>Desperate after several calls for a problem of termination with my old mutual and today I came across the wonderful "Nadège" which found me and helped me in my approach a solution in less than 15 minutes, again thank you Miss Nadège, I think That I adore you, lol, I no longer believed it.</v>
      </c>
    </row>
    <row r="353" ht="15.75" customHeight="1">
      <c r="A353" s="2">
        <v>2.0</v>
      </c>
      <c r="B353" s="2" t="s">
        <v>1104</v>
      </c>
      <c r="C353" s="2" t="s">
        <v>1105</v>
      </c>
      <c r="D353" s="2" t="s">
        <v>612</v>
      </c>
      <c r="E353" s="2" t="s">
        <v>561</v>
      </c>
      <c r="F353" s="2" t="s">
        <v>15</v>
      </c>
      <c r="G353" s="2" t="s">
        <v>1106</v>
      </c>
      <c r="H353" s="2" t="s">
        <v>206</v>
      </c>
      <c r="I353" s="2" t="str">
        <f>IFERROR(__xludf.DUMMYFUNCTION("GOOGLETRANSLATE(C353,""fr"",""en"")"),"Warm telephone reception, very friendly but slow advisers in reimbursements and very excessive annual increase. It is therefore imperative to think of renegotiating your membership rate every calendar year!")</f>
        <v>Warm telephone reception, very friendly but slow advisers in reimbursements and very excessive annual increase. It is therefore imperative to think of renegotiating your membership rate every calendar year!</v>
      </c>
    </row>
    <row r="354" ht="15.75" customHeight="1">
      <c r="A354" s="2">
        <v>1.0</v>
      </c>
      <c r="B354" s="2" t="s">
        <v>1107</v>
      </c>
      <c r="C354" s="2" t="s">
        <v>1108</v>
      </c>
      <c r="D354" s="2" t="s">
        <v>13</v>
      </c>
      <c r="E354" s="2" t="s">
        <v>14</v>
      </c>
      <c r="F354" s="2" t="s">
        <v>15</v>
      </c>
      <c r="G354" s="2" t="s">
        <v>1109</v>
      </c>
      <c r="H354" s="2" t="s">
        <v>214</v>
      </c>
      <c r="I354" s="2" t="str">
        <f>IFERROR(__xludf.DUMMYFUNCTION("GOOGLETRANSLATE(C354,""fr"",""en"")"),"It is very difficult to terminate the MGEN: I had to write not only several times with recommended letters but to make an approach in agency and demand that I am reclaimed by the termination certificate - I had to Demand it with force and crash! Two month"&amp;"s after receiving a confirmation from my termination, I have the very unpleasant surprise to see that I was unduly taken from the amount of my subscription in January and that I will be in February, on the grounds that put an end to a tax takes time ! I t"&amp;"herefore recommend that future terminators be very vigilant and hang on ...")</f>
        <v>It is very difficult to terminate the MGEN: I had to write not only several times with recommended letters but to make an approach in agency and demand that I am reclaimed by the termination certificate - I had to Demand it with force and crash! Two months after receiving a confirmation from my termination, I have the very unpleasant surprise to see that I was unduly taken from the amount of my subscription in January and that I will be in February, on the grounds that put an end to a tax takes time ! I therefore recommend that future terminators be very vigilant and hang on ...</v>
      </c>
    </row>
    <row r="355" ht="15.75" customHeight="1">
      <c r="A355" s="2">
        <v>1.0</v>
      </c>
      <c r="B355" s="2" t="s">
        <v>1110</v>
      </c>
      <c r="C355" s="2" t="s">
        <v>1111</v>
      </c>
      <c r="D355" s="2" t="s">
        <v>117</v>
      </c>
      <c r="E355" s="2" t="s">
        <v>33</v>
      </c>
      <c r="F355" s="2" t="s">
        <v>15</v>
      </c>
      <c r="G355" s="2" t="s">
        <v>599</v>
      </c>
      <c r="H355" s="2" t="s">
        <v>278</v>
      </c>
      <c r="I355" s="2" t="str">
        <f>IFERROR(__xludf.DUMMYFUNCTION("GOOGLETRANSLATE(C355,""fr"",""en"")"),"We recognize the quality of his insurer during a disaster. My grandmother suffered a hail loss in June 2019 and to date her roof has still not been repaired. First of all, the expert took several months to validate a quote because he only wanted to redo a"&amp;" section in 2, I had to threaten him to take a lawyer so that he validates the complete repair of the roof. To this were added the deadlines of craftsmen on the region (disaster classified as a natural disaster), the 1st confinement, the COVID crisis and "&amp;"to date the work has not yet been carried out. Following too long a delay in the care of the claim, the damage was worsened and an additional quote of around € 2,000 increases the invoice. The latter is not taken into account. In the end, in the village o"&amp;"f my grandmother when all the other victims saw their roof redone after 3 months, after a year and a half, my big one has its roof still in the state, worse, still more degraded. The expert does not wish to validate this additional quote. A shame. I am as"&amp;"hamed of having marketed these contracts for 10 years. Pierre Montagnon (Reference of the claim: 4878630908).")</f>
        <v>We recognize the quality of his insurer during a disaster. My grandmother suffered a hail loss in June 2019 and to date her roof has still not been repaired. First of all, the expert took several months to validate a quote because he only wanted to redo a section in 2, I had to threaten him to take a lawyer so that he validates the complete repair of the roof. To this were added the deadlines of craftsmen on the region (disaster classified as a natural disaster), the 1st confinement, the COVID crisis and to date the work has not yet been carried out. Following too long a delay in the care of the claim, the damage was worsened and an additional quote of around € 2,000 increases the invoice. The latter is not taken into account. In the end, in the village of my grandmother when all the other victims saw their roof redone after 3 months, after a year and a half, my big one has its roof still in the state, worse, still more degraded. The expert does not wish to validate this additional quote. A shame. I am ashamed of having marketed these contracts for 10 years. Pierre Montagnon (Reference of the claim: 4878630908).</v>
      </c>
    </row>
    <row r="356" ht="15.75" customHeight="1">
      <c r="A356" s="2">
        <v>5.0</v>
      </c>
      <c r="B356" s="2" t="s">
        <v>1112</v>
      </c>
      <c r="C356" s="2" t="s">
        <v>1113</v>
      </c>
      <c r="D356" s="2" t="s">
        <v>26</v>
      </c>
      <c r="E356" s="2" t="s">
        <v>27</v>
      </c>
      <c r="F356" s="2" t="s">
        <v>15</v>
      </c>
      <c r="G356" s="2" t="s">
        <v>1114</v>
      </c>
      <c r="H356" s="2" t="s">
        <v>159</v>
      </c>
      <c r="I356" s="2" t="str">
        <f>IFERROR(__xludf.DUMMYFUNCTION("GOOGLETRANSLATE(C356,""fr"",""en"")"),"Very good price compared to the market.
The procedures are fast and effective. The electronic signature of the contract is a real plus.
I highly recommend the olive tree.")</f>
        <v>Very good price compared to the market.
The procedures are fast and effective. The electronic signature of the contract is a real plus.
I highly recommend the olive tree.</v>
      </c>
    </row>
    <row r="357" ht="15.75" customHeight="1">
      <c r="A357" s="2">
        <v>5.0</v>
      </c>
      <c r="B357" s="2" t="s">
        <v>1115</v>
      </c>
      <c r="C357" s="2" t="s">
        <v>1116</v>
      </c>
      <c r="D357" s="2" t="s">
        <v>60</v>
      </c>
      <c r="E357" s="2" t="s">
        <v>14</v>
      </c>
      <c r="F357" s="2" t="s">
        <v>15</v>
      </c>
      <c r="G357" s="2" t="s">
        <v>1117</v>
      </c>
      <c r="H357" s="2" t="s">
        <v>583</v>
      </c>
      <c r="I357" s="2" t="str">
        <f>IFERROR(__xludf.DUMMYFUNCTION("GOOGLETRANSLATE(C357,""fr"",""en"")"),"Thank you Lamia")</f>
        <v>Thank you Lamia</v>
      </c>
    </row>
    <row r="358" ht="15.75" customHeight="1">
      <c r="A358" s="2">
        <v>1.0</v>
      </c>
      <c r="B358" s="2" t="s">
        <v>1118</v>
      </c>
      <c r="C358" s="2" t="s">
        <v>1119</v>
      </c>
      <c r="D358" s="2" t="s">
        <v>44</v>
      </c>
      <c r="E358" s="2" t="s">
        <v>27</v>
      </c>
      <c r="F358" s="2" t="s">
        <v>15</v>
      </c>
      <c r="G358" s="2" t="s">
        <v>126</v>
      </c>
      <c r="H358" s="2" t="s">
        <v>57</v>
      </c>
      <c r="I358" s="2" t="str">
        <f>IFERROR(__xludf.DUMMYFUNCTION("GOOGLETRANSLATE(C358,""fr"",""en"")"),"Extremely expensive price compared to competition and in view of the seniority of my contract. Competing quotes are half cheaper.
The mediocre online customer area, we need to reconnect permanently, few services ... and too oriented towards customer rete"&amp;"ntion, not to their satisfaction.")</f>
        <v>Extremely expensive price compared to competition and in view of the seniority of my contract. Competing quotes are half cheaper.
The mediocre online customer area, we need to reconnect permanently, few services ... and too oriented towards customer retention, not to their satisfaction.</v>
      </c>
    </row>
    <row r="359" ht="15.75" customHeight="1">
      <c r="A359" s="2">
        <v>2.0</v>
      </c>
      <c r="B359" s="2" t="s">
        <v>1120</v>
      </c>
      <c r="C359" s="2" t="s">
        <v>1121</v>
      </c>
      <c r="D359" s="2" t="s">
        <v>100</v>
      </c>
      <c r="E359" s="2" t="s">
        <v>14</v>
      </c>
      <c r="F359" s="2" t="s">
        <v>15</v>
      </c>
      <c r="G359" s="2" t="s">
        <v>832</v>
      </c>
      <c r="H359" s="2" t="s">
        <v>29</v>
      </c>
      <c r="I359" s="2" t="str">
        <f>IFERROR(__xludf.DUMMYFUNCTION("GOOGLETRANSLATE(C359,""fr"",""en"")"),"To flee!! A counselor my lies so that I subscribe to AG2R telling me that I did not have to present on my acupuncturist invoice an Adeli number, but once at home he asks me for this famous adeli number ... I made several complaints without return. It took"&amp;" 6 months to set up remote transmission, it only works by post, so very long deadlines. After a dental quote stipulating a reimbursement in its entirety, I have still received nothing after 3 weeks except a letter asking me my count transmitted by health "&amp;"insurance. You call them, they say you quickly remember in 15 days maximum ...
Welcome to the Middle Ages with this insurance or in the worst of your nightmares. I ended up sending a letter to the mediator. I can't wait to finish with them at the end of "&amp;"the year, I have care that I canceled and postponed next year to be sure of being reimbursed.")</f>
        <v>To flee!! A counselor my lies so that I subscribe to AG2R telling me that I did not have to present on my acupuncturist invoice an Adeli number, but once at home he asks me for this famous adeli number ... I made several complaints without return. It took 6 months to set up remote transmission, it only works by post, so very long deadlines. After a dental quote stipulating a reimbursement in its entirety, I have still received nothing after 3 weeks except a letter asking me my count transmitted by health insurance. You call them, they say you quickly remember in 15 days maximum ...
Welcome to the Middle Ages with this insurance or in the worst of your nightmares. I ended up sending a letter to the mediator. I can't wait to finish with them at the end of the year, I have care that I canceled and postponed next year to be sure of being reimbursed.</v>
      </c>
    </row>
    <row r="360" ht="15.75" customHeight="1">
      <c r="A360" s="2">
        <v>5.0</v>
      </c>
      <c r="B360" s="2" t="s">
        <v>1122</v>
      </c>
      <c r="C360" s="2" t="s">
        <v>1123</v>
      </c>
      <c r="D360" s="2" t="s">
        <v>44</v>
      </c>
      <c r="E360" s="2" t="s">
        <v>27</v>
      </c>
      <c r="F360" s="2" t="s">
        <v>15</v>
      </c>
      <c r="G360" s="2" t="s">
        <v>1124</v>
      </c>
      <c r="H360" s="2" t="s">
        <v>111</v>
      </c>
      <c r="I360" s="2" t="str">
        <f>IFERROR(__xludf.DUMMYFUNCTION("GOOGLETRANSLATE(C360,""fr"",""en"")"),"I am satisfied with the services, prices and advice from the people who answer us on the phone. I hope it will continue like that thank you")</f>
        <v>I am satisfied with the services, prices and advice from the people who answer us on the phone. I hope it will continue like that thank you</v>
      </c>
    </row>
    <row r="361" ht="15.75" customHeight="1">
      <c r="A361" s="2">
        <v>4.0</v>
      </c>
      <c r="B361" s="2" t="s">
        <v>1125</v>
      </c>
      <c r="C361" s="2" t="s">
        <v>1126</v>
      </c>
      <c r="D361" s="2" t="s">
        <v>26</v>
      </c>
      <c r="E361" s="2" t="s">
        <v>27</v>
      </c>
      <c r="F361" s="2" t="s">
        <v>15</v>
      </c>
      <c r="G361" s="2" t="s">
        <v>1127</v>
      </c>
      <c r="H361" s="2" t="s">
        <v>41</v>
      </c>
      <c r="I361" s="2" t="str">
        <f>IFERROR(__xludf.DUMMYFUNCTION("GOOGLETRANSLATE(C361,""fr"",""en"")"),"Correct price, simple and practical online service.
Hoping not to have a claim, but that is when we judge the quality of an insurer.")</f>
        <v>Correct price, simple and practical online service.
Hoping not to have a claim, but that is when we judge the quality of an insurer.</v>
      </c>
    </row>
    <row r="362" ht="15.75" customHeight="1">
      <c r="A362" s="2">
        <v>1.0</v>
      </c>
      <c r="B362" s="2" t="s">
        <v>1128</v>
      </c>
      <c r="C362" s="2" t="s">
        <v>1129</v>
      </c>
      <c r="D362" s="2" t="s">
        <v>455</v>
      </c>
      <c r="E362" s="2" t="s">
        <v>76</v>
      </c>
      <c r="F362" s="2" t="s">
        <v>15</v>
      </c>
      <c r="G362" s="2" t="s">
        <v>201</v>
      </c>
      <c r="H362" s="2" t="s">
        <v>57</v>
      </c>
      <c r="I362" s="2" t="str">
        <f>IFERROR(__xludf.DUMMYFUNCTION("GOOGLETRANSLATE(C362,""fr"",""en"")"),"Catastrophic customer service Impossible to have simple answers. Payment of payment services, just demented almost 3 months late.
I am desperate and don't know what to do to have what only a response was.
For a group of this size, it is incompetence a"&amp;"t most at the level of the rarely seen !!!")</f>
        <v>Catastrophic customer service Impossible to have simple answers. Payment of payment services, just demented almost 3 months late.
I am desperate and don't know what to do to have what only a response was.
For a group of this size, it is incompetence at most at the level of the rarely seen !!!</v>
      </c>
    </row>
    <row r="363" ht="15.75" customHeight="1">
      <c r="A363" s="2">
        <v>1.0</v>
      </c>
      <c r="B363" s="2" t="s">
        <v>1130</v>
      </c>
      <c r="C363" s="2" t="s">
        <v>1131</v>
      </c>
      <c r="D363" s="2" t="s">
        <v>60</v>
      </c>
      <c r="E363" s="2" t="s">
        <v>14</v>
      </c>
      <c r="F363" s="2" t="s">
        <v>15</v>
      </c>
      <c r="G363" s="2" t="s">
        <v>1132</v>
      </c>
      <c r="H363" s="2" t="s">
        <v>278</v>
      </c>
      <c r="I363" s="2" t="str">
        <f>IFERROR(__xludf.DUMMYFUNCTION("GOOGLETRANSLATE(C363,""fr"",""en"")"),"Hello, I leave this mutual for the following reasons
When you phone, the answer is always your file is underway, you have to wait at least 15 days to have an answer, you wait and nothing.
You send emails, whether on the Mutuelle site or your personal em"&amp;"ail, wait for the answers to sit, because they never come.
I contacted them because I had to have cataracts operated on both eyes, I had 400 euros of exceeding fees per eye, I called, I was answered, that there had no worries because I was insured for ov"&amp;"erruns, since September, I have been fighting to have this refund, no answers to my emails, I sent recommended letters with acknowledgment of receipt, no answers, if an email Asking me for my secure count, knowing of course that you have this counting two"&amp;" months after your operation, I sent them, still no refund, nor responses, so at the end of December, I go, by my insurer the maaf, I am better insured and cheaper
Yesterday I discussed with my optician, he told me that all the adherent to this mutual co"&amp;"ncerned, even they have the same problems, difficulties to have them in such and to have their refund, so if you can, leave")</f>
        <v>Hello, I leave this mutual for the following reasons
When you phone, the answer is always your file is underway, you have to wait at least 15 days to have an answer, you wait and nothing.
You send emails, whether on the Mutuelle site or your personal email, wait for the answers to sit, because they never come.
I contacted them because I had to have cataracts operated on both eyes, I had 400 euros of exceeding fees per eye, I called, I was answered, that there had no worries because I was insured for overruns, since September, I have been fighting to have this refund, no answers to my emails, I sent recommended letters with acknowledgment of receipt, no answers, if an email Asking me for my secure count, knowing of course that you have this counting two months after your operation, I sent them, still no refund, nor responses, so at the end of December, I go, by my insurer the maaf, I am better insured and cheaper
Yesterday I discussed with my optician, he told me that all the adherent to this mutual concerned, even they have the same problems, difficulties to have them in such and to have their refund, so if you can, leave</v>
      </c>
    </row>
    <row r="364" ht="15.75" customHeight="1">
      <c r="A364" s="2">
        <v>1.0</v>
      </c>
      <c r="B364" s="2" t="s">
        <v>1133</v>
      </c>
      <c r="C364" s="2" t="s">
        <v>1134</v>
      </c>
      <c r="D364" s="2" t="s">
        <v>237</v>
      </c>
      <c r="E364" s="2" t="s">
        <v>14</v>
      </c>
      <c r="F364" s="2" t="s">
        <v>15</v>
      </c>
      <c r="G364" s="2" t="s">
        <v>1135</v>
      </c>
      <c r="H364" s="2" t="s">
        <v>159</v>
      </c>
      <c r="I364" s="2" t="str">
        <f>IFERROR(__xludf.DUMMYFUNCTION("GOOGLETRANSLATE(C364,""fr"",""en"")"),"Really the worst mutual of all time. Quote requested on 04/04 and still no response to date despite 4 reminders.
The advisor allows himself in more than that to hang on to the nose.
To flee ...")</f>
        <v>Really the worst mutual of all time. Quote requested on 04/04 and still no response to date despite 4 reminders.
The advisor allows himself in more than that to hang on to the nose.
To flee ...</v>
      </c>
    </row>
    <row r="365" ht="15.75" customHeight="1">
      <c r="A365" s="2">
        <v>3.0</v>
      </c>
      <c r="B365" s="2" t="s">
        <v>1136</v>
      </c>
      <c r="C365" s="2" t="s">
        <v>1137</v>
      </c>
      <c r="D365" s="2" t="s">
        <v>44</v>
      </c>
      <c r="E365" s="2" t="s">
        <v>27</v>
      </c>
      <c r="F365" s="2" t="s">
        <v>15</v>
      </c>
      <c r="G365" s="2" t="s">
        <v>1096</v>
      </c>
      <c r="H365" s="2" t="s">
        <v>111</v>
      </c>
      <c r="I365" s="2" t="str">
        <f>IFERROR(__xludf.DUMMYFUNCTION("GOOGLETRANSLATE(C365,""fr"",""en"")"),"I am satisfied with online services. It remains to be seen in the long term of the contract if it is really good insurance and the change was worth it")</f>
        <v>I am satisfied with online services. It remains to be seen in the long term of the contract if it is really good insurance and the change was worth it</v>
      </c>
    </row>
    <row r="366" ht="15.75" customHeight="1">
      <c r="A366" s="2">
        <v>2.0</v>
      </c>
      <c r="B366" s="2" t="s">
        <v>1138</v>
      </c>
      <c r="C366" s="2" t="s">
        <v>1139</v>
      </c>
      <c r="D366" s="2" t="s">
        <v>44</v>
      </c>
      <c r="E366" s="2" t="s">
        <v>27</v>
      </c>
      <c r="F366" s="2" t="s">
        <v>15</v>
      </c>
      <c r="G366" s="2" t="s">
        <v>1140</v>
      </c>
      <c r="H366" s="2" t="s">
        <v>46</v>
      </c>
      <c r="I366" s="2" t="str">
        <f>IFERROR(__xludf.DUMMYFUNCTION("GOOGLETRANSLATE(C366,""fr"",""en"")"),"I am new customer so no opinion on the satisfaction to be given for the moment.
When the time comes, I will give my opinion in terms of service satisfaction.
Thank you")</f>
        <v>I am new customer so no opinion on the satisfaction to be given for the moment.
When the time comes, I will give my opinion in terms of service satisfaction.
Thank you</v>
      </c>
    </row>
    <row r="367" ht="15.75" customHeight="1">
      <c r="A367" s="2">
        <v>2.0</v>
      </c>
      <c r="B367" s="2" t="s">
        <v>1141</v>
      </c>
      <c r="C367" s="2" t="s">
        <v>1142</v>
      </c>
      <c r="D367" s="2" t="s">
        <v>129</v>
      </c>
      <c r="E367" s="2" t="s">
        <v>27</v>
      </c>
      <c r="F367" s="2" t="s">
        <v>15</v>
      </c>
      <c r="G367" s="2" t="s">
        <v>1143</v>
      </c>
      <c r="H367" s="2" t="s">
        <v>184</v>
      </c>
      <c r="I367" s="2" t="str">
        <f>IFERROR(__xludf.DUMMYFUNCTION("GOOGLETRANSLATE(C367,""fr"",""en"")"),"I was swindled as part of the sale of my car. Being still assured all risks, with a complaint for theft, qualified by a police officer. I have just been told that my file would be classified without follow -up, because my ""all risks"" contract did not in"&amp;"clude the scam in the guarantee for flight. Note that no option is also offered when subscribing to a contract for any risk ... 13,000 euros flew.")</f>
        <v>I was swindled as part of the sale of my car. Being still assured all risks, with a complaint for theft, qualified by a police officer. I have just been told that my file would be classified without follow -up, because my "all risks" contract did not include the scam in the guarantee for flight. Note that no option is also offered when subscribing to a contract for any risk ... 13,000 euros flew.</v>
      </c>
    </row>
    <row r="368" ht="15.75" customHeight="1">
      <c r="A368" s="2">
        <v>4.0</v>
      </c>
      <c r="B368" s="2" t="s">
        <v>1144</v>
      </c>
      <c r="C368" s="2" t="s">
        <v>1145</v>
      </c>
      <c r="D368" s="2" t="s">
        <v>26</v>
      </c>
      <c r="E368" s="2" t="s">
        <v>27</v>
      </c>
      <c r="F368" s="2" t="s">
        <v>15</v>
      </c>
      <c r="G368" s="2" t="s">
        <v>1146</v>
      </c>
      <c r="H368" s="2" t="s">
        <v>159</v>
      </c>
      <c r="I368" s="2" t="str">
        <f>IFERROR(__xludf.DUMMYFUNCTION("GOOGLETRANSLATE(C368,""fr"",""en"")"),"For the moment I find the price correct, I am waiting to see the rest on listening, supporting and availability of customer service and also in the support of the customer.")</f>
        <v>For the moment I find the price correct, I am waiting to see the rest on listening, supporting and availability of customer service and also in the support of the customer.</v>
      </c>
    </row>
    <row r="369" ht="15.75" customHeight="1">
      <c r="A369" s="2">
        <v>1.0</v>
      </c>
      <c r="B369" s="2" t="s">
        <v>1147</v>
      </c>
      <c r="C369" s="2" t="s">
        <v>1148</v>
      </c>
      <c r="D369" s="2" t="s">
        <v>1149</v>
      </c>
      <c r="E369" s="2" t="s">
        <v>21</v>
      </c>
      <c r="F369" s="2" t="s">
        <v>15</v>
      </c>
      <c r="G369" s="2" t="s">
        <v>1150</v>
      </c>
      <c r="H369" s="2" t="s">
        <v>771</v>
      </c>
      <c r="I369" s="2" t="str">
        <f>IFERROR(__xludf.DUMMYFUNCTION("GOOGLETRANSLATE(C369,""fr"",""en"")"),"Do not take this insurance absolutely.
It is when you request insurance, that you can judge it. What I have just followed up on an accident at work, obviously my file cannot have a favorable suite, because in their closes, are excluded approximately 98 %"&amp;" of the cases of accident linked to work. So if you did not have a member torn off or cut at the minimum, they will not take care of anything and again, even the I am sure that they would find a way not to pay.")</f>
        <v>Do not take this insurance absolutely.
It is when you request insurance, that you can judge it. What I have just followed up on an accident at work, obviously my file cannot have a favorable suite, because in their closes, are excluded approximately 98 % of the cases of accident linked to work. So if you did not have a member torn off or cut at the minimum, they will not take care of anything and again, even the I am sure that they would find a way not to pay.</v>
      </c>
    </row>
    <row r="370" ht="15.75" customHeight="1">
      <c r="A370" s="2">
        <v>1.0</v>
      </c>
      <c r="B370" s="2" t="s">
        <v>1151</v>
      </c>
      <c r="C370" s="2" t="s">
        <v>1152</v>
      </c>
      <c r="D370" s="2" t="s">
        <v>148</v>
      </c>
      <c r="E370" s="2" t="s">
        <v>27</v>
      </c>
      <c r="F370" s="2" t="s">
        <v>15</v>
      </c>
      <c r="G370" s="2" t="s">
        <v>679</v>
      </c>
      <c r="H370" s="2" t="s">
        <v>680</v>
      </c>
      <c r="I370" s="2" t="str">
        <f>IFERROR(__xludf.DUMMYFUNCTION("GOOGLETRANSLATE(C370,""fr"",""en"")"),"Hello, I have been insured at Maif for over 30 years and what a sad evolution since! ...
Following a non -responsible VGE accident, my vehicle is taken care of in a Maif approved garage (and I insist on this point). The repair is carried out, the vehicle"&amp;" is recovered. And surprise! Planned parts had not been changed. Even better, reconditioning parts (without homologation) were placed on safety bodies, of course without my agreement, nor that of the expert, all this billed as new parts of the brand, in a"&amp;"ddition to body parts adaptable. Having great doubts about the quality of the services (a strange noise appeared at the location of the shock), I ask for the invoices of the parts that I still cannot have in full. Invoices or BL (delivery note) mention """&amp;"pending available supplier"". Where do these parts come from?
Anyway, everything to put you in confidence after an accident. And I pass the contradictory expertise box because, new surprise, the expert, commissioned by the MAIF and supposed to remain neu"&amp;"tral, has already taken the side of the mechanic, of course.
What happiness! Go to confidence mode with maif !!
These are the repairs to which you are entitled.
The file has been dragging now for over a year. What efficiency!
I did not take over the d"&amp;"riving of this poorly repaired vehicle, because it no longer meets the manufacturer's safety criteria.
")</f>
        <v>Hello, I have been insured at Maif for over 30 years and what a sad evolution since! ...
Following a non -responsible VGE accident, my vehicle is taken care of in a Maif approved garage (and I insist on this point). The repair is carried out, the vehicle is recovered. And surprise! Planned parts had not been changed. Even better, reconditioning parts (without homologation) were placed on safety bodies, of course without my agreement, nor that of the expert, all this billed as new parts of the brand, in addition to body parts adaptable. Having great doubts about the quality of the services (a strange noise appeared at the location of the shock), I ask for the invoices of the parts that I still cannot have in full. Invoices or BL (delivery note) mention "pending available supplier". Where do these parts come from?
Anyway, everything to put you in confidence after an accident. And I pass the contradictory expertise box because, new surprise, the expert, commissioned by the MAIF and supposed to remain neutral, has already taken the side of the mechanic, of course.
What happiness! Go to confidence mode with maif !!
These are the repairs to which you are entitled.
The file has been dragging now for over a year. What efficiency!
I did not take over the driving of this poorly repaired vehicle, because it no longer meets the manufacturer's safety criteria.
</v>
      </c>
    </row>
    <row r="371" ht="15.75" customHeight="1">
      <c r="A371" s="2">
        <v>4.0</v>
      </c>
      <c r="B371" s="2" t="s">
        <v>1153</v>
      </c>
      <c r="C371" s="2" t="s">
        <v>1154</v>
      </c>
      <c r="D371" s="2" t="s">
        <v>32</v>
      </c>
      <c r="E371" s="2" t="s">
        <v>27</v>
      </c>
      <c r="F371" s="2" t="s">
        <v>15</v>
      </c>
      <c r="G371" s="2" t="s">
        <v>192</v>
      </c>
      <c r="H371" s="2" t="s">
        <v>192</v>
      </c>
      <c r="I371" s="2" t="str">
        <f>IFERROR(__xludf.DUMMYFUNCTION("GOOGLETRANSLATE(C371,""fr"",""en"")"),"Good insurance company. Provides proximity to customers. Competitive in general compared to competition")</f>
        <v>Good insurance company. Provides proximity to customers. Competitive in general compared to competition</v>
      </c>
    </row>
    <row r="372" ht="15.75" customHeight="1">
      <c r="A372" s="2">
        <v>5.0</v>
      </c>
      <c r="B372" s="2" t="s">
        <v>1155</v>
      </c>
      <c r="C372" s="2" t="s">
        <v>1156</v>
      </c>
      <c r="D372" s="2" t="s">
        <v>26</v>
      </c>
      <c r="E372" s="2" t="s">
        <v>27</v>
      </c>
      <c r="F372" s="2" t="s">
        <v>15</v>
      </c>
      <c r="G372" s="2" t="s">
        <v>342</v>
      </c>
      <c r="H372" s="2" t="s">
        <v>343</v>
      </c>
      <c r="I372" s="2" t="str">
        <f>IFERROR(__xludf.DUMMYFUNCTION("GOOGLETRANSLATE(C372,""fr"",""en"")"),"They offered me a good price for my first contract as a young driver, they answered quickly when I called them for a question on my contract")</f>
        <v>They offered me a good price for my first contract as a young driver, they answered quickly when I called them for a question on my contract</v>
      </c>
    </row>
    <row r="373" ht="15.75" customHeight="1">
      <c r="A373" s="2">
        <v>1.0</v>
      </c>
      <c r="B373" s="2" t="s">
        <v>1157</v>
      </c>
      <c r="C373" s="2" t="s">
        <v>1158</v>
      </c>
      <c r="D373" s="2" t="s">
        <v>148</v>
      </c>
      <c r="E373" s="2" t="s">
        <v>33</v>
      </c>
      <c r="F373" s="2" t="s">
        <v>15</v>
      </c>
      <c r="G373" s="2" t="s">
        <v>1035</v>
      </c>
      <c r="H373" s="2" t="s">
        <v>230</v>
      </c>
      <c r="I373" s="2" t="str">
        <f>IFERROR(__xludf.DUMMYFUNCTION("GOOGLETRANSLATE(C373,""fr"",""en"")"),"In relation to the MAIF service in the south of France (I am in the Paris region!). I'm dealing with a man who lacks the most elementary politeness. My first contacts not phone were unpleasant. Although it is a water damage from the roof, this partner fee"&amp;"ls guilty, seems to doubt my good faith, quotes that I send it. So I preferred to limit our contacts to an email exchange. Alas, this gentleman returns my emails to me in ""undelivered mail return to sender management@mail.fr).
At first, he didn't want t"&amp;"o take care of my business telling me to do it myself. I replied that the officials did not move. So I insisted.
I was sent an expert who was to assess ""in a meeting"", but he was alone. He told me that he would send me his estimate of damage, but did n"&amp;"ot do it. On the other hand, taking into account my complaints, he sends me a new notice of passage for ""meeting"" expertise as if the first had not taken place contrary to the law which stipulates that if third parties have not been presented, The exper"&amp;"t's conclusions are essential.")</f>
        <v>In relation to the MAIF service in the south of France (I am in the Paris region!). I'm dealing with a man who lacks the most elementary politeness. My first contacts not phone were unpleasant. Although it is a water damage from the roof, this partner feels guilty, seems to doubt my good faith, quotes that I send it. So I preferred to limit our contacts to an email exchange. Alas, this gentleman returns my emails to me in "undelivered mail return to sender management@mail.fr).
At first, he didn't want to take care of my business telling me to do it myself. I replied that the officials did not move. So I insisted.
I was sent an expert who was to assess "in a meeting", but he was alone. He told me that he would send me his estimate of damage, but did not do it. On the other hand, taking into account my complaints, he sends me a new notice of passage for "meeting" expertise as if the first had not taken place contrary to the law which stipulates that if third parties have not been presented, The expert's conclusions are essential.</v>
      </c>
    </row>
    <row r="374" ht="15.75" customHeight="1">
      <c r="A374" s="2">
        <v>3.0</v>
      </c>
      <c r="B374" s="2" t="s">
        <v>1159</v>
      </c>
      <c r="C374" s="2" t="s">
        <v>1160</v>
      </c>
      <c r="D374" s="2" t="s">
        <v>26</v>
      </c>
      <c r="E374" s="2" t="s">
        <v>27</v>
      </c>
      <c r="F374" s="2" t="s">
        <v>15</v>
      </c>
      <c r="G374" s="2" t="s">
        <v>1161</v>
      </c>
      <c r="H374" s="2" t="s">
        <v>46</v>
      </c>
      <c r="I374" s="2" t="str">
        <f>IFERROR(__xludf.DUMMYFUNCTION("GOOGLETRANSLATE(C374,""fr"",""en"")"),"I am satisfied with the service The prices suit me simple and effective I recommend the olive assurance because very polished on the phone even if the prices are a little high")</f>
        <v>I am satisfied with the service The prices suit me simple and effective I recommend the olive assurance because very polished on the phone even if the prices are a little high</v>
      </c>
    </row>
    <row r="375" ht="15.75" customHeight="1">
      <c r="A375" s="2">
        <v>4.0</v>
      </c>
      <c r="B375" s="2" t="s">
        <v>1162</v>
      </c>
      <c r="C375" s="2" t="s">
        <v>1163</v>
      </c>
      <c r="D375" s="2" t="s">
        <v>26</v>
      </c>
      <c r="E375" s="2" t="s">
        <v>27</v>
      </c>
      <c r="F375" s="2" t="s">
        <v>15</v>
      </c>
      <c r="G375" s="2" t="s">
        <v>1164</v>
      </c>
      <c r="H375" s="2" t="s">
        <v>41</v>
      </c>
      <c r="I375" s="2" t="str">
        <f>IFERROR(__xludf.DUMMYFUNCTION("GOOGLETRANSLATE(C375,""fr"",""en"")"),"Correct rate, having compared other insurances, this is the best placed value for money. I will recommend this insurance with my neighbors and friends")</f>
        <v>Correct rate, having compared other insurances, this is the best placed value for money. I will recommend this insurance with my neighbors and friends</v>
      </c>
    </row>
    <row r="376" ht="15.75" customHeight="1">
      <c r="A376" s="2">
        <v>4.0</v>
      </c>
      <c r="B376" s="2" t="s">
        <v>1165</v>
      </c>
      <c r="C376" s="2" t="s">
        <v>1166</v>
      </c>
      <c r="D376" s="2" t="s">
        <v>26</v>
      </c>
      <c r="E376" s="2" t="s">
        <v>27</v>
      </c>
      <c r="F376" s="2" t="s">
        <v>15</v>
      </c>
      <c r="G376" s="2" t="s">
        <v>1167</v>
      </c>
      <c r="H376" s="2" t="s">
        <v>159</v>
      </c>
      <c r="I376" s="2" t="str">
        <f>IFERROR(__xludf.DUMMYFUNCTION("GOOGLETRANSLATE(C376,""fr"",""en"")"),"could not reach someone by phone today
Price of the quote had dropped, so good news!
The site seems easy to access
I hope Emon Customer Space too")</f>
        <v>could not reach someone by phone today
Price of the quote had dropped, so good news!
The site seems easy to access
I hope Emon Customer Space too</v>
      </c>
    </row>
    <row r="377" ht="15.75" customHeight="1">
      <c r="A377" s="2">
        <v>4.0</v>
      </c>
      <c r="B377" s="2" t="s">
        <v>1168</v>
      </c>
      <c r="C377" s="2" t="s">
        <v>1169</v>
      </c>
      <c r="D377" s="2" t="s">
        <v>44</v>
      </c>
      <c r="E377" s="2" t="s">
        <v>27</v>
      </c>
      <c r="F377" s="2" t="s">
        <v>15</v>
      </c>
      <c r="G377" s="2" t="s">
        <v>1170</v>
      </c>
      <c r="H377" s="2" t="s">
        <v>35</v>
      </c>
      <c r="I377" s="2" t="str">
        <f>IFERROR(__xludf.DUMMYFUNCTION("GOOGLETRANSLATE(C377,""fr"",""en"")"),"I am satisfied with the service
The prices are correct
The application is functional and simple
Membership is done very quickly online
To see in time")</f>
        <v>I am satisfied with the service
The prices are correct
The application is functional and simple
Membership is done very quickly online
To see in time</v>
      </c>
    </row>
    <row r="378" ht="15.75" customHeight="1">
      <c r="A378" s="2">
        <v>4.0</v>
      </c>
      <c r="B378" s="2" t="s">
        <v>1171</v>
      </c>
      <c r="C378" s="2" t="s">
        <v>1172</v>
      </c>
      <c r="D378" s="2" t="s">
        <v>44</v>
      </c>
      <c r="E378" s="2" t="s">
        <v>27</v>
      </c>
      <c r="F378" s="2" t="s">
        <v>15</v>
      </c>
      <c r="G378" s="2" t="s">
        <v>1003</v>
      </c>
      <c r="H378" s="2" t="s">
        <v>57</v>
      </c>
      <c r="I378" s="2" t="str">
        <f>IFERROR(__xludf.DUMMYFUNCTION("GOOGLETRANSLATE(C378,""fr"",""en"")"),"I am satisfied with the service the prices suit me
Always satisfied with Direct Assurances
What more can I say, I would have liked to have a discount of the fact that during the year 2020, with the Coronavirus, I just made 2000km?")</f>
        <v>I am satisfied with the service the prices suit me
Always satisfied with Direct Assurances
What more can I say, I would have liked to have a discount of the fact that during the year 2020, with the Coronavirus, I just made 2000km?</v>
      </c>
    </row>
    <row r="379" ht="15.75" customHeight="1">
      <c r="A379" s="2">
        <v>5.0</v>
      </c>
      <c r="B379" s="2" t="s">
        <v>1173</v>
      </c>
      <c r="C379" s="2" t="s">
        <v>1174</v>
      </c>
      <c r="D379" s="2" t="s">
        <v>55</v>
      </c>
      <c r="E379" s="2" t="s">
        <v>14</v>
      </c>
      <c r="F379" s="2" t="s">
        <v>15</v>
      </c>
      <c r="G379" s="2" t="s">
        <v>994</v>
      </c>
      <c r="H379" s="2" t="s">
        <v>571</v>
      </c>
      <c r="I379" s="2" t="str">
        <f>IFERROR(__xludf.DUMMYFUNCTION("GOOGLETRANSLATE(C379,""fr"",""en"")"),"I have been a customer for a while, my sister advisers and I am very happy with it between the very correct prices and love it.
The services are quickly reimbursed ....")</f>
        <v>I have been a customer for a while, my sister advisers and I am very happy with it between the very correct prices and love it.
The services are quickly reimbursed ....</v>
      </c>
    </row>
    <row r="380" ht="15.75" customHeight="1">
      <c r="A380" s="2">
        <v>4.0</v>
      </c>
      <c r="B380" s="2" t="s">
        <v>1175</v>
      </c>
      <c r="C380" s="2" t="s">
        <v>1176</v>
      </c>
      <c r="D380" s="2" t="s">
        <v>540</v>
      </c>
      <c r="E380" s="2" t="s">
        <v>14</v>
      </c>
      <c r="F380" s="2" t="s">
        <v>15</v>
      </c>
      <c r="G380" s="2" t="s">
        <v>1003</v>
      </c>
      <c r="H380" s="2" t="s">
        <v>57</v>
      </c>
      <c r="I380" s="2" t="str">
        <f>IFERROR(__xludf.DUMMYFUNCTION("GOOGLETRANSLATE(C380,""fr"",""en"")"),"I did not make a comparison with the other Insurance Price and Services question.
The people of the MGP that I have had so far are pleasant and very good advice which makes things easier.")</f>
        <v>I did not make a comparison with the other Insurance Price and Services question.
The people of the MGP that I have had so far are pleasant and very good advice which makes things easier.</v>
      </c>
    </row>
    <row r="381" ht="15.75" customHeight="1">
      <c r="A381" s="2">
        <v>4.0</v>
      </c>
      <c r="B381" s="2" t="s">
        <v>1177</v>
      </c>
      <c r="C381" s="2" t="s">
        <v>1178</v>
      </c>
      <c r="D381" s="2" t="s">
        <v>540</v>
      </c>
      <c r="E381" s="2" t="s">
        <v>14</v>
      </c>
      <c r="F381" s="2" t="s">
        <v>15</v>
      </c>
      <c r="G381" s="2" t="s">
        <v>1179</v>
      </c>
      <c r="H381" s="2" t="s">
        <v>1100</v>
      </c>
      <c r="I381" s="2" t="str">
        <f>IFERROR(__xludf.DUMMYFUNCTION("GOOGLETRANSLATE(C381,""fr"",""en"")"),"Very good telephone relationship for various information with my interlocutor on 02/09/2021.
Listening and competent staff.
I recommend")</f>
        <v>Very good telephone relationship for various information with my interlocutor on 02/09/2021.
Listening and competent staff.
I recommend</v>
      </c>
    </row>
    <row r="382" ht="15.75" customHeight="1">
      <c r="A382" s="2">
        <v>5.0</v>
      </c>
      <c r="B382" s="2" t="s">
        <v>1180</v>
      </c>
      <c r="C382" s="2" t="s">
        <v>1181</v>
      </c>
      <c r="D382" s="2" t="s">
        <v>55</v>
      </c>
      <c r="E382" s="2" t="s">
        <v>14</v>
      </c>
      <c r="F382" s="2" t="s">
        <v>15</v>
      </c>
      <c r="G382" s="2" t="s">
        <v>1182</v>
      </c>
      <c r="H382" s="2" t="s">
        <v>159</v>
      </c>
      <c r="I382" s="2" t="str">
        <f>IFERROR(__xludf.DUMMYFUNCTION("GOOGLETRANSLATE(C382,""fr"",""en"")"),"Received by Maria who responded with total satisfaction on the information requested her kindness and also her patience because I am an elderly person and for me the computer is complicated")</f>
        <v>Received by Maria who responded with total satisfaction on the information requested her kindness and also her patience because I am an elderly person and for me the computer is complicated</v>
      </c>
    </row>
    <row r="383" ht="15.75" customHeight="1">
      <c r="A383" s="2">
        <v>4.0</v>
      </c>
      <c r="B383" s="2" t="s">
        <v>1183</v>
      </c>
      <c r="C383" s="2" t="s">
        <v>1184</v>
      </c>
      <c r="D383" s="2" t="s">
        <v>44</v>
      </c>
      <c r="E383" s="2" t="s">
        <v>27</v>
      </c>
      <c r="F383" s="2" t="s">
        <v>15</v>
      </c>
      <c r="G383" s="2" t="s">
        <v>1185</v>
      </c>
      <c r="H383" s="2" t="s">
        <v>46</v>
      </c>
      <c r="I383" s="2" t="str">
        <f>IFERROR(__xludf.DUMMYFUNCTION("GOOGLETRANSLATE(C383,""fr"",""en"")"),"I am satisfied it is a don't I am happy
I would recommend you around me
I will give your site to make the quotes and that it is as satisfied as me")</f>
        <v>I am satisfied it is a don't I am happy
I would recommend you around me
I will give your site to make the quotes and that it is as satisfied as me</v>
      </c>
    </row>
    <row r="384" ht="15.75" customHeight="1">
      <c r="A384" s="2">
        <v>1.0</v>
      </c>
      <c r="B384" s="2" t="s">
        <v>1186</v>
      </c>
      <c r="C384" s="2" t="s">
        <v>1187</v>
      </c>
      <c r="D384" s="2" t="s">
        <v>26</v>
      </c>
      <c r="E384" s="2" t="s">
        <v>27</v>
      </c>
      <c r="F384" s="2" t="s">
        <v>15</v>
      </c>
      <c r="G384" s="2" t="s">
        <v>1188</v>
      </c>
      <c r="H384" s="2" t="s">
        <v>78</v>
      </c>
      <c r="I384" s="2" t="str">
        <f>IFERROR(__xludf.DUMMYFUNCTION("GOOGLETRANSLATE(C384,""fr"",""en"")"),"Whatever the change the insurance will invoice more, even when it is a return to the previous situation which was therefore cheaper. In addition the Insurance Iify any change 15 euros of addendum.")</f>
        <v>Whatever the change the insurance will invoice more, even when it is a return to the previous situation which was therefore cheaper. In addition the Insurance Iify any change 15 euros of addendum.</v>
      </c>
    </row>
    <row r="385" ht="15.75" customHeight="1">
      <c r="A385" s="2">
        <v>3.0</v>
      </c>
      <c r="B385" s="2" t="s">
        <v>1189</v>
      </c>
      <c r="C385" s="2" t="s">
        <v>1190</v>
      </c>
      <c r="D385" s="2" t="s">
        <v>44</v>
      </c>
      <c r="E385" s="2" t="s">
        <v>27</v>
      </c>
      <c r="F385" s="2" t="s">
        <v>15</v>
      </c>
      <c r="G385" s="2" t="s">
        <v>1191</v>
      </c>
      <c r="H385" s="2" t="s">
        <v>111</v>
      </c>
      <c r="I385" s="2" t="str">
        <f>IFERROR(__xludf.DUMMYFUNCTION("GOOGLETRANSLATE(C385,""fr"",""en"")"),"I take insurance because I need a legally one. And certainly not with the idea of ​​having an accident. Hence my search for the best price. Nevertheless when it is a new vehicle like the case, I opt for all risks. After a responsible accident, and with de"&amp;"plorable communication from them, I knew then why I paid inexpensive ...")</f>
        <v>I take insurance because I need a legally one. And certainly not with the idea of ​​having an accident. Hence my search for the best price. Nevertheless when it is a new vehicle like the case, I opt for all risks. After a responsible accident, and with deplorable communication from them, I knew then why I paid inexpensive ...</v>
      </c>
    </row>
    <row r="386" ht="15.75" customHeight="1">
      <c r="A386" s="2">
        <v>4.0</v>
      </c>
      <c r="B386" s="2" t="s">
        <v>1192</v>
      </c>
      <c r="C386" s="2" t="s">
        <v>1193</v>
      </c>
      <c r="D386" s="2" t="s">
        <v>60</v>
      </c>
      <c r="E386" s="2" t="s">
        <v>14</v>
      </c>
      <c r="F386" s="2" t="s">
        <v>15</v>
      </c>
      <c r="G386" s="2" t="s">
        <v>1194</v>
      </c>
      <c r="H386" s="2" t="s">
        <v>62</v>
      </c>
      <c r="I386" s="2" t="str">
        <f>IFERROR(__xludf.DUMMYFUNCTION("GOOGLETRANSLATE(C386,""fr"",""en"")"),"I thank ABO for managing me to transfer a document by internet. Very patient, pleasant to speak I did not find the time long. My note is 10/10.")</f>
        <v>I thank ABO for managing me to transfer a document by internet. Very patient, pleasant to speak I did not find the time long. My note is 10/10.</v>
      </c>
    </row>
    <row r="387" ht="15.75" customHeight="1">
      <c r="A387" s="2">
        <v>5.0</v>
      </c>
      <c r="B387" s="2" t="s">
        <v>1195</v>
      </c>
      <c r="C387" s="2" t="s">
        <v>1196</v>
      </c>
      <c r="D387" s="2" t="s">
        <v>38</v>
      </c>
      <c r="E387" s="2" t="s">
        <v>39</v>
      </c>
      <c r="F387" s="2" t="s">
        <v>15</v>
      </c>
      <c r="G387" s="2" t="s">
        <v>226</v>
      </c>
      <c r="H387" s="2" t="s">
        <v>57</v>
      </c>
      <c r="I387" s="2" t="str">
        <f>IFERROR(__xludf.DUMMYFUNCTION("GOOGLETRANSLATE(C387,""fr"",""en"")"),"I am satisfied with the fast service and the accessible price. I just insured my first vehicle and I plan to ensure my future vehicles here.")</f>
        <v>I am satisfied with the fast service and the accessible price. I just insured my first vehicle and I plan to ensure my future vehicles here.</v>
      </c>
    </row>
    <row r="388" ht="15.75" customHeight="1">
      <c r="A388" s="2">
        <v>4.0</v>
      </c>
      <c r="B388" s="2" t="s">
        <v>1197</v>
      </c>
      <c r="C388" s="2" t="s">
        <v>1198</v>
      </c>
      <c r="D388" s="2" t="s">
        <v>540</v>
      </c>
      <c r="E388" s="2" t="s">
        <v>14</v>
      </c>
      <c r="F388" s="2" t="s">
        <v>15</v>
      </c>
      <c r="G388" s="2" t="s">
        <v>1003</v>
      </c>
      <c r="H388" s="2" t="s">
        <v>57</v>
      </c>
      <c r="I388" s="2" t="str">
        <f>IFERROR(__xludf.DUMMYFUNCTION("GOOGLETRANSLATE(C388,""fr"",""en"")"),"I am satisfied with my mutual. In can easily attach them to the slightest question. Quick refund, sending an email and SMS. I don't think I change so early.")</f>
        <v>I am satisfied with my mutual. In can easily attach them to the slightest question. Quick refund, sending an email and SMS. I don't think I change so early.</v>
      </c>
    </row>
    <row r="389" ht="15.75" customHeight="1">
      <c r="A389" s="2">
        <v>4.0</v>
      </c>
      <c r="B389" s="2" t="s">
        <v>1199</v>
      </c>
      <c r="C389" s="2" t="s">
        <v>1200</v>
      </c>
      <c r="D389" s="2" t="s">
        <v>134</v>
      </c>
      <c r="E389" s="2" t="s">
        <v>27</v>
      </c>
      <c r="F389" s="2" t="s">
        <v>15</v>
      </c>
      <c r="G389" s="2" t="s">
        <v>705</v>
      </c>
      <c r="H389" s="2" t="s">
        <v>46</v>
      </c>
      <c r="I389" s="2" t="str">
        <f>IFERROR(__xludf.DUMMYFUNCTION("GOOGLETRANSLATE(C389,""fr"",""en"")"),"School certificate received in less than 2 minutes on my email address. Super efficient !!!! The site is ergonomic and easy to understand. Nothing to add")</f>
        <v>School certificate received in less than 2 minutes on my email address. Super efficient !!!! The site is ergonomic and easy to understand. Nothing to add</v>
      </c>
    </row>
    <row r="390" ht="15.75" customHeight="1">
      <c r="A390" s="2">
        <v>3.0</v>
      </c>
      <c r="B390" s="2" t="s">
        <v>1201</v>
      </c>
      <c r="C390" s="2" t="s">
        <v>1202</v>
      </c>
      <c r="D390" s="2" t="s">
        <v>100</v>
      </c>
      <c r="E390" s="2" t="s">
        <v>14</v>
      </c>
      <c r="F390" s="2" t="s">
        <v>15</v>
      </c>
      <c r="G390" s="2" t="s">
        <v>1203</v>
      </c>
      <c r="H390" s="2" t="s">
        <v>17</v>
      </c>
      <c r="I390" s="2" t="str">
        <f>IFERROR(__xludf.DUMMYFUNCTION("GOOGLETRANSLATE(C390,""fr"",""en"")"),"For more than 20 years I have been covered by a mutual (via health) fallen into the fold of AG2R. I had chosen a contract of medium coverage and finally I did not change anything during the years I had little fees of Health and my wife either. The pricing"&amp;", for a larger coverage quickly ""in the towers"", led me to a calculation over time and I quickly realized that he was profitable except in the case Exverting repeated fees, to keep the current state. However for glasses, for example, we know how to sett"&amp;"le for basic or infrequent renewals, this is just an example. So AG2R suits me well under these conditions for the moment.")</f>
        <v>For more than 20 years I have been covered by a mutual (via health) fallen into the fold of AG2R. I had chosen a contract of medium coverage and finally I did not change anything during the years I had little fees of Health and my wife either. The pricing, for a larger coverage quickly "in the towers", led me to a calculation over time and I quickly realized that he was profitable except in the case Exverting repeated fees, to keep the current state. However for glasses, for example, we know how to settle for basic or infrequent renewals, this is just an example. So AG2R suits me well under these conditions for the moment.</v>
      </c>
    </row>
    <row r="391" ht="15.75" customHeight="1">
      <c r="A391" s="2">
        <v>4.0</v>
      </c>
      <c r="B391" s="2" t="s">
        <v>1204</v>
      </c>
      <c r="C391" s="2" t="s">
        <v>1205</v>
      </c>
      <c r="D391" s="2" t="s">
        <v>44</v>
      </c>
      <c r="E391" s="2" t="s">
        <v>27</v>
      </c>
      <c r="F391" s="2" t="s">
        <v>15</v>
      </c>
      <c r="G391" s="2" t="s">
        <v>1206</v>
      </c>
      <c r="H391" s="2" t="s">
        <v>41</v>
      </c>
      <c r="I391" s="2" t="str">
        <f>IFERROR(__xludf.DUMMYFUNCTION("GOOGLETRANSLATE(C391,""fr"",""en"")"),"The prices are attractive and the Your Drive service is still to be tested in order to give you a more complete opinion but the system is interesting because they adapt to young drivers")</f>
        <v>The prices are attractive and the Your Drive service is still to be tested in order to give you a more complete opinion but the system is interesting because they adapt to young drivers</v>
      </c>
    </row>
    <row r="392" ht="15.75" customHeight="1">
      <c r="A392" s="2">
        <v>1.0</v>
      </c>
      <c r="B392" s="2" t="s">
        <v>1207</v>
      </c>
      <c r="C392" s="2" t="s">
        <v>1208</v>
      </c>
      <c r="D392" s="2" t="s">
        <v>44</v>
      </c>
      <c r="E392" s="2" t="s">
        <v>27</v>
      </c>
      <c r="F392" s="2" t="s">
        <v>15</v>
      </c>
      <c r="G392" s="2" t="s">
        <v>1209</v>
      </c>
      <c r="H392" s="2" t="s">
        <v>177</v>
      </c>
      <c r="I392" s="2" t="str">
        <f>IFERROR(__xludf.DUMMYFUNCTION("GOOGLETRANSLATE(C392,""fr"",""en"")"),"To flee like the plague 10 interlocutors and 10 different tips ... I am there with my 2 wires for 4 auto contracts and a home .... be careful it's just to have you do a good price then that Increased in arrow ..... I am waiting for my new quotes cheaper t"&amp;"han at home and within 15 days we will forget this name")</f>
        <v>To flee like the plague 10 interlocutors and 10 different tips ... I am there with my 2 wires for 4 auto contracts and a home .... be careful it's just to have you do a good price then that Increased in arrow ..... I am waiting for my new quotes cheaper than at home and within 15 days we will forget this name</v>
      </c>
    </row>
    <row r="393" ht="15.75" customHeight="1">
      <c r="A393" s="2">
        <v>5.0</v>
      </c>
      <c r="B393" s="2" t="s">
        <v>1210</v>
      </c>
      <c r="C393" s="2" t="s">
        <v>1211</v>
      </c>
      <c r="D393" s="2" t="s">
        <v>44</v>
      </c>
      <c r="E393" s="2" t="s">
        <v>27</v>
      </c>
      <c r="F393" s="2" t="s">
        <v>15</v>
      </c>
      <c r="G393" s="2" t="s">
        <v>1164</v>
      </c>
      <c r="H393" s="2" t="s">
        <v>41</v>
      </c>
      <c r="I393" s="2" t="str">
        <f>IFERROR(__xludf.DUMMYFUNCTION("GOOGLETRANSLATE(C393,""fr"",""en"")"),"I am satisfied with your services, fast, effective means of clear payment competitive and attractive price, nice option easy application of access")</f>
        <v>I am satisfied with your services, fast, effective means of clear payment competitive and attractive price, nice option easy application of access</v>
      </c>
    </row>
    <row r="394" ht="15.75" customHeight="1">
      <c r="A394" s="2">
        <v>4.0</v>
      </c>
      <c r="B394" s="2" t="s">
        <v>1212</v>
      </c>
      <c r="C394" s="2" t="s">
        <v>1213</v>
      </c>
      <c r="D394" s="2" t="s">
        <v>26</v>
      </c>
      <c r="E394" s="2" t="s">
        <v>27</v>
      </c>
      <c r="F394" s="2" t="s">
        <v>15</v>
      </c>
      <c r="G394" s="2" t="s">
        <v>1214</v>
      </c>
      <c r="H394" s="2" t="s">
        <v>41</v>
      </c>
      <c r="I394" s="2" t="str">
        <f>IFERROR(__xludf.DUMMYFUNCTION("GOOGLETRANSLATE(C394,""fr"",""en"")"),"Very satisfied with customer service and at the price level which remains reasonable. I will advise other people without worries. Have a contact who understands our needs is important")</f>
        <v>Very satisfied with customer service and at the price level which remains reasonable. I will advise other people without worries. Have a contact who understands our needs is important</v>
      </c>
    </row>
    <row r="395" ht="15.75" customHeight="1">
      <c r="A395" s="2">
        <v>3.0</v>
      </c>
      <c r="B395" s="2" t="s">
        <v>1215</v>
      </c>
      <c r="C395" s="2" t="s">
        <v>1216</v>
      </c>
      <c r="D395" s="2" t="s">
        <v>26</v>
      </c>
      <c r="E395" s="2" t="s">
        <v>27</v>
      </c>
      <c r="F395" s="2" t="s">
        <v>15</v>
      </c>
      <c r="G395" s="2" t="s">
        <v>1217</v>
      </c>
      <c r="H395" s="2" t="s">
        <v>41</v>
      </c>
      <c r="I395" s="2" t="str">
        <f>IFERROR(__xludf.DUMMYFUNCTION("GOOGLETRANSLATE(C395,""fr"",""en"")"),"I am satisfied with speed, and fast and clear telephone contacts.
I assured my new car in just 10 minutes and all the papers was made.")</f>
        <v>I am satisfied with speed, and fast and clear telephone contacts.
I assured my new car in just 10 minutes and all the papers was made.</v>
      </c>
    </row>
    <row r="396" ht="15.75" customHeight="1">
      <c r="A396" s="2">
        <v>4.0</v>
      </c>
      <c r="B396" s="2" t="s">
        <v>1218</v>
      </c>
      <c r="C396" s="2" t="s">
        <v>1219</v>
      </c>
      <c r="D396" s="2" t="s">
        <v>26</v>
      </c>
      <c r="E396" s="2" t="s">
        <v>27</v>
      </c>
      <c r="F396" s="2" t="s">
        <v>15</v>
      </c>
      <c r="G396" s="2" t="s">
        <v>883</v>
      </c>
      <c r="H396" s="2" t="s">
        <v>159</v>
      </c>
      <c r="I396" s="2" t="str">
        <f>IFERROR(__xludf.DUMMYFUNCTION("GOOGLETRANSLATE(C396,""fr"",""en"")"),"I am satisfactory price satisfactory speed to subscribe I recommend this insurance which had already been advised to me by friends of colleagues and knowledge.")</f>
        <v>I am satisfactory price satisfactory speed to subscribe I recommend this insurance which had already been advised to me by friends of colleagues and knowledge.</v>
      </c>
    </row>
    <row r="397" ht="15.75" customHeight="1">
      <c r="A397" s="2">
        <v>5.0</v>
      </c>
      <c r="B397" s="2" t="s">
        <v>1220</v>
      </c>
      <c r="C397" s="2" t="s">
        <v>1221</v>
      </c>
      <c r="D397" s="2" t="s">
        <v>44</v>
      </c>
      <c r="E397" s="2" t="s">
        <v>27</v>
      </c>
      <c r="F397" s="2" t="s">
        <v>15</v>
      </c>
      <c r="G397" s="2" t="s">
        <v>264</v>
      </c>
      <c r="H397" s="2" t="s">
        <v>23</v>
      </c>
      <c r="I397" s="2" t="str">
        <f>IFERROR(__xludf.DUMMYFUNCTION("GOOGLETRANSLATE(C397,""fr"",""en"")"),"I am satisfied with the service, speed, the prices you practice, the advertising you make is founded, I will advise you to other people")</f>
        <v>I am satisfied with the service, speed, the prices you practice, the advertising you make is founded, I will advise you to other people</v>
      </c>
    </row>
    <row r="398" ht="15.75" customHeight="1">
      <c r="A398" s="2">
        <v>1.0</v>
      </c>
      <c r="B398" s="2" t="s">
        <v>1222</v>
      </c>
      <c r="C398" s="2" t="s">
        <v>1223</v>
      </c>
      <c r="D398" s="2" t="s">
        <v>560</v>
      </c>
      <c r="E398" s="2" t="s">
        <v>561</v>
      </c>
      <c r="F398" s="2" t="s">
        <v>15</v>
      </c>
      <c r="G398" s="2" t="s">
        <v>209</v>
      </c>
      <c r="H398" s="2" t="s">
        <v>210</v>
      </c>
      <c r="I398" s="2" t="str">
        <f>IFERROR(__xludf.DUMMYFUNCTION("GOOGLETRANSLATE(C398,""fr"",""en"")"),"Refusal to terminate our cat's contract following his death yesterday: they ask us for a certificate established by the veterinarian, when we buried him without consulting the veterinarian. However, we have declared his death on the national chip repertoi"&amp;"re (ICAD), but obviously this is not enough for them.")</f>
        <v>Refusal to terminate our cat's contract following his death yesterday: they ask us for a certificate established by the veterinarian, when we buried him without consulting the veterinarian. However, we have declared his death on the national chip repertoire (ICAD), but obviously this is not enough for them.</v>
      </c>
    </row>
    <row r="399" ht="15.75" customHeight="1">
      <c r="A399" s="2">
        <v>5.0</v>
      </c>
      <c r="B399" s="2" t="s">
        <v>1224</v>
      </c>
      <c r="C399" s="2" t="s">
        <v>1225</v>
      </c>
      <c r="D399" s="2" t="s">
        <v>26</v>
      </c>
      <c r="E399" s="2" t="s">
        <v>27</v>
      </c>
      <c r="F399" s="2" t="s">
        <v>15</v>
      </c>
      <c r="G399" s="2" t="s">
        <v>152</v>
      </c>
      <c r="H399" s="2" t="s">
        <v>41</v>
      </c>
      <c r="I399" s="2" t="str">
        <f>IFERROR(__xludf.DUMMYFUNCTION("GOOGLETRANSLATE(C399,""fr"",""en"")"),"I find that it is insurance that is the cheapest and the best
I recommend it to all my relatives and friends.
Insurance for young drivers")</f>
        <v>I find that it is insurance that is the cheapest and the best
I recommend it to all my relatives and friends.
Insurance for young drivers</v>
      </c>
    </row>
    <row r="400" ht="15.75" customHeight="1">
      <c r="A400" s="2">
        <v>5.0</v>
      </c>
      <c r="B400" s="2" t="s">
        <v>1226</v>
      </c>
      <c r="C400" s="2" t="s">
        <v>1227</v>
      </c>
      <c r="D400" s="2" t="s">
        <v>109</v>
      </c>
      <c r="E400" s="2" t="s">
        <v>27</v>
      </c>
      <c r="F400" s="2" t="s">
        <v>15</v>
      </c>
      <c r="G400" s="2" t="s">
        <v>1228</v>
      </c>
      <c r="H400" s="2" t="s">
        <v>529</v>
      </c>
      <c r="I400" s="2" t="str">
        <f>IFERROR(__xludf.DUMMYFUNCTION("GOOGLETRANSLATE(C400,""fr"",""en"")"),"Everything is perfect for me! 2 times that I call on the assistance service, everything takes place fluidly, and with very kind contacts.")</f>
        <v>Everything is perfect for me! 2 times that I call on the assistance service, everything takes place fluidly, and with very kind contacts.</v>
      </c>
    </row>
    <row r="401" ht="15.75" customHeight="1">
      <c r="A401" s="2">
        <v>3.0</v>
      </c>
      <c r="B401" s="2" t="s">
        <v>1229</v>
      </c>
      <c r="C401" s="2" t="s">
        <v>1230</v>
      </c>
      <c r="D401" s="2" t="s">
        <v>38</v>
      </c>
      <c r="E401" s="2" t="s">
        <v>39</v>
      </c>
      <c r="F401" s="2" t="s">
        <v>15</v>
      </c>
      <c r="G401" s="2" t="s">
        <v>1182</v>
      </c>
      <c r="H401" s="2" t="s">
        <v>159</v>
      </c>
      <c r="I401" s="2" t="str">
        <f>IFERROR(__xludf.DUMMYFUNCTION("GOOGLETRANSLATE(C401,""fr"",""en"")"),"I am satisfied the price suits me and the services are very good and the staff are very attentive to customers and client I highly recommend")</f>
        <v>I am satisfied the price suits me and the services are very good and the staff are very attentive to customers and client I highly recommend</v>
      </c>
    </row>
    <row r="402" ht="15.75" customHeight="1">
      <c r="A402" s="2">
        <v>1.0</v>
      </c>
      <c r="B402" s="2" t="s">
        <v>1231</v>
      </c>
      <c r="C402" s="2" t="s">
        <v>1232</v>
      </c>
      <c r="D402" s="2" t="s">
        <v>26</v>
      </c>
      <c r="E402" s="2" t="s">
        <v>27</v>
      </c>
      <c r="F402" s="2" t="s">
        <v>15</v>
      </c>
      <c r="G402" s="2" t="s">
        <v>1233</v>
      </c>
      <c r="H402" s="2" t="s">
        <v>452</v>
      </c>
      <c r="I402" s="2" t="str">
        <f>IFERROR(__xludf.DUMMYFUNCTION("GOOGLETRANSLATE(C402,""fr"",""en"")"),"      Abusive increase of 90% in the second year hello, worse in my case, 90% dalors that I went from 1 to 0.95 in bonus/penalty coefficient
Other people have suffered such as deagreements
Maybe we should point out this fraud at 60 million consumer
T"&amp;"o flee")</f>
        <v>      Abusive increase of 90% in the second year hello, worse in my case, 90% dalors that I went from 1 to 0.95 in bonus/penalty coefficient
Other people have suffered such as deagreements
Maybe we should point out this fraud at 60 million consumer
To flee</v>
      </c>
    </row>
    <row r="403" ht="15.75" customHeight="1">
      <c r="A403" s="2">
        <v>3.0</v>
      </c>
      <c r="B403" s="2" t="s">
        <v>1234</v>
      </c>
      <c r="C403" s="2" t="s">
        <v>1235</v>
      </c>
      <c r="D403" s="2" t="s">
        <v>38</v>
      </c>
      <c r="E403" s="2" t="s">
        <v>39</v>
      </c>
      <c r="F403" s="2" t="s">
        <v>15</v>
      </c>
      <c r="G403" s="2" t="s">
        <v>1236</v>
      </c>
      <c r="H403" s="2" t="s">
        <v>29</v>
      </c>
      <c r="I403" s="2" t="str">
        <f>IFERROR(__xludf.DUMMYFUNCTION("GOOGLETRANSLATE(C403,""fr"",""en"")"),"Ok fast correct I found on the net I highly recommend the price is attractive and corresponds to what I am looking for thanks to your service cordially")</f>
        <v>Ok fast correct I found on the net I highly recommend the price is attractive and corresponds to what I am looking for thanks to your service cordially</v>
      </c>
    </row>
    <row r="404" ht="15.75" customHeight="1">
      <c r="A404" s="2">
        <v>3.0</v>
      </c>
      <c r="B404" s="2" t="s">
        <v>1237</v>
      </c>
      <c r="C404" s="2" t="s">
        <v>1238</v>
      </c>
      <c r="D404" s="2" t="s">
        <v>20</v>
      </c>
      <c r="E404" s="2" t="s">
        <v>21</v>
      </c>
      <c r="F404" s="2" t="s">
        <v>15</v>
      </c>
      <c r="G404" s="2" t="s">
        <v>1239</v>
      </c>
      <c r="H404" s="2" t="s">
        <v>680</v>
      </c>
      <c r="I404" s="2" t="str">
        <f>IFERROR(__xludf.DUMMYFUNCTION("GOOGLETRANSLATE(C404,""fr"",""en"")"),"Taken double for more than two months and no intervention by Naoassur despite several telephone calls and still nothing happens")</f>
        <v>Taken double for more than two months and no intervention by Naoassur despite several telephone calls and still nothing happens</v>
      </c>
    </row>
    <row r="405" ht="15.75" customHeight="1">
      <c r="A405" s="2">
        <v>5.0</v>
      </c>
      <c r="B405" s="2" t="s">
        <v>1240</v>
      </c>
      <c r="C405" s="2" t="s">
        <v>1241</v>
      </c>
      <c r="D405" s="2" t="s">
        <v>26</v>
      </c>
      <c r="E405" s="2" t="s">
        <v>27</v>
      </c>
      <c r="F405" s="2" t="s">
        <v>15</v>
      </c>
      <c r="G405" s="2" t="s">
        <v>1074</v>
      </c>
      <c r="H405" s="2" t="s">
        <v>23</v>
      </c>
      <c r="I405" s="2" t="str">
        <f>IFERROR(__xludf.DUMMYFUNCTION("GOOGLETRANSLATE(C405,""fr"",""en"")"),"I am very satisfied with the service. Best prices on the market. I highly recommend. To see over time to solve the problems in the event of a disaster.")</f>
        <v>I am very satisfied with the service. Best prices on the market. I highly recommend. To see over time to solve the problems in the event of a disaster.</v>
      </c>
    </row>
    <row r="406" ht="15.75" customHeight="1">
      <c r="A406" s="2">
        <v>4.0</v>
      </c>
      <c r="B406" s="2" t="s">
        <v>1242</v>
      </c>
      <c r="C406" s="2" t="s">
        <v>1243</v>
      </c>
      <c r="D406" s="2" t="s">
        <v>134</v>
      </c>
      <c r="E406" s="2" t="s">
        <v>27</v>
      </c>
      <c r="F406" s="2" t="s">
        <v>15</v>
      </c>
      <c r="G406" s="2" t="s">
        <v>1244</v>
      </c>
      <c r="H406" s="2" t="s">
        <v>35</v>
      </c>
      <c r="I406" s="2" t="str">
        <f>IFERROR(__xludf.DUMMYFUNCTION("GOOGLETRANSLATE(C406,""fr"",""en"")"),"Satisfactory service
Good welcome
Reactivity for requests to requests
Only downside: DOM customer cannot attach a local service ;;;")</f>
        <v>Satisfactory service
Good welcome
Reactivity for requests to requests
Only downside: DOM customer cannot attach a local service ;;;</v>
      </c>
    </row>
    <row r="407" ht="15.75" customHeight="1">
      <c r="A407" s="2">
        <v>5.0</v>
      </c>
      <c r="B407" s="2" t="s">
        <v>1245</v>
      </c>
      <c r="C407" s="2" t="s">
        <v>1246</v>
      </c>
      <c r="D407" s="2" t="s">
        <v>38</v>
      </c>
      <c r="E407" s="2" t="s">
        <v>39</v>
      </c>
      <c r="F407" s="2" t="s">
        <v>15</v>
      </c>
      <c r="G407" s="2" t="s">
        <v>1247</v>
      </c>
      <c r="H407" s="2" t="s">
        <v>41</v>
      </c>
      <c r="I407" s="2" t="str">
        <f>IFERROR(__xludf.DUMMYFUNCTION("GOOGLETRANSLATE(C407,""fr"",""en"")"),"The prices suit me and we will see if at the level of the service if it is also top because fortunately my son did not deal with a request concerning a disaster.")</f>
        <v>The prices suit me and we will see if at the level of the service if it is also top because fortunately my son did not deal with a request concerning a disaster.</v>
      </c>
    </row>
    <row r="408" ht="15.75" customHeight="1">
      <c r="A408" s="2">
        <v>4.0</v>
      </c>
      <c r="B408" s="2" t="s">
        <v>1248</v>
      </c>
      <c r="C408" s="2" t="s">
        <v>1249</v>
      </c>
      <c r="D408" s="2" t="s">
        <v>44</v>
      </c>
      <c r="E408" s="2" t="s">
        <v>27</v>
      </c>
      <c r="F408" s="2" t="s">
        <v>15</v>
      </c>
      <c r="G408" s="2" t="s">
        <v>997</v>
      </c>
      <c r="H408" s="2" t="s">
        <v>23</v>
      </c>
      <c r="I408" s="2" t="str">
        <f>IFERROR(__xludf.DUMMYFUNCTION("GOOGLETRANSLATE(C408,""fr"",""en"")"),"In the immediate future I am very satisfied with this insurance service on the net.
Very fast and easy to use.
Very correct prices,
Now to see in time.")</f>
        <v>In the immediate future I am very satisfied with this insurance service on the net.
Very fast and easy to use.
Very correct prices,
Now to see in time.</v>
      </c>
    </row>
    <row r="409" ht="15.75" customHeight="1">
      <c r="A409" s="2">
        <v>5.0</v>
      </c>
      <c r="B409" s="2" t="s">
        <v>1250</v>
      </c>
      <c r="C409" s="2" t="s">
        <v>1251</v>
      </c>
      <c r="D409" s="2" t="s">
        <v>252</v>
      </c>
      <c r="E409" s="2" t="s">
        <v>14</v>
      </c>
      <c r="F409" s="2" t="s">
        <v>15</v>
      </c>
      <c r="G409" s="2" t="s">
        <v>62</v>
      </c>
      <c r="H409" s="2" t="s">
        <v>62</v>
      </c>
      <c r="I409" s="2" t="str">
        <f>IFERROR(__xludf.DUMMYFUNCTION("GOOGLETRANSLATE(C409,""fr"",""en"")"),"Excellent for your effective and clear fast service I highly recommend April
Your prices are just and clear I wait to receive my contract officially")</f>
        <v>Excellent for your effective and clear fast service I highly recommend April
Your prices are just and clear I wait to receive my contract officially</v>
      </c>
    </row>
    <row r="410" ht="15.75" customHeight="1">
      <c r="A410" s="2">
        <v>2.0</v>
      </c>
      <c r="B410" s="2" t="s">
        <v>1252</v>
      </c>
      <c r="C410" s="2" t="s">
        <v>1253</v>
      </c>
      <c r="D410" s="2" t="s">
        <v>165</v>
      </c>
      <c r="E410" s="2" t="s">
        <v>27</v>
      </c>
      <c r="F410" s="2" t="s">
        <v>15</v>
      </c>
      <c r="G410" s="2" t="s">
        <v>1254</v>
      </c>
      <c r="H410" s="2" t="s">
        <v>111</v>
      </c>
      <c r="I410" s="2" t="str">
        <f>IFERROR(__xludf.DUMMYFUNCTION("GOOGLETRANSLATE(C410,""fr"",""en"")"),"I have been insured at the third party since 01/2020, bonus 50%, I had a non -responsible disaster on June 8, 2020 - self -hit in parking in parking, or a scratched paint, it's three times nothing, box n ° 1 Only checked on amicable observation, - on June"&amp;" 10, 2020 I resell the car for a new car and no longer way to ensure a new car, on the curious reason that a claim is underway, liability 0%, but more means of Ensure a new vehicle that I have just acquired!")</f>
        <v>I have been insured at the third party since 01/2020, bonus 50%, I had a non -responsible disaster on June 8, 2020 - self -hit in parking in parking, or a scratched paint, it's three times nothing, box n ° 1 Only checked on amicable observation, - on June 10, 2020 I resell the car for a new car and no longer way to ensure a new car, on the curious reason that a claim is underway, liability 0%, but more means of Ensure a new vehicle that I have just acquired!</v>
      </c>
    </row>
    <row r="411" ht="15.75" customHeight="1">
      <c r="A411" s="2">
        <v>4.0</v>
      </c>
      <c r="B411" s="2" t="s">
        <v>1255</v>
      </c>
      <c r="C411" s="2" t="s">
        <v>1256</v>
      </c>
      <c r="D411" s="2" t="s">
        <v>44</v>
      </c>
      <c r="E411" s="2" t="s">
        <v>27</v>
      </c>
      <c r="F411" s="2" t="s">
        <v>15</v>
      </c>
      <c r="G411" s="2" t="s">
        <v>362</v>
      </c>
      <c r="H411" s="2" t="s">
        <v>57</v>
      </c>
      <c r="I411" s="2" t="str">
        <f>IFERROR(__xludf.DUMMYFUNCTION("GOOGLETRANSLATE(C411,""fr"",""en"")"),"The annual increase seems a little excessive to me.
It must have been over 20 years since I had the slightest problem with my cars !!!! I said what I had to tell you. I'm not going to write a novel")</f>
        <v>The annual increase seems a little excessive to me.
It must have been over 20 years since I had the slightest problem with my cars !!!! I said what I had to tell you. I'm not going to write a novel</v>
      </c>
    </row>
    <row r="412" ht="15.75" customHeight="1">
      <c r="A412" s="2">
        <v>4.0</v>
      </c>
      <c r="B412" s="2" t="s">
        <v>1257</v>
      </c>
      <c r="C412" s="2" t="s">
        <v>1258</v>
      </c>
      <c r="D412" s="2" t="s">
        <v>134</v>
      </c>
      <c r="E412" s="2" t="s">
        <v>27</v>
      </c>
      <c r="F412" s="2" t="s">
        <v>15</v>
      </c>
      <c r="G412" s="2" t="s">
        <v>1247</v>
      </c>
      <c r="H412" s="2" t="s">
        <v>41</v>
      </c>
      <c r="I412" s="2" t="str">
        <f>IFERROR(__xludf.DUMMYFUNCTION("GOOGLETRANSLATE(C412,""fr"",""en"")"),"I am satisfied with your services. Immediately taken into account of emails and immediate response to requests. Very good responsiveness and attentive to customers.")</f>
        <v>I am satisfied with your services. Immediately taken into account of emails and immediate response to requests. Very good responsiveness and attentive to customers.</v>
      </c>
    </row>
    <row r="413" ht="15.75" customHeight="1">
      <c r="A413" s="2">
        <v>4.0</v>
      </c>
      <c r="B413" s="2" t="s">
        <v>1259</v>
      </c>
      <c r="C413" s="2" t="s">
        <v>1260</v>
      </c>
      <c r="D413" s="2" t="s">
        <v>26</v>
      </c>
      <c r="E413" s="2" t="s">
        <v>27</v>
      </c>
      <c r="F413" s="2" t="s">
        <v>15</v>
      </c>
      <c r="G413" s="2" t="s">
        <v>1261</v>
      </c>
      <c r="H413" s="2" t="s">
        <v>57</v>
      </c>
      <c r="I413" s="2" t="str">
        <f>IFERROR(__xludf.DUMMYFUNCTION("GOOGLETRANSLATE(C413,""fr"",""en"")"),"Very satisfied with the telephone reception nothing to complain about thank you. Quick effective clear, I would recommend your insurance to my more and more somewhat sponsored relatives and have a very appreciable check.")</f>
        <v>Very satisfied with the telephone reception nothing to complain about thank you. Quick effective clear, I would recommend your insurance to my more and more somewhat sponsored relatives and have a very appreciable check.</v>
      </c>
    </row>
    <row r="414" ht="15.75" customHeight="1">
      <c r="A414" s="2">
        <v>4.0</v>
      </c>
      <c r="B414" s="2" t="s">
        <v>1262</v>
      </c>
      <c r="C414" s="2" t="s">
        <v>1263</v>
      </c>
      <c r="D414" s="2" t="s">
        <v>26</v>
      </c>
      <c r="E414" s="2" t="s">
        <v>27</v>
      </c>
      <c r="F414" s="2" t="s">
        <v>15</v>
      </c>
      <c r="G414" s="2" t="s">
        <v>162</v>
      </c>
      <c r="H414" s="2" t="s">
        <v>29</v>
      </c>
      <c r="I414" s="2" t="str">
        <f>IFERROR(__xludf.DUMMYFUNCTION("GOOGLETRANSLATE(C414,""fr"",""en"")"),"I am satisfied with the speed of processing and the prices offered .. I will recommend the olive assurance without worries ... Thank you the olive assurance ....")</f>
        <v>I am satisfied with the speed of processing and the prices offered .. I will recommend the olive assurance without worries ... Thank you the olive assurance ....</v>
      </c>
    </row>
    <row r="415" ht="15.75" customHeight="1">
      <c r="A415" s="2">
        <v>4.0</v>
      </c>
      <c r="B415" s="2" t="s">
        <v>1264</v>
      </c>
      <c r="C415" s="2" t="s">
        <v>1265</v>
      </c>
      <c r="D415" s="2" t="s">
        <v>44</v>
      </c>
      <c r="E415" s="2" t="s">
        <v>27</v>
      </c>
      <c r="F415" s="2" t="s">
        <v>15</v>
      </c>
      <c r="G415" s="2" t="s">
        <v>81</v>
      </c>
      <c r="H415" s="2" t="s">
        <v>29</v>
      </c>
      <c r="I415" s="2" t="str">
        <f>IFERROR(__xludf.DUMMYFUNCTION("GOOGLETRANSLATE(C415,""fr"",""en"")"),"I am satisfied we will see the use. First time customer at Direct Insurance I am waiting to see before I say more. Being able to do everything online is also an advantage")</f>
        <v>I am satisfied we will see the use. First time customer at Direct Insurance I am waiting to see before I say more. Being able to do everything online is also an advantage</v>
      </c>
    </row>
    <row r="416" ht="15.75" customHeight="1">
      <c r="A416" s="2">
        <v>5.0</v>
      </c>
      <c r="B416" s="2" t="s">
        <v>1266</v>
      </c>
      <c r="C416" s="2" t="s">
        <v>1267</v>
      </c>
      <c r="D416" s="2" t="s">
        <v>26</v>
      </c>
      <c r="E416" s="2" t="s">
        <v>27</v>
      </c>
      <c r="F416" s="2" t="s">
        <v>15</v>
      </c>
      <c r="G416" s="2" t="s">
        <v>126</v>
      </c>
      <c r="H416" s="2" t="s">
        <v>57</v>
      </c>
      <c r="I416" s="2" t="str">
        <f>IFERROR(__xludf.DUMMYFUNCTION("GOOGLETRANSLATE(C416,""fr"",""en"")"),"I am satifaite for the explanations provided and the quotes well detailed, the advisers very to Lecoute, price at my convenience I recommend this insurance")</f>
        <v>I am satifaite for the explanations provided and the quotes well detailed, the advisers very to Lecoute, price at my convenience I recommend this insurance</v>
      </c>
    </row>
    <row r="417" ht="15.75" customHeight="1">
      <c r="A417" s="2">
        <v>4.0</v>
      </c>
      <c r="B417" s="2" t="s">
        <v>1268</v>
      </c>
      <c r="C417" s="2" t="s">
        <v>1269</v>
      </c>
      <c r="D417" s="2" t="s">
        <v>26</v>
      </c>
      <c r="E417" s="2" t="s">
        <v>27</v>
      </c>
      <c r="F417" s="2" t="s">
        <v>15</v>
      </c>
      <c r="G417" s="2" t="s">
        <v>579</v>
      </c>
      <c r="H417" s="2" t="s">
        <v>23</v>
      </c>
      <c r="I417" s="2" t="str">
        <f>IFERROR(__xludf.DUMMYFUNCTION("GOOGLETRANSLATE(C417,""fr"",""en"")"),"Price very well it is not the cheapest but the prices are very correct, however, the website is complicated to use especially if you have several email addresses like me!")</f>
        <v>Price very well it is not the cheapest but the prices are very correct, however, the website is complicated to use especially if you have several email addresses like me!</v>
      </c>
    </row>
    <row r="418" ht="15.75" customHeight="1">
      <c r="A418" s="2">
        <v>3.0</v>
      </c>
      <c r="B418" s="2" t="s">
        <v>1270</v>
      </c>
      <c r="C418" s="2" t="s">
        <v>1271</v>
      </c>
      <c r="D418" s="2" t="s">
        <v>44</v>
      </c>
      <c r="E418" s="2" t="s">
        <v>27</v>
      </c>
      <c r="F418" s="2" t="s">
        <v>15</v>
      </c>
      <c r="G418" s="2" t="s">
        <v>1272</v>
      </c>
      <c r="H418" s="2" t="s">
        <v>111</v>
      </c>
      <c r="I418" s="2" t="str">
        <f>IFERROR(__xludf.DUMMYFUNCTION("GOOGLETRANSLATE(C418,""fr"",""en"")"),"I am satisfied with the service, to be seen in terms of guarantees for the future. But it looks interesting for the moment concerning the quality/price ratio")</f>
        <v>I am satisfied with the service, to be seen in terms of guarantees for the future. But it looks interesting for the moment concerning the quality/price ratio</v>
      </c>
    </row>
    <row r="419" ht="15.75" customHeight="1">
      <c r="A419" s="2">
        <v>1.0</v>
      </c>
      <c r="B419" s="2" t="s">
        <v>1273</v>
      </c>
      <c r="C419" s="2" t="s">
        <v>1274</v>
      </c>
      <c r="D419" s="2" t="s">
        <v>1275</v>
      </c>
      <c r="E419" s="2" t="s">
        <v>76</v>
      </c>
      <c r="F419" s="2" t="s">
        <v>15</v>
      </c>
      <c r="G419" s="2" t="s">
        <v>1276</v>
      </c>
      <c r="H419" s="2" t="s">
        <v>17</v>
      </c>
      <c r="I419" s="2" t="str">
        <f>IFERROR(__xludf.DUMMYFUNCTION("GOOGLETRANSLATE(C419,""fr"",""en"")"),"Others have already said it alas: to flee
Significant entry fees, low gross yields, significant management fees, insufficient net yields.
Add: Important deadlines to recover your placement.
As I write this opinion, almost a month has passed since my in"&amp;"itial request. It is requested already provided parts including an updating of customer data, for me unnecessary, because I am going ...
So if you are not yet customers: do not invest
And if you are already customers: try to save yourself.")</f>
        <v>Others have already said it alas: to flee
Significant entry fees, low gross yields, significant management fees, insufficient net yields.
Add: Important deadlines to recover your placement.
As I write this opinion, almost a month has passed since my initial request. It is requested already provided parts including an updating of customer data, for me unnecessary, because I am going ...
So if you are not yet customers: do not invest
And if you are already customers: try to save yourself.</v>
      </c>
    </row>
    <row r="420" ht="15.75" customHeight="1">
      <c r="A420" s="2">
        <v>1.0</v>
      </c>
      <c r="B420" s="2" t="s">
        <v>1277</v>
      </c>
      <c r="C420" s="2" t="s">
        <v>1278</v>
      </c>
      <c r="D420" s="2" t="s">
        <v>44</v>
      </c>
      <c r="E420" s="2" t="s">
        <v>27</v>
      </c>
      <c r="F420" s="2" t="s">
        <v>15</v>
      </c>
      <c r="G420" s="2" t="s">
        <v>1261</v>
      </c>
      <c r="H420" s="2" t="s">
        <v>57</v>
      </c>
      <c r="I420" s="2" t="str">
        <f>IFERROR(__xludf.DUMMYFUNCTION("GOOGLETRANSLATE(C420,""fr"",""en"")"),"Increase of € 100/year of my subscription while no claim ... Refusal of a commercial gesture. I find exaggerating the loyalty of longtime customers ....")</f>
        <v>Increase of € 100/year of my subscription while no claim ... Refusal of a commercial gesture. I find exaggerating the loyalty of longtime customers ....</v>
      </c>
    </row>
    <row r="421" ht="15.75" customHeight="1">
      <c r="A421" s="2">
        <v>5.0</v>
      </c>
      <c r="B421" s="2" t="s">
        <v>1279</v>
      </c>
      <c r="C421" s="2" t="s">
        <v>1280</v>
      </c>
      <c r="D421" s="2" t="s">
        <v>26</v>
      </c>
      <c r="E421" s="2" t="s">
        <v>27</v>
      </c>
      <c r="F421" s="2" t="s">
        <v>15</v>
      </c>
      <c r="G421" s="2" t="s">
        <v>1281</v>
      </c>
      <c r="H421" s="2" t="s">
        <v>294</v>
      </c>
      <c r="I421" s="2" t="str">
        <f>IFERROR(__xludf.DUMMYFUNCTION("GOOGLETRANSLATE(C421,""fr"",""en"")"),"We had an advisor to listen to us available and very responsive. This is not the case with some insurers like AXA for example. We were very well advised to choose an offer that suits us.
The deadlines and monitoring of our offer were very fast. In additi"&amp;"on, the simplicity of the use of personal space is within everyone's reach. I recommend and recommend this insurance to everyone.")</f>
        <v>We had an advisor to listen to us available and very responsive. This is not the case with some insurers like AXA for example. We were very well advised to choose an offer that suits us.
The deadlines and monitoring of our offer were very fast. In addition, the simplicity of the use of personal space is within everyone's reach. I recommend and recommend this insurance to everyone.</v>
      </c>
    </row>
    <row r="422" ht="15.75" customHeight="1">
      <c r="A422" s="2">
        <v>1.0</v>
      </c>
      <c r="B422" s="2" t="s">
        <v>1282</v>
      </c>
      <c r="C422" s="2" t="s">
        <v>1283</v>
      </c>
      <c r="D422" s="2" t="s">
        <v>26</v>
      </c>
      <c r="E422" s="2" t="s">
        <v>27</v>
      </c>
      <c r="F422" s="2" t="s">
        <v>15</v>
      </c>
      <c r="G422" s="2" t="s">
        <v>910</v>
      </c>
      <c r="H422" s="2" t="s">
        <v>278</v>
      </c>
      <c r="I422" s="2" t="str">
        <f>IFERROR(__xludf.DUMMYFUNCTION("GOOGLETRANSLATE(C422,""fr"",""en"")"),"My opinion is far from complimentary, special attention during your subscription, which disappears when you terminate, all the sorrows of the world to be reimbursed, and you must call several times to be informed of why you are not reimbursed .
I have ne"&amp;"ver had a loss management, thank God, but the management of complaints is more than desired")</f>
        <v>My opinion is far from complimentary, special attention during your subscription, which disappears when you terminate, all the sorrows of the world to be reimbursed, and you must call several times to be informed of why you are not reimbursed .
I have never had a loss management, thank God, but the management of complaints is more than desired</v>
      </c>
    </row>
    <row r="423" ht="15.75" customHeight="1">
      <c r="A423" s="2">
        <v>3.0</v>
      </c>
      <c r="B423" s="2" t="s">
        <v>1284</v>
      </c>
      <c r="C423" s="2" t="s">
        <v>1285</v>
      </c>
      <c r="D423" s="2" t="s">
        <v>44</v>
      </c>
      <c r="E423" s="2" t="s">
        <v>27</v>
      </c>
      <c r="F423" s="2" t="s">
        <v>15</v>
      </c>
      <c r="G423" s="2" t="s">
        <v>155</v>
      </c>
      <c r="H423" s="2" t="s">
        <v>29</v>
      </c>
      <c r="I423" s="2" t="str">
        <f>IFERROR(__xludf.DUMMYFUNCTION("GOOGLETRANSLATE(C423,""fr"",""en"")"),"I am satisfied with the prices of the qualities of the service thank you to Direct Insurance for his work to the loan of uses I recommend to the people of PAST by Direct Insurance")</f>
        <v>I am satisfied with the prices of the qualities of the service thank you to Direct Insurance for his work to the loan of uses I recommend to the people of PAST by Direct Insurance</v>
      </c>
    </row>
    <row r="424" ht="15.75" customHeight="1">
      <c r="A424" s="2">
        <v>1.0</v>
      </c>
      <c r="B424" s="2" t="s">
        <v>1286</v>
      </c>
      <c r="C424" s="2" t="s">
        <v>1287</v>
      </c>
      <c r="D424" s="2" t="s">
        <v>252</v>
      </c>
      <c r="E424" s="2" t="s">
        <v>14</v>
      </c>
      <c r="F424" s="2" t="s">
        <v>15</v>
      </c>
      <c r="G424" s="2" t="s">
        <v>1288</v>
      </c>
      <c r="H424" s="2" t="s">
        <v>86</v>
      </c>
      <c r="I424" s="2" t="str">
        <f>IFERROR(__xludf.DUMMYFUNCTION("GOOGLETRANSLATE(C424,""fr"",""en"")"),"Be careful, be careful with this insurer I sincerely advise you to go your way
I had personally enormously enormously with its people.")</f>
        <v>Be careful, be careful with this insurer I sincerely advise you to go your way
I had personally enormously enormously with its people.</v>
      </c>
    </row>
    <row r="425" ht="15.75" customHeight="1">
      <c r="A425" s="2">
        <v>2.0</v>
      </c>
      <c r="B425" s="2" t="s">
        <v>1289</v>
      </c>
      <c r="C425" s="2" t="s">
        <v>1290</v>
      </c>
      <c r="D425" s="2" t="s">
        <v>134</v>
      </c>
      <c r="E425" s="2" t="s">
        <v>27</v>
      </c>
      <c r="F425" s="2" t="s">
        <v>15</v>
      </c>
      <c r="G425" s="2" t="s">
        <v>1291</v>
      </c>
      <c r="H425" s="2" t="s">
        <v>268</v>
      </c>
      <c r="I425" s="2" t="str">
        <f>IFERROR(__xludf.DUMMYFUNCTION("GOOGLETRANSLATE(C425,""fr"",""en"")"),"I have been fifty and a 50% CRM for several years without ever accident. I assured my car at the GMF for the first time in February 2017 thanks to a promotion. Unfortunately, a day of heavy rain in July a lady slows down suddenly I touch it from the back "&amp;"and I find myself terminated by the GMF !! This is the first time that I have been terminated!
Conclusion The GMF is good guarantees that only serve once !! And in addition you become suspect when you want to make sure elsewhere because terminated !! Tha"&amp;"nk you the GMF ...")</f>
        <v>I have been fifty and a 50% CRM for several years without ever accident. I assured my car at the GMF for the first time in February 2017 thanks to a promotion. Unfortunately, a day of heavy rain in July a lady slows down suddenly I touch it from the back and I find myself terminated by the GMF !! This is the first time that I have been terminated!
Conclusion The GMF is good guarantees that only serve once !! And in addition you become suspect when you want to make sure elsewhere because terminated !! Thank you the GMF ...</v>
      </c>
    </row>
    <row r="426" ht="15.75" customHeight="1">
      <c r="A426" s="2">
        <v>1.0</v>
      </c>
      <c r="B426" s="2" t="s">
        <v>1292</v>
      </c>
      <c r="C426" s="2" t="s">
        <v>1293</v>
      </c>
      <c r="D426" s="2" t="s">
        <v>26</v>
      </c>
      <c r="E426" s="2" t="s">
        <v>27</v>
      </c>
      <c r="F426" s="2" t="s">
        <v>15</v>
      </c>
      <c r="G426" s="2" t="s">
        <v>1294</v>
      </c>
      <c r="H426" s="2" t="s">
        <v>320</v>
      </c>
      <c r="I426" s="2" t="str">
        <f>IFERROR(__xludf.DUMMYFUNCTION("GOOGLETRANSLATE(C426,""fr"",""en"")"),"Increase in prices after a year of insurance at home with a disaster (windshield broken by a stone who fell from a cross vehicle) in short 16 euros more per month. I do the necessary tomorrow to go see elsewhere. They did not even bother to call me to tel"&amp;"l me about the new contract / price.")</f>
        <v>Increase in prices after a year of insurance at home with a disaster (windshield broken by a stone who fell from a cross vehicle) in short 16 euros more per month. I do the necessary tomorrow to go see elsewhere. They did not even bother to call me to tell me about the new contract / price.</v>
      </c>
    </row>
    <row r="427" ht="15.75" customHeight="1">
      <c r="A427" s="2">
        <v>4.0</v>
      </c>
      <c r="B427" s="2" t="s">
        <v>1295</v>
      </c>
      <c r="C427" s="2" t="s">
        <v>1296</v>
      </c>
      <c r="D427" s="2" t="s">
        <v>44</v>
      </c>
      <c r="E427" s="2" t="s">
        <v>27</v>
      </c>
      <c r="F427" s="2" t="s">
        <v>15</v>
      </c>
      <c r="G427" s="2" t="s">
        <v>223</v>
      </c>
      <c r="H427" s="2" t="s">
        <v>57</v>
      </c>
      <c r="I427" s="2" t="str">
        <f>IFERROR(__xludf.DUMMYFUNCTION("GOOGLETRANSLATE(C427,""fr"",""en"")"),"I am satisfied with the contact that I had with a very pleasant person, who took his time to explain the walk to me to create my insurance at home, the only regret that I could have made a Commercial gesture since I came back to you to insure my car, I ha"&amp;"d stopped my insurance because I have a company vehicle, not for another insurance.
")</f>
        <v>I am satisfied with the contact that I had with a very pleasant person, who took his time to explain the walk to me to create my insurance at home, the only regret that I could have made a Commercial gesture since I came back to you to insure my car, I had stopped my insurance because I have a company vehicle, not for another insurance.
</v>
      </c>
    </row>
    <row r="428" ht="15.75" customHeight="1">
      <c r="A428" s="2">
        <v>1.0</v>
      </c>
      <c r="B428" s="2" t="s">
        <v>1297</v>
      </c>
      <c r="C428" s="2" t="s">
        <v>1298</v>
      </c>
      <c r="D428" s="2" t="s">
        <v>109</v>
      </c>
      <c r="E428" s="2" t="s">
        <v>33</v>
      </c>
      <c r="F428" s="2" t="s">
        <v>15</v>
      </c>
      <c r="G428" s="2" t="s">
        <v>1299</v>
      </c>
      <c r="H428" s="2" t="s">
        <v>1299</v>
      </c>
      <c r="I428" s="2" t="str">
        <f>IFERROR(__xludf.DUMMYFUNCTION("GOOGLETRANSLATE(C428,""fr"",""en"")"),"I strongly recommend the Matmut!")</f>
        <v>I strongly recommend the Matmut!</v>
      </c>
    </row>
    <row r="429" ht="15.75" customHeight="1">
      <c r="A429" s="2">
        <v>4.0</v>
      </c>
      <c r="B429" s="2" t="s">
        <v>1300</v>
      </c>
      <c r="C429" s="2" t="s">
        <v>1301</v>
      </c>
      <c r="D429" s="2" t="s">
        <v>44</v>
      </c>
      <c r="E429" s="2" t="s">
        <v>27</v>
      </c>
      <c r="F429" s="2" t="s">
        <v>15</v>
      </c>
      <c r="G429" s="2" t="s">
        <v>1114</v>
      </c>
      <c r="H429" s="2" t="s">
        <v>159</v>
      </c>
      <c r="I429" s="2" t="str">
        <f>IFERROR(__xludf.DUMMYFUNCTION("GOOGLETRANSLATE(C429,""fr"",""en"")"),"The service is good, the prices too, overall everything is good, good reactivitis, just a halfol, during termination following a sale of my auto contract, I received a letter of recovery from a recovery company that have Increases the amount of my debt of"&amp;" fifteen euros, rather regretable")</f>
        <v>The service is good, the prices too, overall everything is good, good reactivitis, just a halfol, during termination following a sale of my auto contract, I received a letter of recovery from a recovery company that have Increases the amount of my debt of fifteen euros, rather regretable</v>
      </c>
    </row>
    <row r="430" ht="15.75" customHeight="1">
      <c r="A430" s="2">
        <v>2.0</v>
      </c>
      <c r="B430" s="2" t="s">
        <v>1302</v>
      </c>
      <c r="C430" s="2" t="s">
        <v>1303</v>
      </c>
      <c r="D430" s="2" t="s">
        <v>134</v>
      </c>
      <c r="E430" s="2" t="s">
        <v>27</v>
      </c>
      <c r="F430" s="2" t="s">
        <v>15</v>
      </c>
      <c r="G430" s="2" t="s">
        <v>1304</v>
      </c>
      <c r="H430" s="2" t="s">
        <v>583</v>
      </c>
      <c r="I430" s="2" t="str">
        <f>IFERROR(__xludf.DUMMYFUNCTION("GOOGLETRANSLATE(C430,""fr"",""en"")"),"Innovative GMF practices. Your contract is unilaterally terminated from the first responsible disaster! And we wonder why more and more people are driving without insurance!")</f>
        <v>Innovative GMF practices. Your contract is unilaterally terminated from the first responsible disaster! And we wonder why more and more people are driving without insurance!</v>
      </c>
    </row>
    <row r="431" ht="15.75" customHeight="1">
      <c r="A431" s="2">
        <v>3.0</v>
      </c>
      <c r="B431" s="2" t="s">
        <v>1305</v>
      </c>
      <c r="C431" s="2" t="s">
        <v>1306</v>
      </c>
      <c r="D431" s="2" t="s">
        <v>252</v>
      </c>
      <c r="E431" s="2" t="s">
        <v>14</v>
      </c>
      <c r="F431" s="2" t="s">
        <v>15</v>
      </c>
      <c r="G431" s="2" t="s">
        <v>1307</v>
      </c>
      <c r="H431" s="2" t="s">
        <v>583</v>
      </c>
      <c r="I431" s="2" t="str">
        <f>IFERROR(__xludf.DUMMYFUNCTION("GOOGLETRANSLATE(C431,""fr"",""en"")"),"Middle and expensive ... often have to claim reimbursements. .. A delay in payment results in abusive fees. .. to be strongly")</f>
        <v>Middle and expensive ... often have to claim reimbursements. .. A delay in payment results in abusive fees. .. to be strongly</v>
      </c>
    </row>
    <row r="432" ht="15.75" customHeight="1">
      <c r="A432" s="2">
        <v>1.0</v>
      </c>
      <c r="B432" s="2" t="s">
        <v>1308</v>
      </c>
      <c r="C432" s="2" t="s">
        <v>1309</v>
      </c>
      <c r="D432" s="2" t="s">
        <v>134</v>
      </c>
      <c r="E432" s="2" t="s">
        <v>27</v>
      </c>
      <c r="F432" s="2" t="s">
        <v>15</v>
      </c>
      <c r="G432" s="2" t="s">
        <v>1310</v>
      </c>
      <c r="H432" s="2" t="s">
        <v>418</v>
      </c>
      <c r="I432" s="2" t="str">
        <f>IFERROR(__xludf.DUMMYFUNCTION("GOOGLETRANSLATE(C432,""fr"",""en"")"),"I am looking to have an explanation on the amount of my amendment to the contract, the person on the phone did not know, his manager gave me a version without me being able to seek to understand. In short, they will make a letter that will not change much"&amp;".")</f>
        <v>I am looking to have an explanation on the amount of my amendment to the contract, the person on the phone did not know, his manager gave me a version without me being able to seek to understand. In short, they will make a letter that will not change much.</v>
      </c>
    </row>
    <row r="433" ht="15.75" customHeight="1">
      <c r="A433" s="2">
        <v>4.0</v>
      </c>
      <c r="B433" s="2" t="s">
        <v>1311</v>
      </c>
      <c r="C433" s="2" t="s">
        <v>1312</v>
      </c>
      <c r="D433" s="2" t="s">
        <v>26</v>
      </c>
      <c r="E433" s="2" t="s">
        <v>27</v>
      </c>
      <c r="F433" s="2" t="s">
        <v>15</v>
      </c>
      <c r="G433" s="2" t="s">
        <v>23</v>
      </c>
      <c r="H433" s="2" t="s">
        <v>23</v>
      </c>
      <c r="I433" s="2" t="str">
        <f>IFERROR(__xludf.DUMMYFUNCTION("GOOGLETRANSLATE(C433,""fr"",""en"")"),"Affordable price.
Satisfied for the moment.
Very good customer service.
Practical and easy to use site.
Hopefully the future has in store for us.
")</f>
        <v>Affordable price.
Satisfied for the moment.
Very good customer service.
Practical and easy to use site.
Hopefully the future has in store for us.
</v>
      </c>
    </row>
    <row r="434" ht="15.75" customHeight="1">
      <c r="A434" s="2">
        <v>5.0</v>
      </c>
      <c r="B434" s="2" t="s">
        <v>1313</v>
      </c>
      <c r="C434" s="2" t="s">
        <v>1314</v>
      </c>
      <c r="D434" s="2" t="s">
        <v>44</v>
      </c>
      <c r="E434" s="2" t="s">
        <v>27</v>
      </c>
      <c r="F434" s="2" t="s">
        <v>15</v>
      </c>
      <c r="G434" s="2" t="s">
        <v>1315</v>
      </c>
      <c r="H434" s="2" t="s">
        <v>35</v>
      </c>
      <c r="I434" s="2" t="str">
        <f>IFERROR(__xludf.DUMMYFUNCTION("GOOGLETRANSLATE(C434,""fr"",""en"")"),"It is the best insurance in terms of quality/price. I recommend with a +++. Simple claim declaration and fast management. What better requires ....")</f>
        <v>It is the best insurance in terms of quality/price. I recommend with a +++. Simple claim declaration and fast management. What better requires ....</v>
      </c>
    </row>
    <row r="435" ht="15.75" customHeight="1">
      <c r="A435" s="2">
        <v>4.0</v>
      </c>
      <c r="B435" s="2" t="s">
        <v>1316</v>
      </c>
      <c r="C435" s="2" t="s">
        <v>1317</v>
      </c>
      <c r="D435" s="2" t="s">
        <v>44</v>
      </c>
      <c r="E435" s="2" t="s">
        <v>27</v>
      </c>
      <c r="F435" s="2" t="s">
        <v>15</v>
      </c>
      <c r="G435" s="2" t="s">
        <v>1087</v>
      </c>
      <c r="H435" s="2" t="s">
        <v>29</v>
      </c>
      <c r="I435" s="2" t="str">
        <f>IFERROR(__xludf.DUMMYFUNCTION("GOOGLETRANSLATE(C435,""fr"",""en"")"),"Simple and quick to use for the moment. Even for customer service later.
Request 150 review characters for a new customer may be a little too much;)")</f>
        <v>Simple and quick to use for the moment. Even for customer service later.
Request 150 review characters for a new customer may be a little too much;)</v>
      </c>
    </row>
    <row r="436" ht="15.75" customHeight="1">
      <c r="A436" s="2">
        <v>2.0</v>
      </c>
      <c r="B436" s="2" t="s">
        <v>1318</v>
      </c>
      <c r="C436" s="2" t="s">
        <v>1319</v>
      </c>
      <c r="D436" s="2" t="s">
        <v>26</v>
      </c>
      <c r="E436" s="2" t="s">
        <v>27</v>
      </c>
      <c r="F436" s="2" t="s">
        <v>15</v>
      </c>
      <c r="G436" s="2" t="s">
        <v>1320</v>
      </c>
      <c r="H436" s="2" t="s">
        <v>422</v>
      </c>
      <c r="I436" s="2" t="str">
        <f>IFERROR(__xludf.DUMMYFUNCTION("GOOGLETRANSLATE(C436,""fr"",""en"")"),"I sent 2 LRAR to report a non -responsible accident and an additional information, without news I end up calling them: they are not aware of my disaster !!! We have 3 cars at home but not going to think of looking for a less ""relaxed"" insurer.")</f>
        <v>I sent 2 LRAR to report a non -responsible accident and an additional information, without news I end up calling them: they are not aware of my disaster !!! We have 3 cars at home but not going to think of looking for a less "relaxed" insurer.</v>
      </c>
    </row>
    <row r="437" ht="15.75" customHeight="1">
      <c r="A437" s="2">
        <v>1.0</v>
      </c>
      <c r="B437" s="2" t="s">
        <v>1321</v>
      </c>
      <c r="C437" s="2" t="s">
        <v>1322</v>
      </c>
      <c r="D437" s="2" t="s">
        <v>134</v>
      </c>
      <c r="E437" s="2" t="s">
        <v>33</v>
      </c>
      <c r="F437" s="2" t="s">
        <v>15</v>
      </c>
      <c r="G437" s="2" t="s">
        <v>1323</v>
      </c>
      <c r="H437" s="2" t="s">
        <v>922</v>
      </c>
      <c r="I437" s="2" t="str">
        <f>IFERROR(__xludf.DUMMYFUNCTION("GOOGLETRANSLATE(C437,""fr"",""en"")"),"I asked for a residential quote on the phone, the person immediately recorded it as a contract and my account was immediately debited. I found cheaper elsewhere and I did not want this new contract, it is forced sale, it's scandalous! I am a customer, the"&amp;" GMF has my bank details and uses as it seems; Despite my calls, I have still not been reimbursed. And it is very difficult to reach them.")</f>
        <v>I asked for a residential quote on the phone, the person immediately recorded it as a contract and my account was immediately debited. I found cheaper elsewhere and I did not want this new contract, it is forced sale, it's scandalous! I am a customer, the GMF has my bank details and uses as it seems; Despite my calls, I have still not been reimbursed. And it is very difficult to reach them.</v>
      </c>
    </row>
    <row r="438" ht="15.75" customHeight="1">
      <c r="A438" s="2">
        <v>2.0</v>
      </c>
      <c r="B438" s="2" t="s">
        <v>1324</v>
      </c>
      <c r="C438" s="2" t="s">
        <v>1325</v>
      </c>
      <c r="D438" s="2" t="s">
        <v>13</v>
      </c>
      <c r="E438" s="2" t="s">
        <v>14</v>
      </c>
      <c r="F438" s="2" t="s">
        <v>15</v>
      </c>
      <c r="G438" s="2" t="s">
        <v>1326</v>
      </c>
      <c r="H438" s="2" t="s">
        <v>465</v>
      </c>
      <c r="I438" s="2" t="str">
        <f>IFERROR(__xludf.DUMMYFUNCTION("GOOGLETRANSLATE(C438,""fr"",""en"")")," Accident in Travil 2012 Expertise 30 % in 2015 and another in 2016 which always granted 30 % MGEN to change my rate less than 20 % so as not to pay but compensation is shame for the MGEN no right for disabled.")</f>
        <v> Accident in Travil 2012 Expertise 30 % in 2015 and another in 2016 which always granted 30 % MGEN to change my rate less than 20 % so as not to pay but compensation is shame for the MGEN no right for disabled.</v>
      </c>
    </row>
    <row r="439" ht="15.75" customHeight="1">
      <c r="A439" s="2">
        <v>3.0</v>
      </c>
      <c r="B439" s="2" t="s">
        <v>1327</v>
      </c>
      <c r="C439" s="2" t="s">
        <v>1328</v>
      </c>
      <c r="D439" s="2" t="s">
        <v>141</v>
      </c>
      <c r="E439" s="2" t="s">
        <v>27</v>
      </c>
      <c r="F439" s="2" t="s">
        <v>15</v>
      </c>
      <c r="G439" s="2" t="s">
        <v>1329</v>
      </c>
      <c r="H439" s="2" t="s">
        <v>432</v>
      </c>
      <c r="I439" s="2" t="str">
        <f>IFERROR(__xludf.DUMMYFUNCTION("GOOGLETRANSLATE(C439,""fr"",""en"")"),"I have been a Maaf member for over 30 years. Jsans accidents for over 20 years, I had a lifetime. Not enough in my opinion as motivation! E am assured for a car and a house.")</f>
        <v>I have been a Maaf member for over 30 years. Jsans accidents for over 20 years, I had a lifetime. Not enough in my opinion as motivation! E am assured for a car and a house.</v>
      </c>
    </row>
    <row r="440" ht="15.75" customHeight="1">
      <c r="A440" s="2">
        <v>5.0</v>
      </c>
      <c r="B440" s="2" t="s">
        <v>1330</v>
      </c>
      <c r="C440" s="2" t="s">
        <v>1331</v>
      </c>
      <c r="D440" s="2" t="s">
        <v>38</v>
      </c>
      <c r="E440" s="2" t="s">
        <v>39</v>
      </c>
      <c r="F440" s="2" t="s">
        <v>15</v>
      </c>
      <c r="G440" s="2" t="s">
        <v>1029</v>
      </c>
      <c r="H440" s="2" t="s">
        <v>46</v>
      </c>
      <c r="I440" s="2" t="str">
        <f>IFERROR(__xludf.DUMMYFUNCTION("GOOGLETRANSLATE(C440,""fr"",""en"")"),"I had a competent person by phone. I recommend without worry with very interesting prices. I have nothing more to add.
Thanks very much")</f>
        <v>I had a competent person by phone. I recommend without worry with very interesting prices. I have nothing more to add.
Thanks very much</v>
      </c>
    </row>
    <row r="441" ht="15.75" customHeight="1">
      <c r="A441" s="2">
        <v>2.0</v>
      </c>
      <c r="B441" s="2" t="s">
        <v>1332</v>
      </c>
      <c r="C441" s="2" t="s">
        <v>1333</v>
      </c>
      <c r="D441" s="2" t="s">
        <v>44</v>
      </c>
      <c r="E441" s="2" t="s">
        <v>27</v>
      </c>
      <c r="F441" s="2" t="s">
        <v>15</v>
      </c>
      <c r="G441" s="2" t="s">
        <v>1334</v>
      </c>
      <c r="H441" s="2" t="s">
        <v>448</v>
      </c>
      <c r="I441" s="2" t="str">
        <f>IFERROR(__xludf.DUMMYFUNCTION("GOOGLETRANSLATE(C441,""fr"",""en"")"),"If you only aim at low cost and if you are well armed to face their subscription gas factory ...")</f>
        <v>If you only aim at low cost and if you are well armed to face their subscription gas factory ...</v>
      </c>
    </row>
    <row r="442" ht="15.75" customHeight="1">
      <c r="A442" s="2">
        <v>4.0</v>
      </c>
      <c r="B442" s="2" t="s">
        <v>1335</v>
      </c>
      <c r="C442" s="2" t="s">
        <v>1336</v>
      </c>
      <c r="D442" s="2" t="s">
        <v>117</v>
      </c>
      <c r="E442" s="2" t="s">
        <v>33</v>
      </c>
      <c r="F442" s="2" t="s">
        <v>15</v>
      </c>
      <c r="G442" s="2" t="s">
        <v>284</v>
      </c>
      <c r="H442" s="2" t="s">
        <v>278</v>
      </c>
      <c r="I442" s="2" t="str">
        <f>IFERROR(__xludf.DUMMYFUNCTION("GOOGLETRANSLATE(C442,""fr"",""en"")"),"I see a lot of negative opinion on Pacifica Housing.
For my part, I am completely satisfied by this insurance.
Following a disaster suffered in floods in 2019 in the Var, Pacifica has always responded to the first moments, while we were in a very precar"&amp;"ious situation.
Unlocking first emergency funds quickly, payment of the rents of a house for a rehousing, because our house was no longer habitable, the intervention of the expert was carried out fairly quickly, compensation for veterinary costs, etc. !
"&amp;"
It is true that sometimes it is a bit complicated to reach them on the phone and the answers are little long by email, but in crisis, it is true that we are not the only insured.
Pending Pacifica has always been by our side.
This opinion may seem a lit"&amp;"tle dithyrambic, but when we are unhappy, we must be known, but conversely, it must be said too.
A special mention to the person who followed our file throughout the procedure.
So I am fully satisfied by this insurance.")</f>
        <v>I see a lot of negative opinion on Pacifica Housing.
For my part, I am completely satisfied by this insurance.
Following a disaster suffered in floods in 2019 in the Var, Pacifica has always responded to the first moments, while we were in a very precarious situation.
Unlocking first emergency funds quickly, payment of the rents of a house for a rehousing, because our house was no longer habitable, the intervention of the expert was carried out fairly quickly, compensation for veterinary costs, etc. !
It is true that sometimes it is a bit complicated to reach them on the phone and the answers are little long by email, but in crisis, it is true that we are not the only insured.
Pending Pacifica has always been by our side.
This opinion may seem a little dithyrambic, but when we are unhappy, we must be known, but conversely, it must be said too.
A special mention to the person who followed our file throughout the procedure.
So I am fully satisfied by this insurance.</v>
      </c>
    </row>
    <row r="443" ht="15.75" customHeight="1">
      <c r="A443" s="2">
        <v>1.0</v>
      </c>
      <c r="B443" s="2" t="s">
        <v>1337</v>
      </c>
      <c r="C443" s="2" t="s">
        <v>1338</v>
      </c>
      <c r="D443" s="2" t="s">
        <v>134</v>
      </c>
      <c r="E443" s="2" t="s">
        <v>27</v>
      </c>
      <c r="F443" s="2" t="s">
        <v>15</v>
      </c>
      <c r="G443" s="2" t="s">
        <v>1339</v>
      </c>
      <c r="H443" s="2" t="s">
        <v>685</v>
      </c>
      <c r="I443" s="2" t="str">
        <f>IFERROR(__xludf.DUMMYFUNCTION("GOOGLETRANSLATE(C443,""fr"",""en"")"),"By what to start ... Having to relaunch them x times for a discount allocated by such but not visible to the contract, to be hung on the such (being courteous) tell me x times that the PB is treated while no")</f>
        <v>By what to start ... Having to relaunch them x times for a discount allocated by such but not visible to the contract, to be hung on the such (being courteous) tell me x times that the PB is treated while no</v>
      </c>
    </row>
    <row r="444" ht="15.75" customHeight="1">
      <c r="A444" s="2">
        <v>1.0</v>
      </c>
      <c r="B444" s="2" t="s">
        <v>1340</v>
      </c>
      <c r="C444" s="2" t="s">
        <v>1341</v>
      </c>
      <c r="D444" s="2" t="s">
        <v>1083</v>
      </c>
      <c r="E444" s="2" t="s">
        <v>76</v>
      </c>
      <c r="F444" s="2" t="s">
        <v>15</v>
      </c>
      <c r="G444" s="2" t="s">
        <v>1342</v>
      </c>
      <c r="H444" s="2" t="s">
        <v>78</v>
      </c>
      <c r="I444" s="2" t="str">
        <f>IFERROR(__xludf.DUMMYFUNCTION("GOOGLETRANSLATE(C444,""fr"",""en"")"),"When it comes to giving money following a guarantee, it becomes difficult. Very long service, sending customers to see a doctor who is often unpleasant. The processing time for files is very very long.")</f>
        <v>When it comes to giving money following a guarantee, it becomes difficult. Very long service, sending customers to see a doctor who is often unpleasant. The processing time for files is very very long.</v>
      </c>
    </row>
    <row r="445" ht="15.75" customHeight="1">
      <c r="A445" s="2">
        <v>3.0</v>
      </c>
      <c r="B445" s="2" t="s">
        <v>1343</v>
      </c>
      <c r="C445" s="2" t="s">
        <v>1344</v>
      </c>
      <c r="D445" s="2" t="s">
        <v>252</v>
      </c>
      <c r="E445" s="2" t="s">
        <v>14</v>
      </c>
      <c r="F445" s="2" t="s">
        <v>15</v>
      </c>
      <c r="G445" s="2" t="s">
        <v>1345</v>
      </c>
      <c r="H445" s="2" t="s">
        <v>62</v>
      </c>
      <c r="I445" s="2" t="str">
        <f>IFERROR(__xludf.DUMMYFUNCTION("GOOGLETRANSLATE(C445,""fr"",""en"")"),"I just subscribed to seeing in use ... Hoping to be satisfied with the sevices of this mutual we will see over time what he has ... I chose because my father also")</f>
        <v>I just subscribed to seeing in use ... Hoping to be satisfied with the sevices of this mutual we will see over time what he has ... I chose because my father also</v>
      </c>
    </row>
    <row r="446" ht="15.75" customHeight="1">
      <c r="A446" s="2">
        <v>3.0</v>
      </c>
      <c r="B446" s="2" t="s">
        <v>1346</v>
      </c>
      <c r="C446" s="2" t="s">
        <v>1347</v>
      </c>
      <c r="D446" s="2" t="s">
        <v>540</v>
      </c>
      <c r="E446" s="2" t="s">
        <v>76</v>
      </c>
      <c r="F446" s="2" t="s">
        <v>15</v>
      </c>
      <c r="G446" s="2" t="s">
        <v>1348</v>
      </c>
      <c r="H446" s="2" t="s">
        <v>571</v>
      </c>
      <c r="I446" s="2" t="str">
        <f>IFERROR(__xludf.DUMMYFUNCTION("GOOGLETRANSLATE(C446,""fr"",""en"")"),"Like many members and in other insurances we pay contributions up to certain services. Outside they subcontract !!!! My deceased husband was covered for the mortgage up to 60%.
It's been 2 months since I walk I am told that the transfer is made when the "&amp;"bank did not receive it. In addition, I am told that I have not been covered on the rest of the loan since the date of death. We are not even given time to bounce back .... suddenly if something I happen to me my children will have to manage.
")</f>
        <v>Like many members and in other insurances we pay contributions up to certain services. Outside they subcontract !!!! My deceased husband was covered for the mortgage up to 60%.
It's been 2 months since I walk I am told that the transfer is made when the bank did not receive it. In addition, I am told that I have not been covered on the rest of the loan since the date of death. We are not even given time to bounce back .... suddenly if something I happen to me my children will have to manage.
</v>
      </c>
    </row>
    <row r="447" ht="15.75" customHeight="1">
      <c r="A447" s="2">
        <v>3.0</v>
      </c>
      <c r="B447" s="2" t="s">
        <v>1349</v>
      </c>
      <c r="C447" s="2" t="s">
        <v>1350</v>
      </c>
      <c r="D447" s="2" t="s">
        <v>44</v>
      </c>
      <c r="E447" s="2" t="s">
        <v>27</v>
      </c>
      <c r="F447" s="2" t="s">
        <v>15</v>
      </c>
      <c r="G447" s="2" t="s">
        <v>1351</v>
      </c>
      <c r="H447" s="2" t="s">
        <v>29</v>
      </c>
      <c r="I447" s="2" t="str">
        <f>IFERROR(__xludf.DUMMYFUNCTION("GOOGLETRANSLATE(C447,""fr"",""en"")"),"Satisfied and quick to have insured my car directly on the site I highly recommend insured the such fast efficient car from there")</f>
        <v>Satisfied and quick to have insured my car directly on the site I highly recommend insured the such fast efficient car from there</v>
      </c>
    </row>
    <row r="448" ht="15.75" customHeight="1">
      <c r="A448" s="2">
        <v>2.0</v>
      </c>
      <c r="B448" s="2" t="s">
        <v>1352</v>
      </c>
      <c r="C448" s="2" t="s">
        <v>1353</v>
      </c>
      <c r="D448" s="2" t="s">
        <v>109</v>
      </c>
      <c r="E448" s="2" t="s">
        <v>27</v>
      </c>
      <c r="F448" s="2" t="s">
        <v>15</v>
      </c>
      <c r="G448" s="2" t="s">
        <v>606</v>
      </c>
      <c r="H448" s="2" t="s">
        <v>606</v>
      </c>
      <c r="I448" s="2" t="str">
        <f>IFERROR(__xludf.DUMMYFUNCTION("GOOGLETRANSLATE(C448,""fr"",""en"")"),"Fired after 32 years with a bonus of 65 % but state given that I am a good customer I am offered to reassure me in one of their subsidiary with 150 % increase in my premium I leave you judging")</f>
        <v>Fired after 32 years with a bonus of 65 % but state given that I am a good customer I am offered to reassure me in one of their subsidiary with 150 % increase in my premium I leave you judging</v>
      </c>
    </row>
    <row r="449" ht="15.75" customHeight="1">
      <c r="A449" s="2">
        <v>1.0</v>
      </c>
      <c r="B449" s="2" t="s">
        <v>1354</v>
      </c>
      <c r="C449" s="2" t="s">
        <v>1355</v>
      </c>
      <c r="D449" s="2" t="s">
        <v>1356</v>
      </c>
      <c r="E449" s="2" t="s">
        <v>460</v>
      </c>
      <c r="F449" s="2" t="s">
        <v>15</v>
      </c>
      <c r="G449" s="2" t="s">
        <v>921</v>
      </c>
      <c r="H449" s="2" t="s">
        <v>922</v>
      </c>
      <c r="I449" s="2" t="str">
        <f>IFERROR(__xludf.DUMMYFUNCTION("GOOGLETRANSLATE(C449,""fr"",""en"")"),"To flee!! The staff of Aviva Bordeaux is lamentable, first liars who have led my mother in boats for weeks ... and the file has not yet been solved.
My mother wanted to withdraw all the funds entrusted to AFER ... Mission Impossible, the most shared lies"&amp;" are uttered to save time (money) is shameful!
I do not recommend at all, neither Aviva nor AFER ..")</f>
        <v>To flee!! The staff of Aviva Bordeaux is lamentable, first liars who have led my mother in boats for weeks ... and the file has not yet been solved.
My mother wanted to withdraw all the funds entrusted to AFER ... Mission Impossible, the most shared lies are uttered to save time (money) is shameful!
I do not recommend at all, neither Aviva nor AFER ..</v>
      </c>
    </row>
    <row r="450" ht="15.75" customHeight="1">
      <c r="A450" s="2">
        <v>4.0</v>
      </c>
      <c r="B450" s="2" t="s">
        <v>1357</v>
      </c>
      <c r="C450" s="2" t="s">
        <v>1358</v>
      </c>
      <c r="D450" s="2" t="s">
        <v>55</v>
      </c>
      <c r="E450" s="2" t="s">
        <v>14</v>
      </c>
      <c r="F450" s="2" t="s">
        <v>15</v>
      </c>
      <c r="G450" s="2" t="s">
        <v>1359</v>
      </c>
      <c r="H450" s="2" t="s">
        <v>230</v>
      </c>
      <c r="I450" s="2" t="str">
        <f>IFERROR(__xludf.DUMMYFUNCTION("GOOGLETRANSLATE(C450,""fr"",""en"")"),"VERY GOOD:::::::::::::::::::::::::::::::::::::::::::::::: ::::")</f>
        <v>VERY GOOD:::::::::::::::::::::::::::::::::::::::::::::::: ::::</v>
      </c>
    </row>
    <row r="451" ht="15.75" customHeight="1">
      <c r="A451" s="2">
        <v>3.0</v>
      </c>
      <c r="B451" s="2" t="s">
        <v>1360</v>
      </c>
      <c r="C451" s="2" t="s">
        <v>1361</v>
      </c>
      <c r="D451" s="2" t="s">
        <v>44</v>
      </c>
      <c r="E451" s="2" t="s">
        <v>27</v>
      </c>
      <c r="F451" s="2" t="s">
        <v>15</v>
      </c>
      <c r="G451" s="2" t="s">
        <v>297</v>
      </c>
      <c r="H451" s="2" t="s">
        <v>46</v>
      </c>
      <c r="I451" s="2" t="str">
        <f>IFERROR(__xludf.DUMMYFUNCTION("GOOGLETRANSLATE(C451,""fr"",""en"")"),"I am satisfied with your service and your prices. Thank you thank you thank you thank you I will come to you for other family vehicles I will see for my accommodation")</f>
        <v>I am satisfied with your service and your prices. Thank you thank you thank you thank you I will come to you for other family vehicles I will see for my accommodation</v>
      </c>
    </row>
    <row r="452" ht="15.75" customHeight="1">
      <c r="A452" s="2">
        <v>2.0</v>
      </c>
      <c r="B452" s="2" t="s">
        <v>1362</v>
      </c>
      <c r="C452" s="2" t="s">
        <v>1363</v>
      </c>
      <c r="D452" s="2" t="s">
        <v>44</v>
      </c>
      <c r="E452" s="2" t="s">
        <v>27</v>
      </c>
      <c r="F452" s="2" t="s">
        <v>15</v>
      </c>
      <c r="G452" s="2" t="s">
        <v>1364</v>
      </c>
      <c r="H452" s="2" t="s">
        <v>41</v>
      </c>
      <c r="I452" s="2" t="str">
        <f>IFERROR(__xludf.DUMMYFUNCTION("GOOGLETRANSLATE(C452,""fr"",""en"")"),"I am satisfied with the service, however, prices have increased enormously this year + 138 euros on all of my contracts! I will review my contracts to my big regret because no problem so far.")</f>
        <v>I am satisfied with the service, however, prices have increased enormously this year + 138 euros on all of my contracts! I will review my contracts to my big regret because no problem so far.</v>
      </c>
    </row>
    <row r="453" ht="15.75" customHeight="1">
      <c r="A453" s="2">
        <v>5.0</v>
      </c>
      <c r="B453" s="2" t="s">
        <v>1365</v>
      </c>
      <c r="C453" s="2" t="s">
        <v>1366</v>
      </c>
      <c r="D453" s="2" t="s">
        <v>26</v>
      </c>
      <c r="E453" s="2" t="s">
        <v>27</v>
      </c>
      <c r="F453" s="2" t="s">
        <v>15</v>
      </c>
      <c r="G453" s="2" t="s">
        <v>56</v>
      </c>
      <c r="H453" s="2" t="s">
        <v>57</v>
      </c>
      <c r="I453" s="2" t="str">
        <f>IFERROR(__xludf.DUMMYFUNCTION("GOOGLETRANSLATE(C453,""fr"",""en"")"),"Hello I am very satisfied with your prices and your responsiveness I attach the documents requested today, and will contact you for another contract in early April.
Cordially")</f>
        <v>Hello I am very satisfied with your prices and your responsiveness I attach the documents requested today, and will contact you for another contract in early April.
Cordially</v>
      </c>
    </row>
    <row r="454" ht="15.75" customHeight="1">
      <c r="A454" s="2">
        <v>4.0</v>
      </c>
      <c r="B454" s="2" t="s">
        <v>1367</v>
      </c>
      <c r="C454" s="2" t="s">
        <v>1368</v>
      </c>
      <c r="D454" s="2" t="s">
        <v>540</v>
      </c>
      <c r="E454" s="2" t="s">
        <v>14</v>
      </c>
      <c r="F454" s="2" t="s">
        <v>15</v>
      </c>
      <c r="G454" s="2" t="s">
        <v>1369</v>
      </c>
      <c r="H454" s="2" t="s">
        <v>86</v>
      </c>
      <c r="I454" s="2" t="str">
        <f>IFERROR(__xludf.DUMMYFUNCTION("GOOGLETRANSLATE(C454,""fr"",""en"")"),"I have been a member of the MGP since 1999. Since that time, even if from time to time I have doubted the expensive price of my monthly subscription, I am always members of this mutual.
Too many people think they want to pay a mutual insurance company at"&amp;" very low prices (€ 5) to be reimbursed at 1000 %.
I think that the subscription proposed by the MGP clearly reflects the refund made.
Thanks to the MGP, I have no fees to advance during my consultations with a doctor or the pharmacy.")</f>
        <v>I have been a member of the MGP since 1999. Since that time, even if from time to time I have doubted the expensive price of my monthly subscription, I am always members of this mutual.
Too many people think they want to pay a mutual insurance company at very low prices (€ 5) to be reimbursed at 1000 %.
I think that the subscription proposed by the MGP clearly reflects the refund made.
Thanks to the MGP, I have no fees to advance during my consultations with a doctor or the pharmacy.</v>
      </c>
    </row>
    <row r="455" ht="15.75" customHeight="1">
      <c r="A455" s="2">
        <v>5.0</v>
      </c>
      <c r="B455" s="2" t="s">
        <v>1370</v>
      </c>
      <c r="C455" s="2" t="s">
        <v>1371</v>
      </c>
      <c r="D455" s="2" t="s">
        <v>332</v>
      </c>
      <c r="E455" s="2" t="s">
        <v>21</v>
      </c>
      <c r="F455" s="2" t="s">
        <v>15</v>
      </c>
      <c r="G455" s="2" t="s">
        <v>1029</v>
      </c>
      <c r="H455" s="2" t="s">
        <v>46</v>
      </c>
      <c r="I455" s="2" t="str">
        <f>IFERROR(__xludf.DUMMYFUNCTION("GOOGLETRANSLATE(C455,""fr"",""en"")"),"Very good advice and sympathy of the interlocutors. Speed ​​of processing of the files much appreciated, clarity of information, very positive time of contact also")</f>
        <v>Very good advice and sympathy of the interlocutors. Speed ​​of processing of the files much appreciated, clarity of information, very positive time of contact also</v>
      </c>
    </row>
    <row r="456" ht="15.75" customHeight="1">
      <c r="A456" s="2">
        <v>5.0</v>
      </c>
      <c r="B456" s="2" t="s">
        <v>1372</v>
      </c>
      <c r="C456" s="2" t="s">
        <v>1373</v>
      </c>
      <c r="D456" s="2" t="s">
        <v>60</v>
      </c>
      <c r="E456" s="2" t="s">
        <v>14</v>
      </c>
      <c r="F456" s="2" t="s">
        <v>15</v>
      </c>
      <c r="G456" s="2" t="s">
        <v>1374</v>
      </c>
      <c r="H456" s="2" t="s">
        <v>131</v>
      </c>
      <c r="I456" s="2" t="str">
        <f>IFERROR(__xludf.DUMMYFUNCTION("GOOGLETRANSLATE(C456,""fr"",""en"")"),"Very good form, advantageous price and good advisor's advice")</f>
        <v>Very good form, advantageous price and good advisor's advice</v>
      </c>
    </row>
    <row r="457" ht="15.75" customHeight="1">
      <c r="A457" s="2">
        <v>1.0</v>
      </c>
      <c r="B457" s="2" t="s">
        <v>1375</v>
      </c>
      <c r="C457" s="2" t="s">
        <v>1376</v>
      </c>
      <c r="D457" s="2" t="s">
        <v>273</v>
      </c>
      <c r="E457" s="2" t="s">
        <v>33</v>
      </c>
      <c r="F457" s="2" t="s">
        <v>15</v>
      </c>
      <c r="G457" s="2" t="s">
        <v>1377</v>
      </c>
      <c r="H457" s="2" t="s">
        <v>301</v>
      </c>
      <c r="I457" s="2" t="str">
        <f>IFERROR(__xludf.DUMMYFUNCTION("GOOGLETRANSLATE(C457,""fr"",""en"")"),"Already 7 months that my sister's house took fires and still nothing past !!! Not even able to pay their rent planned in cases there !!! It is unacceptable !!!")</f>
        <v>Already 7 months that my sister's house took fires and still nothing past !!! Not even able to pay their rent planned in cases there !!! It is unacceptable !!!</v>
      </c>
    </row>
    <row r="458" ht="15.75" customHeight="1">
      <c r="A458" s="2">
        <v>1.0</v>
      </c>
      <c r="B458" s="2" t="s">
        <v>1378</v>
      </c>
      <c r="C458" s="2" t="s">
        <v>1379</v>
      </c>
      <c r="D458" s="2" t="s">
        <v>44</v>
      </c>
      <c r="E458" s="2" t="s">
        <v>27</v>
      </c>
      <c r="F458" s="2" t="s">
        <v>15</v>
      </c>
      <c r="G458" s="2" t="s">
        <v>138</v>
      </c>
      <c r="H458" s="2" t="s">
        <v>46</v>
      </c>
      <c r="I458" s="2" t="str">
        <f>IFERROR(__xludf.DUMMYFUNCTION("GOOGLETRANSLATE(C458,""fr"",""en"")"),"To have ! Recently registered I cannot decide on this company Branch of Axa Insurance online. If there is the slightest concern I will come back to you
Best regards
Kimo")</f>
        <v>To have ! Recently registered I cannot decide on this company Branch of Axa Insurance online. If there is the slightest concern I will come back to you
Best regards
Kimo</v>
      </c>
    </row>
    <row r="459" ht="15.75" customHeight="1">
      <c r="A459" s="2">
        <v>2.0</v>
      </c>
      <c r="B459" s="2" t="s">
        <v>1380</v>
      </c>
      <c r="C459" s="2" t="s">
        <v>1381</v>
      </c>
      <c r="D459" s="2" t="s">
        <v>70</v>
      </c>
      <c r="E459" s="2" t="s">
        <v>14</v>
      </c>
      <c r="F459" s="2" t="s">
        <v>15</v>
      </c>
      <c r="G459" s="2" t="s">
        <v>1382</v>
      </c>
      <c r="H459" s="2" t="s">
        <v>922</v>
      </c>
      <c r="I459" s="2" t="str">
        <f>IFERROR(__xludf.DUMMYFUNCTION("GOOGLETRANSLATE(C459,""fr"",""en"")"),"Hello, I sent a dental quote on November 6, 2018 since I expect an answer We are on March 8, 2019 still nothing ..... I called several times and always the same response without result ""I make a complaint ""In the meantime I can no longer eat properly.")</f>
        <v>Hello, I sent a dental quote on November 6, 2018 since I expect an answer We are on March 8, 2019 still nothing ..... I called several times and always the same response without result "I make a complaint "In the meantime I can no longer eat properly.</v>
      </c>
    </row>
    <row r="460" ht="15.75" customHeight="1">
      <c r="A460" s="2">
        <v>1.0</v>
      </c>
      <c r="B460" s="2" t="s">
        <v>1383</v>
      </c>
      <c r="C460" s="2" t="s">
        <v>1384</v>
      </c>
      <c r="D460" s="2" t="s">
        <v>117</v>
      </c>
      <c r="E460" s="2" t="s">
        <v>33</v>
      </c>
      <c r="F460" s="2" t="s">
        <v>15</v>
      </c>
      <c r="G460" s="2" t="s">
        <v>1385</v>
      </c>
      <c r="H460" s="2" t="s">
        <v>131</v>
      </c>
      <c r="I460" s="2" t="str">
        <f>IFERROR(__xludf.DUMMYFUNCTION("GOOGLETRANSLATE(C460,""fr"",""en"")"),"I asked to declare a claim following a strong bad weather. Answer: Your windows should not be waterproof ... ""Passing someone"" ... I asked that an expert passes. The answer was: ""Madam, that doesn't happen like that"".
I then sent a registered letter "&amp;"but no answer. Simply scandalous!")</f>
        <v>I asked to declare a claim following a strong bad weather. Answer: Your windows should not be waterproof ... "Passing someone" ... I asked that an expert passes. The answer was: "Madam, that doesn't happen like that".
I then sent a registered letter but no answer. Simply scandalous!</v>
      </c>
    </row>
    <row r="461" ht="15.75" customHeight="1">
      <c r="A461" s="2">
        <v>1.0</v>
      </c>
      <c r="B461" s="2" t="s">
        <v>1386</v>
      </c>
      <c r="C461" s="2" t="s">
        <v>1387</v>
      </c>
      <c r="D461" s="2" t="s">
        <v>237</v>
      </c>
      <c r="E461" s="2" t="s">
        <v>14</v>
      </c>
      <c r="F461" s="2" t="s">
        <v>15</v>
      </c>
      <c r="G461" s="2" t="s">
        <v>145</v>
      </c>
      <c r="H461" s="2" t="s">
        <v>41</v>
      </c>
      <c r="I461" s="2" t="str">
        <f>IFERROR(__xludf.DUMMYFUNCTION("GOOGLETRANSLATE(C461,""fr"",""en"")"),"You have a problem ? Well do well, contact them alone, contact them ... without comments and if you have them ... never aware of nothing unless you have not paid and again ... even not agree, files no up to date and I pass.")</f>
        <v>You have a problem ? Well do well, contact them alone, contact them ... without comments and if you have them ... never aware of nothing unless you have not paid and again ... even not agree, files no up to date and I pass.</v>
      </c>
    </row>
    <row r="462" ht="15.75" customHeight="1">
      <c r="A462" s="2">
        <v>3.0</v>
      </c>
      <c r="B462" s="2" t="s">
        <v>1388</v>
      </c>
      <c r="C462" s="2" t="s">
        <v>1389</v>
      </c>
      <c r="D462" s="2" t="s">
        <v>44</v>
      </c>
      <c r="E462" s="2" t="s">
        <v>27</v>
      </c>
      <c r="F462" s="2" t="s">
        <v>15</v>
      </c>
      <c r="G462" s="2" t="s">
        <v>503</v>
      </c>
      <c r="H462" s="2" t="s">
        <v>41</v>
      </c>
      <c r="I462" s="2" t="str">
        <f>IFERROR(__xludf.DUMMYFUNCTION("GOOGLETRANSLATE(C462,""fr"",""en"")"),"The prices which were competitive increase regularly even without accident on my part for more than 10 years for my three cars (maintained they are 2 after having sold one)")</f>
        <v>The prices which were competitive increase regularly even without accident on my part for more than 10 years for my three cars (maintained they are 2 after having sold one)</v>
      </c>
    </row>
    <row r="463" ht="15.75" customHeight="1">
      <c r="A463" s="2">
        <v>2.0</v>
      </c>
      <c r="B463" s="2" t="s">
        <v>1390</v>
      </c>
      <c r="C463" s="2" t="s">
        <v>1391</v>
      </c>
      <c r="D463" s="2" t="s">
        <v>32</v>
      </c>
      <c r="E463" s="2" t="s">
        <v>27</v>
      </c>
      <c r="F463" s="2" t="s">
        <v>15</v>
      </c>
      <c r="G463" s="2" t="s">
        <v>1392</v>
      </c>
      <c r="H463" s="2" t="s">
        <v>301</v>
      </c>
      <c r="I463" s="2" t="str">
        <f>IFERROR(__xludf.DUMMYFUNCTION("GOOGLETRANSLATE(C463,""fr"",""en"")"),"I will no longer recommend this insurance. Member for over 30 years this insurance has become any great anything. The telephone control units are at all up to par. In the end must go to the agency which is 25 km from our home. In addition to the agency no"&amp;" commercial gesture, are treated as numbers without consideration of the 30 years of members with all contracts and 2 life insurance. We are going to prospect other insurance. Even if there will be no more consideration we will be new customers and will h"&amp;"ave less a feeling of negligence. A minimum of respect for loyalty would be fashionable.")</f>
        <v>I will no longer recommend this insurance. Member for over 30 years this insurance has become any great anything. The telephone control units are at all up to par. In the end must go to the agency which is 25 km from our home. In addition to the agency no commercial gesture, are treated as numbers without consideration of the 30 years of members with all contracts and 2 life insurance. We are going to prospect other insurance. Even if there will be no more consideration we will be new customers and will have less a feeling of negligence. A minimum of respect for loyalty would be fashionable.</v>
      </c>
    </row>
    <row r="464" ht="15.75" customHeight="1">
      <c r="A464" s="2">
        <v>1.0</v>
      </c>
      <c r="B464" s="2" t="s">
        <v>1393</v>
      </c>
      <c r="C464" s="2" t="s">
        <v>1394</v>
      </c>
      <c r="D464" s="2" t="s">
        <v>44</v>
      </c>
      <c r="E464" s="2" t="s">
        <v>27</v>
      </c>
      <c r="F464" s="2" t="s">
        <v>15</v>
      </c>
      <c r="G464" s="2" t="s">
        <v>1395</v>
      </c>
      <c r="H464" s="2" t="s">
        <v>529</v>
      </c>
      <c r="I464" s="2" t="str">
        <f>IFERROR(__xludf.DUMMYFUNCTION("GOOGLETRANSLATE(C464,""fr"",""en"")"),"If I could put 0 star I would have done it because really an insurance such that it should not even exist it really makes fun of people.
I go on vacation 300 km from my house a burst tire I am lucky I did not hit any other vehicle I am alone with my thre"&amp;"e children I must put them in safety I call the insurance that kindly tells me That a burst tire is not taken care of that the tow truck is not supported either and the repatriation is not supported either and that a car rental will not be supported no Mo"&amp;"re therefore, in fact I pay insurance for nothing at all nothing and supported I don't even explain the salty note to you that I really had to flee more people are very malpoli is badly high in this service to be fleeing absolutely
The advisor I have on "&amp;"the phone that day during our accident tells me to call the gendarmes and you hang up on me by telling me you have to read the little lines sorry I have the insurance most dear to you")</f>
        <v>If I could put 0 star I would have done it because really an insurance such that it should not even exist it really makes fun of people.
I go on vacation 300 km from my house a burst tire I am lucky I did not hit any other vehicle I am alone with my three children I must put them in safety I call the insurance that kindly tells me That a burst tire is not taken care of that the tow truck is not supported either and the repatriation is not supported either and that a car rental will not be supported no More therefore, in fact I pay insurance for nothing at all nothing and supported I don't even explain the salty note to you that I really had to flee more people are very malpoli is badly high in this service to be fleeing absolutely
The advisor I have on the phone that day during our accident tells me to call the gendarmes and you hang up on me by telling me you have to read the little lines sorry I have the insurance most dear to you</v>
      </c>
    </row>
    <row r="465" ht="15.75" customHeight="1">
      <c r="A465" s="2">
        <v>5.0</v>
      </c>
      <c r="B465" s="2" t="s">
        <v>1396</v>
      </c>
      <c r="C465" s="2" t="s">
        <v>1397</v>
      </c>
      <c r="D465" s="2" t="s">
        <v>38</v>
      </c>
      <c r="E465" s="2" t="s">
        <v>39</v>
      </c>
      <c r="F465" s="2" t="s">
        <v>15</v>
      </c>
      <c r="G465" s="2" t="s">
        <v>1074</v>
      </c>
      <c r="H465" s="2" t="s">
        <v>23</v>
      </c>
      <c r="I465" s="2" t="str">
        <f>IFERROR(__xludf.DUMMYFUNCTION("GOOGLETRANSLATE(C465,""fr"",""en"")"),"The price satisfies, to see in time if there is no possibility of having more choices in terms of insurance for the biker in addition very less than other insurance!")</f>
        <v>The price satisfies, to see in time if there is no possibility of having more choices in terms of insurance for the biker in addition very less than other insurance!</v>
      </c>
    </row>
    <row r="466" ht="15.75" customHeight="1">
      <c r="A466" s="2">
        <v>2.0</v>
      </c>
      <c r="B466" s="2" t="s">
        <v>1398</v>
      </c>
      <c r="C466" s="2" t="s">
        <v>1399</v>
      </c>
      <c r="D466" s="2" t="s">
        <v>134</v>
      </c>
      <c r="E466" s="2" t="s">
        <v>27</v>
      </c>
      <c r="F466" s="2" t="s">
        <v>15</v>
      </c>
      <c r="G466" s="2" t="s">
        <v>1400</v>
      </c>
      <c r="H466" s="2" t="s">
        <v>192</v>
      </c>
      <c r="I466" s="2" t="str">
        <f>IFERROR(__xludf.DUMMYFUNCTION("GOOGLETRANSLATE(C466,""fr"",""en"")"),"After 3 non -responsible claims (Ice Brokes and an over -sucking DC 2 claims at once), the GMF made me understand that my presence in them became embarrassing. So I was also entitled to Joker Assur insurance which makes you pay 50% more each month. In sho"&amp;"rt, I can understand that they are trying to protect themselves when a customer costs them more money than it brings them. Where I really doubted it is on the expertise part of the car. The cost of repairs being too high the expert deemed more logical to "&amp;"consider that my car was ""EPAVE"". And he therefore estimated my car at 12,500 euros. I still specify that this car had been bought new 21349 euros 5 months and 10 days earlier. I have a very meager experience of cars but I still suspect that a car does "&amp;"not lose almost half of its value in just 6 months. The question is: is there sometimes existence of arrangements between experts and GMF in order to reduce reimbursements?")</f>
        <v>After 3 non -responsible claims (Ice Brokes and an over -sucking DC 2 claims at once), the GMF made me understand that my presence in them became embarrassing. So I was also entitled to Joker Assur insurance which makes you pay 50% more each month. In short, I can understand that they are trying to protect themselves when a customer costs them more money than it brings them. Where I really doubted it is on the expertise part of the car. The cost of repairs being too high the expert deemed more logical to consider that my car was "EPAVE". And he therefore estimated my car at 12,500 euros. I still specify that this car had been bought new 21349 euros 5 months and 10 days earlier. I have a very meager experience of cars but I still suspect that a car does not lose almost half of its value in just 6 months. The question is: is there sometimes existence of arrangements between experts and GMF in order to reduce reimbursements?</v>
      </c>
    </row>
    <row r="467" ht="15.75" customHeight="1">
      <c r="A467" s="2">
        <v>5.0</v>
      </c>
      <c r="B467" s="2" t="s">
        <v>1401</v>
      </c>
      <c r="C467" s="2" t="s">
        <v>1402</v>
      </c>
      <c r="D467" s="2" t="s">
        <v>26</v>
      </c>
      <c r="E467" s="2" t="s">
        <v>27</v>
      </c>
      <c r="F467" s="2" t="s">
        <v>15</v>
      </c>
      <c r="G467" s="2" t="s">
        <v>1403</v>
      </c>
      <c r="H467" s="2" t="s">
        <v>448</v>
      </c>
      <c r="I467" s="2" t="str">
        <f>IFERROR(__xludf.DUMMYFUNCTION("GOOGLETRANSLATE(C467,""fr"",""en"")"),"Totally satisfied! I have nothing to complain about ... Top price, reactive customer service and quick email response.")</f>
        <v>Totally satisfied! I have nothing to complain about ... Top price, reactive customer service and quick email response.</v>
      </c>
    </row>
    <row r="468" ht="15.75" customHeight="1">
      <c r="A468" s="2">
        <v>1.0</v>
      </c>
      <c r="B468" s="2" t="s">
        <v>1404</v>
      </c>
      <c r="C468" s="2" t="s">
        <v>1405</v>
      </c>
      <c r="D468" s="2" t="s">
        <v>165</v>
      </c>
      <c r="E468" s="2" t="s">
        <v>27</v>
      </c>
      <c r="F468" s="2" t="s">
        <v>15</v>
      </c>
      <c r="G468" s="2" t="s">
        <v>679</v>
      </c>
      <c r="H468" s="2" t="s">
        <v>680</v>
      </c>
      <c r="I468" s="2" t="str">
        <f>IFERROR(__xludf.DUMMYFUNCTION("GOOGLETRANSLATE(C468,""fr"",""en"")"),"Hello,
First you should know that people who put negative comments are not always ""dissatisfied with life or never happy 'here.
I work as a television and I know very well what an advisor must say and not say.
I called twice to subscribe to car in"&amp;"surance at home, the first before yesterday and the second and last today.
Unpleasant staff, it rarely happened to me especially for a first contact.
The lady I had quickly excited when I did not call to contest or to complain but to find out and subs"&amp;"cribe, I had to say to her ""calm you madam"" and the gentleman that I I had today was cold, reproached me for what I was asking for some questions.
Dates and times of my calls:
1. October 2 11:44 a.m.
2. October 5 4:30 p.m.
Your responses to the comm"&amp;"ents are: Yes the conversations are listened to, excuse me your staff is cold and limits nasty so start by reviewing your customer service because frankly it does not make you want.
I think I'm going to go see a little more and avoid you.
Thank you.")</f>
        <v>Hello,
First you should know that people who put negative comments are not always "dissatisfied with life or never happy 'here.
I work as a television and I know very well what an advisor must say and not say.
I called twice to subscribe to car insurance at home, the first before yesterday and the second and last today.
Unpleasant staff, it rarely happened to me especially for a first contact.
The lady I had quickly excited when I did not call to contest or to complain but to find out and subscribe, I had to say to her "calm you madam" and the gentleman that I I had today was cold, reproached me for what I was asking for some questions.
Dates and times of my calls:
1. October 2 11:44 a.m.
2. October 5 4:30 p.m.
Your responses to the comments are: Yes the conversations are listened to, excuse me your staff is cold and limits nasty so start by reviewing your customer service because frankly it does not make you want.
I think I'm going to go see a little more and avoid you.
Thank you.</v>
      </c>
    </row>
    <row r="469" ht="15.75" customHeight="1">
      <c r="A469" s="2">
        <v>4.0</v>
      </c>
      <c r="B469" s="2" t="s">
        <v>1406</v>
      </c>
      <c r="C469" s="2" t="s">
        <v>1407</v>
      </c>
      <c r="D469" s="2" t="s">
        <v>26</v>
      </c>
      <c r="E469" s="2" t="s">
        <v>27</v>
      </c>
      <c r="F469" s="2" t="s">
        <v>15</v>
      </c>
      <c r="G469" s="2" t="s">
        <v>1408</v>
      </c>
      <c r="H469" s="2" t="s">
        <v>418</v>
      </c>
      <c r="I469" s="2" t="str">
        <f>IFERROR(__xludf.DUMMYFUNCTION("GOOGLETRANSLATE(C469,""fr"",""en"")"),"I am satisfied with the price but I find it shame that the price increases each year but otherwise I am quite satisfied on the whole and I hope to have discounts since all my vehicles are insured at home")</f>
        <v>I am satisfied with the price but I find it shame that the price increases each year but otherwise I am quite satisfied on the whole and I hope to have discounts since all my vehicles are insured at home</v>
      </c>
    </row>
    <row r="470" ht="15.75" customHeight="1">
      <c r="A470" s="2">
        <v>5.0</v>
      </c>
      <c r="B470" s="2" t="s">
        <v>1409</v>
      </c>
      <c r="C470" s="2" t="s">
        <v>1410</v>
      </c>
      <c r="D470" s="2" t="s">
        <v>44</v>
      </c>
      <c r="E470" s="2" t="s">
        <v>27</v>
      </c>
      <c r="F470" s="2" t="s">
        <v>15</v>
      </c>
      <c r="G470" s="2" t="s">
        <v>412</v>
      </c>
      <c r="H470" s="2" t="s">
        <v>29</v>
      </c>
      <c r="I470" s="2" t="str">
        <f>IFERROR(__xludf.DUMMYFUNCTION("GOOGLETRANSLATE(C470,""fr"",""en"")"),"Insurance Super very well informed and very fast I highly recommend this rapid research insurance and above all very effective for each information")</f>
        <v>Insurance Super very well informed and very fast I highly recommend this rapid research insurance and above all very effective for each information</v>
      </c>
    </row>
    <row r="471" ht="15.75" customHeight="1">
      <c r="A471" s="2">
        <v>5.0</v>
      </c>
      <c r="B471" s="2" t="s">
        <v>1411</v>
      </c>
      <c r="C471" s="2" t="s">
        <v>1412</v>
      </c>
      <c r="D471" s="2" t="s">
        <v>44</v>
      </c>
      <c r="E471" s="2" t="s">
        <v>27</v>
      </c>
      <c r="F471" s="2" t="s">
        <v>15</v>
      </c>
      <c r="G471" s="2" t="s">
        <v>264</v>
      </c>
      <c r="H471" s="2" t="s">
        <v>23</v>
      </c>
      <c r="I471" s="2" t="str">
        <f>IFERROR(__xludf.DUMMYFUNCTION("GOOGLETRANSLATE(C471,""fr"",""en"")"),"I am satisfied with the service and satisfied with the price
Thank you for your speed and I count on you to send me the green card or faster by mail thank you")</f>
        <v>I am satisfied with the service and satisfied with the price
Thank you for your speed and I count on you to send me the green card or faster by mail thank you</v>
      </c>
    </row>
    <row r="472" ht="15.75" customHeight="1">
      <c r="A472" s="2">
        <v>5.0</v>
      </c>
      <c r="B472" s="2" t="s">
        <v>1413</v>
      </c>
      <c r="C472" s="2" t="s">
        <v>1414</v>
      </c>
      <c r="D472" s="2" t="s">
        <v>26</v>
      </c>
      <c r="E472" s="2" t="s">
        <v>27</v>
      </c>
      <c r="F472" s="2" t="s">
        <v>15</v>
      </c>
      <c r="G472" s="2" t="s">
        <v>1408</v>
      </c>
      <c r="H472" s="2" t="s">
        <v>418</v>
      </c>
      <c r="I472" s="2" t="str">
        <f>IFERROR(__xludf.DUMMYFUNCTION("GOOGLETRANSLATE(C472,""fr"",""en"")"),"Good understanding thank you
Listening to customers, automatic reminder, very happy with the service and insurance offered
You were recommended to me and I am very satisfied with it")</f>
        <v>Good understanding thank you
Listening to customers, automatic reminder, very happy with the service and insurance offered
You were recommended to me and I am very satisfied with it</v>
      </c>
    </row>
    <row r="473" ht="15.75" customHeight="1">
      <c r="A473" s="2">
        <v>2.0</v>
      </c>
      <c r="B473" s="2" t="s">
        <v>1415</v>
      </c>
      <c r="C473" s="2" t="s">
        <v>1416</v>
      </c>
      <c r="D473" s="2" t="s">
        <v>148</v>
      </c>
      <c r="E473" s="2" t="s">
        <v>33</v>
      </c>
      <c r="F473" s="2" t="s">
        <v>15</v>
      </c>
      <c r="G473" s="2" t="s">
        <v>268</v>
      </c>
      <c r="H473" s="2" t="s">
        <v>268</v>
      </c>
      <c r="I473" s="2" t="str">
        <f>IFERROR(__xludf.DUMMYFUNCTION("GOOGLETRANSLATE(C473,""fr"",""en"")"),"We have subscribed to the best legal protection which covers up to € 25,000, during our construction, one of the suppliers gave us a bad concrete, so we are in legal proceedings, each time we have lawyers, The MAIF refuses to help us financially, we are f"&amp;"ar from the guaranteed ceiling, under the pretext that we are in the same framework of the expertise, but the lawyer must be paid, we have just paid € 1440 and there no help ! False excuses are put forward as it is the same invoice for example while the n"&amp;"umber is different ...")</f>
        <v>We have subscribed to the best legal protection which covers up to € 25,000, during our construction, one of the suppliers gave us a bad concrete, so we are in legal proceedings, each time we have lawyers, The MAIF refuses to help us financially, we are far from the guaranteed ceiling, under the pretext that we are in the same framework of the expertise, but the lawyer must be paid, we have just paid € 1440 and there no help ! False excuses are put forward as it is the same invoice for example while the number is different ...</v>
      </c>
    </row>
    <row r="474" ht="15.75" customHeight="1">
      <c r="A474" s="2">
        <v>4.0</v>
      </c>
      <c r="B474" s="2" t="s">
        <v>1417</v>
      </c>
      <c r="C474" s="2" t="s">
        <v>1418</v>
      </c>
      <c r="D474" s="2" t="s">
        <v>55</v>
      </c>
      <c r="E474" s="2" t="s">
        <v>14</v>
      </c>
      <c r="F474" s="2" t="s">
        <v>15</v>
      </c>
      <c r="G474" s="2" t="s">
        <v>1419</v>
      </c>
      <c r="H474" s="2" t="s">
        <v>583</v>
      </c>
      <c r="I474" s="2" t="str">
        <f>IFERROR(__xludf.DUMMYFUNCTION("GOOGLETRANSLATE(C474,""fr"",""en"")"),"Thanks to Lamia for taking the time to do some manipulation with me on the phone and for her clear and effective explanations a pro thank you I recommend good end of the day to all")</f>
        <v>Thanks to Lamia for taking the time to do some manipulation with me on the phone and for her clear and effective explanations a pro thank you I recommend good end of the day to all</v>
      </c>
    </row>
    <row r="475" ht="15.75" customHeight="1">
      <c r="A475" s="2">
        <v>3.0</v>
      </c>
      <c r="B475" s="2" t="s">
        <v>1420</v>
      </c>
      <c r="C475" s="2" t="s">
        <v>1421</v>
      </c>
      <c r="D475" s="2" t="s">
        <v>26</v>
      </c>
      <c r="E475" s="2" t="s">
        <v>27</v>
      </c>
      <c r="F475" s="2" t="s">
        <v>15</v>
      </c>
      <c r="G475" s="2" t="s">
        <v>290</v>
      </c>
      <c r="H475" s="2" t="s">
        <v>159</v>
      </c>
      <c r="I475" s="2" t="str">
        <f>IFERROR(__xludf.DUMMYFUNCTION("GOOGLETRANSLATE(C475,""fr"",""en"")"),"Very well .
Very positive very pleasant telephone reception !!! Interlocutor listening to our needs!
Affordable insurance.
")</f>
        <v>Very well .
Very positive very pleasant telephone reception !!! Interlocutor listening to our needs!
Affordable insurance.
</v>
      </c>
    </row>
    <row r="476" ht="15.75" customHeight="1">
      <c r="A476" s="2">
        <v>1.0</v>
      </c>
      <c r="B476" s="2" t="s">
        <v>1422</v>
      </c>
      <c r="C476" s="2" t="s">
        <v>1423</v>
      </c>
      <c r="D476" s="2" t="s">
        <v>70</v>
      </c>
      <c r="E476" s="2" t="s">
        <v>14</v>
      </c>
      <c r="F476" s="2" t="s">
        <v>15</v>
      </c>
      <c r="G476" s="2" t="s">
        <v>1424</v>
      </c>
      <c r="H476" s="2" t="s">
        <v>403</v>
      </c>
      <c r="I476" s="2" t="str">
        <f>IFERROR(__xludf.DUMMYFUNCTION("GOOGLETRANSLATE(C476,""fr"",""en"")"),"Hello,
My advice run away from this mutual:
Today it's been 2 and a half months since my son was born (December 07, 2016) and Harmonie Mutuelle does not want to honor the contract and pay the birth bonus.
Worse still they do not want to register my son"&amp;" in the contract. The company where I work terminated the contract at the end of 2016.
Suddenly they no longer want to honor the contract which binds them until the end of December 2016.
I have relaunched them several times.
The RH and AS resonated the"&amp;"m relaunched them several times in vain.
")</f>
        <v>Hello,
My advice run away from this mutual:
Today it's been 2 and a half months since my son was born (December 07, 2016) and Harmonie Mutuelle does not want to honor the contract and pay the birth bonus.
Worse still they do not want to register my son in the contract. The company where I work terminated the contract at the end of 2016.
Suddenly they no longer want to honor the contract which binds them until the end of December 2016.
I have relaunched them several times.
The RH and AS resonated them relaunched them several times in vain.
</v>
      </c>
    </row>
    <row r="477" ht="15.75" customHeight="1">
      <c r="A477" s="2">
        <v>5.0</v>
      </c>
      <c r="B477" s="2" t="s">
        <v>1425</v>
      </c>
      <c r="C477" s="2" t="s">
        <v>1426</v>
      </c>
      <c r="D477" s="2" t="s">
        <v>332</v>
      </c>
      <c r="E477" s="2" t="s">
        <v>21</v>
      </c>
      <c r="F477" s="2" t="s">
        <v>15</v>
      </c>
      <c r="G477" s="2" t="s">
        <v>1029</v>
      </c>
      <c r="H477" s="2" t="s">
        <v>46</v>
      </c>
      <c r="I477" s="2" t="str">
        <f>IFERROR(__xludf.DUMMYFUNCTION("GOOGLETRANSLATE(C477,""fr"",""en"")"),"Fast and perfect!
This is the second time that we have called on Zen-Up, and we will do it without hesitation.
The offers are much more competitive and much less complex, all in digital")</f>
        <v>Fast and perfect!
This is the second time that we have called on Zen-Up, and we will do it without hesitation.
The offers are much more competitive and much less complex, all in digital</v>
      </c>
    </row>
    <row r="478" ht="15.75" customHeight="1">
      <c r="A478" s="2">
        <v>5.0</v>
      </c>
      <c r="B478" s="2" t="s">
        <v>1427</v>
      </c>
      <c r="C478" s="2" t="s">
        <v>1428</v>
      </c>
      <c r="D478" s="2" t="s">
        <v>332</v>
      </c>
      <c r="E478" s="2" t="s">
        <v>21</v>
      </c>
      <c r="F478" s="2" t="s">
        <v>15</v>
      </c>
      <c r="G478" s="2" t="s">
        <v>41</v>
      </c>
      <c r="H478" s="2" t="s">
        <v>41</v>
      </c>
      <c r="I478" s="2" t="str">
        <f>IFERROR(__xludf.DUMMYFUNCTION("GOOGLETRANSLATE(C478,""fr"",""en"")")," No need to move. Fast and efficient service. Everything is done online. Economy of 50%. I discovered Zen'up by a report on television.")</f>
        <v> No need to move. Fast and efficient service. Everything is done online. Economy of 50%. I discovered Zen'up by a report on television.</v>
      </c>
    </row>
    <row r="479" ht="15.75" customHeight="1">
      <c r="A479" s="2">
        <v>1.0</v>
      </c>
      <c r="B479" s="2" t="s">
        <v>1429</v>
      </c>
      <c r="C479" s="2" t="s">
        <v>1430</v>
      </c>
      <c r="D479" s="2" t="s">
        <v>84</v>
      </c>
      <c r="E479" s="2" t="s">
        <v>27</v>
      </c>
      <c r="F479" s="2" t="s">
        <v>15</v>
      </c>
      <c r="G479" s="2" t="s">
        <v>1431</v>
      </c>
      <c r="H479" s="2" t="s">
        <v>519</v>
      </c>
      <c r="I479" s="2" t="str">
        <f>IFERROR(__xludf.DUMMYFUNCTION("GOOGLETRANSLATE(C479,""fr"",""en"")"),"It would take a ""zero"" star scale to note AXA: in the space of only one year of contract (auto insurance and bank account), I could see most of the grievances alleged against this company on the forums: loss of files , Access code never sent, schedule t"&amp;"ransmitted outside the deadline (which complicates the change of insurer), impossible telephone contact, withdrawal of unjustified costs .... Fortunately, I managed to flee Axa quickly. Today, I sympathize with the fate of those who are still prisoners.")</f>
        <v>It would take a "zero" star scale to note AXA: in the space of only one year of contract (auto insurance and bank account), I could see most of the grievances alleged against this company on the forums: loss of files , Access code never sent, schedule transmitted outside the deadline (which complicates the change of insurer), impossible telephone contact, withdrawal of unjustified costs .... Fortunately, I managed to flee Axa quickly. Today, I sympathize with the fate of those who are still prisoners.</v>
      </c>
    </row>
    <row r="480" ht="15.75" customHeight="1">
      <c r="A480" s="2">
        <v>4.0</v>
      </c>
      <c r="B480" s="2" t="s">
        <v>1432</v>
      </c>
      <c r="C480" s="2" t="s">
        <v>1433</v>
      </c>
      <c r="D480" s="2" t="s">
        <v>26</v>
      </c>
      <c r="E480" s="2" t="s">
        <v>27</v>
      </c>
      <c r="F480" s="2" t="s">
        <v>15</v>
      </c>
      <c r="G480" s="2" t="s">
        <v>149</v>
      </c>
      <c r="H480" s="2" t="s">
        <v>41</v>
      </c>
      <c r="I480" s="2" t="str">
        <f>IFERROR(__xludf.DUMMYFUNCTION("GOOGLETRANSLATE(C480,""fr"",""en"")"),"Simple and effective, I was looking for assurance that can be successful quickly and efficiently, it is done
Only downside, the prices are a bit expensive
")</f>
        <v>Simple and effective, I was looking for assurance that can be successful quickly and efficiently, it is done
Only downside, the prices are a bit expensive
</v>
      </c>
    </row>
    <row r="481" ht="15.75" customHeight="1">
      <c r="A481" s="2">
        <v>1.0</v>
      </c>
      <c r="B481" s="2" t="s">
        <v>1434</v>
      </c>
      <c r="C481" s="2" t="s">
        <v>1435</v>
      </c>
      <c r="D481" s="2" t="s">
        <v>125</v>
      </c>
      <c r="E481" s="2" t="s">
        <v>14</v>
      </c>
      <c r="F481" s="2" t="s">
        <v>15</v>
      </c>
      <c r="G481" s="2" t="s">
        <v>1436</v>
      </c>
      <c r="H481" s="2" t="s">
        <v>35</v>
      </c>
      <c r="I481" s="2" t="str">
        <f>IFERROR(__xludf.DUMMYFUNCTION("GOOGLETRANSLATE(C481,""fr"",""en"")"),"After 5 weeks still no reimbursement of dental care and no response to the dental quote for 6 weeks the top to be able to be treated")</f>
        <v>After 5 weeks still no reimbursement of dental care and no response to the dental quote for 6 weeks the top to be able to be treated</v>
      </c>
    </row>
    <row r="482" ht="15.75" customHeight="1">
      <c r="A482" s="2">
        <v>1.0</v>
      </c>
      <c r="B482" s="2" t="s">
        <v>1437</v>
      </c>
      <c r="C482" s="2" t="s">
        <v>1438</v>
      </c>
      <c r="D482" s="2" t="s">
        <v>148</v>
      </c>
      <c r="E482" s="2" t="s">
        <v>27</v>
      </c>
      <c r="F482" s="2" t="s">
        <v>15</v>
      </c>
      <c r="G482" s="2" t="s">
        <v>1439</v>
      </c>
      <c r="H482" s="2" t="s">
        <v>339</v>
      </c>
      <c r="I482" s="2" t="str">
        <f>IFERROR(__xludf.DUMMYFUNCTION("GOOGLETRANSLATE(C482,""fr"",""en"")"),"Avoid! Insured for 15 years without declared disaster, I find my vehicle stamped when I get back from work in a parking lot (under construction), the maif mandates an expert who tells me that I lie and that it is I who is crowded my vehicle alone !! ! (Kn"&amp;"owing that I am assured of any risk and therefore also covered if I kiss my vehicle all by itself ...) Result: no compensation despite the email with photos of the site and presence of manitou, palettes etc
In addition, no information was sent to me duri"&amp;"ng the procedure C is still I who called for the follow -up of the file.
I who intended to repatriate my home insurance with them, and well it is missed !!
In short, maif is good insurance as long as you don't happen ...")</f>
        <v>Avoid! Insured for 15 years without declared disaster, I find my vehicle stamped when I get back from work in a parking lot (under construction), the maif mandates an expert who tells me that I lie and that it is I who is crowded my vehicle alone !! ! (Knowing that I am assured of any risk and therefore also covered if I kiss my vehicle all by itself ...) Result: no compensation despite the email with photos of the site and presence of manitou, palettes etc
In addition, no information was sent to me during the procedure C is still I who called for the follow -up of the file.
I who intended to repatriate my home insurance with them, and well it is missed !!
In short, maif is good insurance as long as you don't happen ...</v>
      </c>
    </row>
    <row r="483" ht="15.75" customHeight="1">
      <c r="A483" s="2">
        <v>5.0</v>
      </c>
      <c r="B483" s="2" t="s">
        <v>1440</v>
      </c>
      <c r="C483" s="2" t="s">
        <v>1441</v>
      </c>
      <c r="D483" s="2" t="s">
        <v>26</v>
      </c>
      <c r="E483" s="2" t="s">
        <v>27</v>
      </c>
      <c r="F483" s="2" t="s">
        <v>15</v>
      </c>
      <c r="G483" s="2" t="s">
        <v>183</v>
      </c>
      <c r="H483" s="2" t="s">
        <v>184</v>
      </c>
      <c r="I483" s="2" t="str">
        <f>IFERROR(__xludf.DUMMYFUNCTION("GOOGLETRANSLATE(C483,""fr"",""en"")"),"Excellent value
Impeccable customer service
Very practical website and personal space
Very professional
Easy contract management
Multi-contract advantages")</f>
        <v>Excellent value
Impeccable customer service
Very practical website and personal space
Very professional
Easy contract management
Multi-contract advantages</v>
      </c>
    </row>
    <row r="484" ht="15.75" customHeight="1">
      <c r="A484" s="2">
        <v>3.0</v>
      </c>
      <c r="B484" s="2" t="s">
        <v>1442</v>
      </c>
      <c r="C484" s="2" t="s">
        <v>1443</v>
      </c>
      <c r="D484" s="2" t="s">
        <v>55</v>
      </c>
      <c r="E484" s="2" t="s">
        <v>14</v>
      </c>
      <c r="F484" s="2" t="s">
        <v>15</v>
      </c>
      <c r="G484" s="2" t="s">
        <v>1444</v>
      </c>
      <c r="H484" s="2" t="s">
        <v>62</v>
      </c>
      <c r="I484" s="2" t="str">
        <f>IFERROR(__xludf.DUMMYFUNCTION("GOOGLETRANSLATE(C484,""fr"",""en"")"),"I was very well received telephone by Aminata, who, I think, very well advised following a deception of which I was the victim without suspecting a single second. I cannot give details on the insurance prices that I have subscribed in spite of myself. I s"&amp;"end a recommended to date.
Thank you Aminata for giving me the way to follow to get me out of this imbroglio.
")</f>
        <v>I was very well received telephone by Aminata, who, I think, very well advised following a deception of which I was the victim without suspecting a single second. I cannot give details on the insurance prices that I have subscribed in spite of myself. I send a recommended to date.
Thank you Aminata for giving me the way to follow to get me out of this imbroglio.
</v>
      </c>
    </row>
    <row r="485" ht="15.75" customHeight="1">
      <c r="A485" s="2">
        <v>2.0</v>
      </c>
      <c r="B485" s="2" t="s">
        <v>1445</v>
      </c>
      <c r="C485" s="2" t="s">
        <v>1446</v>
      </c>
      <c r="D485" s="2" t="s">
        <v>13</v>
      </c>
      <c r="E485" s="2" t="s">
        <v>14</v>
      </c>
      <c r="F485" s="2" t="s">
        <v>15</v>
      </c>
      <c r="G485" s="2" t="s">
        <v>1447</v>
      </c>
      <c r="H485" s="2" t="s">
        <v>465</v>
      </c>
      <c r="I485" s="2" t="str">
        <f>IFERROR(__xludf.DUMMYFUNCTION("GOOGLETRANSLATE(C485,""fr"",""en"")"),"Ineffical general telephone platform and long waiting, contradictory information.")</f>
        <v>Ineffical general telephone platform and long waiting, contradictory information.</v>
      </c>
    </row>
    <row r="486" ht="15.75" customHeight="1">
      <c r="A486" s="2">
        <v>4.0</v>
      </c>
      <c r="B486" s="2" t="s">
        <v>1448</v>
      </c>
      <c r="C486" s="2" t="s">
        <v>1449</v>
      </c>
      <c r="D486" s="2" t="s">
        <v>26</v>
      </c>
      <c r="E486" s="2" t="s">
        <v>27</v>
      </c>
      <c r="F486" s="2" t="s">
        <v>15</v>
      </c>
      <c r="G486" s="2" t="s">
        <v>1450</v>
      </c>
      <c r="H486" s="2" t="s">
        <v>29</v>
      </c>
      <c r="I486" s="2" t="str">
        <f>IFERROR(__xludf.DUMMYFUNCTION("GOOGLETRANSLATE(C486,""fr"",""en"")"),"Very satisfied with the service offer I would recommend your insurance company to my friends and family thank you for your confidence cordially Mr Mura")</f>
        <v>Very satisfied with the service offer I would recommend your insurance company to my friends and family thank you for your confidence cordially Mr Mura</v>
      </c>
    </row>
    <row r="487" ht="15.75" customHeight="1">
      <c r="A487" s="2">
        <v>1.0</v>
      </c>
      <c r="B487" s="2" t="s">
        <v>1451</v>
      </c>
      <c r="C487" s="2" t="s">
        <v>1452</v>
      </c>
      <c r="D487" s="2" t="s">
        <v>38</v>
      </c>
      <c r="E487" s="2" t="s">
        <v>39</v>
      </c>
      <c r="F487" s="2" t="s">
        <v>15</v>
      </c>
      <c r="G487" s="2" t="s">
        <v>1453</v>
      </c>
      <c r="H487" s="2" t="s">
        <v>111</v>
      </c>
      <c r="I487" s="2" t="str">
        <f>IFERROR(__xludf.DUMMYFUNCTION("GOOGLETRANSLATE(C487,""fr"",""en"")"),"Incrediblely zero")</f>
        <v>Incrediblely zero</v>
      </c>
    </row>
    <row r="488" ht="15.75" customHeight="1">
      <c r="A488" s="2">
        <v>1.0</v>
      </c>
      <c r="B488" s="2" t="s">
        <v>1454</v>
      </c>
      <c r="C488" s="2" t="s">
        <v>1455</v>
      </c>
      <c r="D488" s="2" t="s">
        <v>1456</v>
      </c>
      <c r="E488" s="2" t="s">
        <v>76</v>
      </c>
      <c r="F488" s="2" t="s">
        <v>15</v>
      </c>
      <c r="G488" s="2" t="s">
        <v>309</v>
      </c>
      <c r="H488" s="2" t="s">
        <v>29</v>
      </c>
      <c r="I488" s="2" t="str">
        <f>IFERROR(__xludf.DUMMYFUNCTION("GOOGLETRANSLATE(C488,""fr"",""en"")"),"I had a lot of trouble doing the file that is complicated, also complicated to set up appointments and have the info. Now that everything is done I have been waiting for months that the funds have been paid on my life insurance and they are always on my c"&amp;"urrent account.")</f>
        <v>I had a lot of trouble doing the file that is complicated, also complicated to set up appointments and have the info. Now that everything is done I have been waiting for months that the funds have been paid on my life insurance and they are always on my current account.</v>
      </c>
    </row>
    <row r="489" ht="15.75" customHeight="1">
      <c r="A489" s="2">
        <v>4.0</v>
      </c>
      <c r="B489" s="2" t="s">
        <v>1457</v>
      </c>
      <c r="C489" s="2" t="s">
        <v>1458</v>
      </c>
      <c r="D489" s="2" t="s">
        <v>26</v>
      </c>
      <c r="E489" s="2" t="s">
        <v>27</v>
      </c>
      <c r="F489" s="2" t="s">
        <v>15</v>
      </c>
      <c r="G489" s="2" t="s">
        <v>1459</v>
      </c>
      <c r="H489" s="2" t="s">
        <v>72</v>
      </c>
      <c r="I489" s="2" t="str">
        <f>IFERROR(__xludf.DUMMYFUNCTION("GOOGLETRANSLATE(C489,""fr"",""en"")"),"Service by phone: 100/100 satisfied")</f>
        <v>Service by phone: 100/100 satisfied</v>
      </c>
    </row>
    <row r="490" ht="15.75" customHeight="1">
      <c r="A490" s="2">
        <v>3.0</v>
      </c>
      <c r="B490" s="2" t="s">
        <v>1460</v>
      </c>
      <c r="C490" s="2" t="s">
        <v>1461</v>
      </c>
      <c r="D490" s="2" t="s">
        <v>38</v>
      </c>
      <c r="E490" s="2" t="s">
        <v>39</v>
      </c>
      <c r="F490" s="2" t="s">
        <v>15</v>
      </c>
      <c r="G490" s="2" t="s">
        <v>1462</v>
      </c>
      <c r="H490" s="2" t="s">
        <v>29</v>
      </c>
      <c r="I490" s="2" t="str">
        <f>IFERROR(__xludf.DUMMYFUNCTION("GOOGLETRANSLATE(C490,""fr"",""en"")"),"I am satisfied with the service but thank you for doing the necessary to stop my old contracts it would be good to have a weekend interlocutor to be able to ensure vehicles")</f>
        <v>I am satisfied with the service but thank you for doing the necessary to stop my old contracts it would be good to have a weekend interlocutor to be able to ensure vehicles</v>
      </c>
    </row>
    <row r="491" ht="15.75" customHeight="1">
      <c r="A491" s="2">
        <v>4.0</v>
      </c>
      <c r="B491" s="2" t="s">
        <v>1463</v>
      </c>
      <c r="C491" s="2" t="s">
        <v>1464</v>
      </c>
      <c r="D491" s="2" t="s">
        <v>44</v>
      </c>
      <c r="E491" s="2" t="s">
        <v>27</v>
      </c>
      <c r="F491" s="2" t="s">
        <v>15</v>
      </c>
      <c r="G491" s="2" t="s">
        <v>655</v>
      </c>
      <c r="H491" s="2" t="s">
        <v>35</v>
      </c>
      <c r="I491" s="2" t="str">
        <f>IFERROR(__xludf.DUMMYFUNCTION("GOOGLETRANSLATE(C491,""fr"",""en"")"),"The price of the options and packs are too variable, in the time of time of time € 2.00 for the same request on zero franchise !!")</f>
        <v>The price of the options and packs are too variable, in the time of time of time € 2.00 for the same request on zero franchise !!</v>
      </c>
    </row>
    <row r="492" ht="15.75" customHeight="1">
      <c r="A492" s="2">
        <v>4.0</v>
      </c>
      <c r="B492" s="2" t="s">
        <v>1465</v>
      </c>
      <c r="C492" s="2" t="s">
        <v>1466</v>
      </c>
      <c r="D492" s="2" t="s">
        <v>26</v>
      </c>
      <c r="E492" s="2" t="s">
        <v>27</v>
      </c>
      <c r="F492" s="2" t="s">
        <v>15</v>
      </c>
      <c r="G492" s="2" t="s">
        <v>1467</v>
      </c>
      <c r="H492" s="2" t="s">
        <v>214</v>
      </c>
      <c r="I492" s="2" t="str">
        <f>IFERROR(__xludf.DUMMYFUNCTION("GOOGLETRANSLATE(C492,""fr"",""en"")"),"Price defying competition, speed of execution at the level of customer service, I highly recommend.")</f>
        <v>Price defying competition, speed of execution at the level of customer service, I highly recommend.</v>
      </c>
    </row>
    <row r="493" ht="15.75" customHeight="1">
      <c r="A493" s="2">
        <v>4.0</v>
      </c>
      <c r="B493" s="2" t="s">
        <v>1468</v>
      </c>
      <c r="C493" s="2" t="s">
        <v>1469</v>
      </c>
      <c r="D493" s="2" t="s">
        <v>44</v>
      </c>
      <c r="E493" s="2" t="s">
        <v>27</v>
      </c>
      <c r="F493" s="2" t="s">
        <v>15</v>
      </c>
      <c r="G493" s="2" t="s">
        <v>138</v>
      </c>
      <c r="H493" s="2" t="s">
        <v>46</v>
      </c>
      <c r="I493" s="2" t="str">
        <f>IFERROR(__xludf.DUMMYFUNCTION("GOOGLETRANSLATE(C493,""fr"",""en"")"),"Quick and efficient subscription. I am satisfied at the moment and if it leaves I would recommend this insurance to my loved ones.
Thank you for my godfather and for myself.
")</f>
        <v>Quick and efficient subscription. I am satisfied at the moment and if it leaves I would recommend this insurance to my loved ones.
Thank you for my godfather and for myself.
</v>
      </c>
    </row>
    <row r="494" ht="15.75" customHeight="1">
      <c r="A494" s="2">
        <v>1.0</v>
      </c>
      <c r="B494" s="2" t="s">
        <v>1470</v>
      </c>
      <c r="C494" s="2" t="s">
        <v>1471</v>
      </c>
      <c r="D494" s="2" t="s">
        <v>1472</v>
      </c>
      <c r="E494" s="2" t="s">
        <v>33</v>
      </c>
      <c r="F494" s="2" t="s">
        <v>15</v>
      </c>
      <c r="G494" s="2" t="s">
        <v>422</v>
      </c>
      <c r="H494" s="2" t="s">
        <v>422</v>
      </c>
      <c r="I494" s="2" t="str">
        <f>IFERROR(__xludf.DUMMYFUNCTION("GOOGLETRANSLATE(C494,""fr"",""en"")"),"Sinister due to 1 flood since August 2017.
Crazy tiles ... Still no response for treatment after 6 emails sent. With supporting photos. They were answered at the beginning by asking for more evidence without wanting to pass an expert. And no response to "&amp;"my last 3 emails with the photos requested")</f>
        <v>Sinister due to 1 flood since August 2017.
Crazy tiles ... Still no response for treatment after 6 emails sent. With supporting photos. They were answered at the beginning by asking for more evidence without wanting to pass an expert. And no response to my last 3 emails with the photos requested</v>
      </c>
    </row>
    <row r="495" ht="15.75" customHeight="1">
      <c r="A495" s="2">
        <v>3.0</v>
      </c>
      <c r="B495" s="2" t="s">
        <v>1473</v>
      </c>
      <c r="C495" s="2" t="s">
        <v>1474</v>
      </c>
      <c r="D495" s="2" t="s">
        <v>55</v>
      </c>
      <c r="E495" s="2" t="s">
        <v>14</v>
      </c>
      <c r="F495" s="2" t="s">
        <v>15</v>
      </c>
      <c r="G495" s="2" t="s">
        <v>717</v>
      </c>
      <c r="H495" s="2" t="s">
        <v>23</v>
      </c>
      <c r="I495" s="2" t="str">
        <f>IFERROR(__xludf.DUMMYFUNCTION("GOOGLETRANSLATE(C495,""fr"",""en"")"),"I thank Émeline for her welcome and her efficiency concerning my file and of my request immediately resolved, very professional thank you
")</f>
        <v>I thank Émeline for her welcome and her efficiency concerning my file and of my request immediately resolved, very professional thank you
</v>
      </c>
    </row>
    <row r="496" ht="15.75" customHeight="1">
      <c r="A496" s="2">
        <v>4.0</v>
      </c>
      <c r="B496" s="2" t="s">
        <v>1475</v>
      </c>
      <c r="C496" s="2" t="s">
        <v>1476</v>
      </c>
      <c r="D496" s="2" t="s">
        <v>38</v>
      </c>
      <c r="E496" s="2" t="s">
        <v>39</v>
      </c>
      <c r="F496" s="2" t="s">
        <v>15</v>
      </c>
      <c r="G496" s="2" t="s">
        <v>1244</v>
      </c>
      <c r="H496" s="2" t="s">
        <v>35</v>
      </c>
      <c r="I496" s="2" t="str">
        <f>IFERROR(__xludf.DUMMYFUNCTION("GOOGLETRANSLATE(C496,""fr"",""en"")"),"I am very Satsifait of your offer and I offer them to friends who want to ensure their veichules your strong point is the advantages that you provide you
Regards love")</f>
        <v>I am very Satsifait of your offer and I offer them to friends who want to ensure their veichules your strong point is the advantages that you provide you
Regards love</v>
      </c>
    </row>
    <row r="497" ht="15.75" customHeight="1">
      <c r="A497" s="2">
        <v>4.0</v>
      </c>
      <c r="B497" s="2" t="s">
        <v>1477</v>
      </c>
      <c r="C497" s="2" t="s">
        <v>1478</v>
      </c>
      <c r="D497" s="2" t="s">
        <v>26</v>
      </c>
      <c r="E497" s="2" t="s">
        <v>27</v>
      </c>
      <c r="F497" s="2" t="s">
        <v>15</v>
      </c>
      <c r="G497" s="2" t="s">
        <v>1310</v>
      </c>
      <c r="H497" s="2" t="s">
        <v>418</v>
      </c>
      <c r="I497" s="2" t="str">
        <f>IFERROR(__xludf.DUMMYFUNCTION("GOOGLETRANSLATE(C497,""fr"",""en"")"),"I am happy with my monthly rate, as well as guarantees taken and good telephone reception with advisers and delighted with their aids and information.")</f>
        <v>I am happy with my monthly rate, as well as guarantees taken and good telephone reception with advisers and delighted with their aids and information.</v>
      </c>
    </row>
    <row r="498" ht="15.75" customHeight="1">
      <c r="A498" s="2">
        <v>4.0</v>
      </c>
      <c r="B498" s="2" t="s">
        <v>1479</v>
      </c>
      <c r="C498" s="2" t="s">
        <v>1480</v>
      </c>
      <c r="D498" s="2" t="s">
        <v>26</v>
      </c>
      <c r="E498" s="2" t="s">
        <v>27</v>
      </c>
      <c r="F498" s="2" t="s">
        <v>15</v>
      </c>
      <c r="G498" s="2" t="s">
        <v>883</v>
      </c>
      <c r="H498" s="2" t="s">
        <v>159</v>
      </c>
      <c r="I498" s="2" t="str">
        <f>IFERROR(__xludf.DUMMYFUNCTION("GOOGLETRANSLATE(C498,""fr"",""en"")"),"I am satisfied with the service. The phone contact allowed me to learn more about the various contracts I could get and thus subscribe to the best.")</f>
        <v>I am satisfied with the service. The phone contact allowed me to learn more about the various contracts I could get and thus subscribe to the best.</v>
      </c>
    </row>
    <row r="499" ht="15.75" customHeight="1">
      <c r="A499" s="2">
        <v>1.0</v>
      </c>
      <c r="B499" s="2" t="s">
        <v>1481</v>
      </c>
      <c r="C499" s="2" t="s">
        <v>1482</v>
      </c>
      <c r="D499" s="2" t="s">
        <v>134</v>
      </c>
      <c r="E499" s="2" t="s">
        <v>27</v>
      </c>
      <c r="F499" s="2" t="s">
        <v>15</v>
      </c>
      <c r="G499" s="2" t="s">
        <v>1483</v>
      </c>
      <c r="H499" s="2" t="s">
        <v>519</v>
      </c>
      <c r="I499" s="2" t="str">
        <f>IFERROR(__xludf.DUMMYFUNCTION("GOOGLETRANSLATE(C499,""fr"",""en"")"),"Customer for 20 years for 3 vehicles and a motorcycle 125. Never disaster. 2 years ago, they increase me the insurance of the motorcycle, by imposing a 0km repair bonus which was 45% of the whole. I tell them that I don't want it: impossible !! (and very "&amp;"unpleasant, in addition).
Bye, bye the GMF, I give my 2000 euros elsewhere (I saved 300th by the way!). And I don't regret anything when I see how they throw customers, even non -responsible.")</f>
        <v>Customer for 20 years for 3 vehicles and a motorcycle 125. Never disaster. 2 years ago, they increase me the insurance of the motorcycle, by imposing a 0km repair bonus which was 45% of the whole. I tell them that I don't want it: impossible !! (and very unpleasant, in addition).
Bye, bye the GMF, I give my 2000 euros elsewhere (I saved 300th by the way!). And I don't regret anything when I see how they throw customers, even non -responsible.</v>
      </c>
    </row>
    <row r="500" ht="15.75" customHeight="1">
      <c r="A500" s="2">
        <v>4.0</v>
      </c>
      <c r="B500" s="2" t="s">
        <v>1484</v>
      </c>
      <c r="C500" s="2" t="s">
        <v>1485</v>
      </c>
      <c r="D500" s="2" t="s">
        <v>134</v>
      </c>
      <c r="E500" s="2" t="s">
        <v>27</v>
      </c>
      <c r="F500" s="2" t="s">
        <v>15</v>
      </c>
      <c r="G500" s="2" t="s">
        <v>947</v>
      </c>
      <c r="H500" s="2" t="s">
        <v>214</v>
      </c>
      <c r="I500" s="2" t="str">
        <f>IFERROR(__xludf.DUMMYFUNCTION("GOOGLETRANSLATE(C500,""fr"",""en"")"),"To be transparent, I work on competition but chose to make sure at GMF thanks to the advantageous price for civil servants (parents of my spouse). I am rather loyal to my company but I must say the management of my disaster with GMF has resolved in less t"&amp;"ime than it takes to say ""phew!"". The Clermont-Ferrand management center has been perfect, patient and have explained everything to me even if I know how to work.")</f>
        <v>To be transparent, I work on competition but chose to make sure at GMF thanks to the advantageous price for civil servants (parents of my spouse). I am rather loyal to my company but I must say the management of my disaster with GMF has resolved in less time than it takes to say "phew!". The Clermont-Ferrand management center has been perfect, patient and have explained everything to me even if I know how to work.</v>
      </c>
    </row>
    <row r="501" ht="15.75" customHeight="1">
      <c r="A501" s="2">
        <v>3.0</v>
      </c>
      <c r="B501" s="2" t="s">
        <v>1486</v>
      </c>
      <c r="C501" s="2" t="s">
        <v>1487</v>
      </c>
      <c r="D501" s="2" t="s">
        <v>44</v>
      </c>
      <c r="E501" s="2" t="s">
        <v>27</v>
      </c>
      <c r="F501" s="2" t="s">
        <v>15</v>
      </c>
      <c r="G501" s="2" t="s">
        <v>1488</v>
      </c>
      <c r="H501" s="2" t="s">
        <v>372</v>
      </c>
      <c r="I501" s="2" t="str">
        <f>IFERROR(__xludf.DUMMYFUNCTION("GOOGLETRANSLATE(C501,""fr"",""en"")"),"With Direct Insurance we pay just to have the precious green paper which is compulsory. Do not expect to get anything with customer service, the operators are stupid and disciplined and will be content to repeat the same thing rather than bring you a solu"&amp;"tion. I am with this company only because it is compulsory to be insured.")</f>
        <v>With Direct Insurance we pay just to have the precious green paper which is compulsory. Do not expect to get anything with customer service, the operators are stupid and disciplined and will be content to repeat the same thing rather than bring you a solution. I am with this company only because it is compulsory to be insured.</v>
      </c>
    </row>
    <row r="502" ht="15.75" customHeight="1">
      <c r="A502" s="2">
        <v>2.0</v>
      </c>
      <c r="B502" s="2" t="s">
        <v>1489</v>
      </c>
      <c r="C502" s="2" t="s">
        <v>1490</v>
      </c>
      <c r="D502" s="2" t="s">
        <v>44</v>
      </c>
      <c r="E502" s="2" t="s">
        <v>27</v>
      </c>
      <c r="F502" s="2" t="s">
        <v>15</v>
      </c>
      <c r="G502" s="2" t="s">
        <v>1491</v>
      </c>
      <c r="H502" s="2" t="s">
        <v>519</v>
      </c>
      <c r="I502" s="2" t="str">
        <f>IFERROR(__xludf.DUMMYFUNCTION("GOOGLETRANSLATE(C502,""fr"",""en"")"),"I called for information on Direct Assurance. I was promised to send me a quote by e-mail. Since then, nothing !!! The ad is enticing but behind, there is nothing !!!!!")</f>
        <v>I called for information on Direct Assurance. I was promised to send me a quote by e-mail. Since then, nothing !!! The ad is enticing but behind, there is nothing !!!!!</v>
      </c>
    </row>
    <row r="503" ht="15.75" customHeight="1">
      <c r="A503" s="2">
        <v>2.0</v>
      </c>
      <c r="B503" s="2" t="s">
        <v>1492</v>
      </c>
      <c r="C503" s="2" t="s">
        <v>1493</v>
      </c>
      <c r="D503" s="2" t="s">
        <v>204</v>
      </c>
      <c r="E503" s="2" t="s">
        <v>460</v>
      </c>
      <c r="F503" s="2" t="s">
        <v>15</v>
      </c>
      <c r="G503" s="2" t="s">
        <v>1494</v>
      </c>
      <c r="H503" s="2" t="s">
        <v>94</v>
      </c>
      <c r="I503" s="2" t="str">
        <f>IFERROR(__xludf.DUMMYFUNCTION("GOOGLETRANSLATE(C503,""fr"",""en"")"),"I go to recover a life annuity since 07/2019. Unanswered messages. Ai contacted service litigation which has seen a flaw in their process. To say the lack of seriousness ... except to collect contributions")</f>
        <v>I go to recover a life annuity since 07/2019. Unanswered messages. Ai contacted service litigation which has seen a flaw in their process. To say the lack of seriousness ... except to collect contributions</v>
      </c>
    </row>
    <row r="504" ht="15.75" customHeight="1">
      <c r="A504" s="2">
        <v>3.0</v>
      </c>
      <c r="B504" s="2" t="s">
        <v>1495</v>
      </c>
      <c r="C504" s="2" t="s">
        <v>1496</v>
      </c>
      <c r="D504" s="2" t="s">
        <v>44</v>
      </c>
      <c r="E504" s="2" t="s">
        <v>27</v>
      </c>
      <c r="F504" s="2" t="s">
        <v>15</v>
      </c>
      <c r="G504" s="2" t="s">
        <v>1497</v>
      </c>
      <c r="H504" s="2" t="s">
        <v>46</v>
      </c>
      <c r="I504" s="2" t="str">
        <f>IFERROR(__xludf.DUMMYFUNCTION("GOOGLETRANSLATE(C504,""fr"",""en"")"),"Prices change according to the site used. Prices are accessible to all budgets. I think it's good insurance. I have already had a contract with them and everything went well.")</f>
        <v>Prices change according to the site used. Prices are accessible to all budgets. I think it's good insurance. I have already had a contract with them and everything went well.</v>
      </c>
    </row>
    <row r="505" ht="15.75" customHeight="1">
      <c r="A505" s="2">
        <v>3.0</v>
      </c>
      <c r="B505" s="2" t="s">
        <v>1498</v>
      </c>
      <c r="C505" s="2" t="s">
        <v>1499</v>
      </c>
      <c r="D505" s="2" t="s">
        <v>44</v>
      </c>
      <c r="E505" s="2" t="s">
        <v>27</v>
      </c>
      <c r="F505" s="2" t="s">
        <v>15</v>
      </c>
      <c r="G505" s="2" t="s">
        <v>1500</v>
      </c>
      <c r="H505" s="2" t="s">
        <v>46</v>
      </c>
      <c r="I505" s="2" t="str">
        <f>IFERROR(__xludf.DUMMYFUNCTION("GOOGLETRANSLATE(C505,""fr"",""en"")"),"I found the interface very simple and well organized easy to access and very intuitive the prices are correct and the service really very good I really advise")</f>
        <v>I found the interface very simple and well organized easy to access and very intuitive the prices are correct and the service really very good I really advise</v>
      </c>
    </row>
    <row r="506" ht="15.75" customHeight="1">
      <c r="A506" s="2">
        <v>3.0</v>
      </c>
      <c r="B506" s="2" t="s">
        <v>1501</v>
      </c>
      <c r="C506" s="2" t="s">
        <v>1502</v>
      </c>
      <c r="D506" s="2" t="s">
        <v>148</v>
      </c>
      <c r="E506" s="2" t="s">
        <v>27</v>
      </c>
      <c r="F506" s="2" t="s">
        <v>15</v>
      </c>
      <c r="G506" s="2" t="s">
        <v>1503</v>
      </c>
      <c r="H506" s="2" t="s">
        <v>452</v>
      </c>
      <c r="I506" s="2" t="str">
        <f>IFERROR(__xludf.DUMMYFUNCTION("GOOGLETRANSLATE(C506,""fr"",""en"")"),"We provided a campsite vehicle 3 years ago. At the time, we clarified that we wanted to be insured against flights, because we had high value camping gear. After 2 years of concern, we are forced a door and stole our equipment, more than € 600 in loss. Ob"&amp;"viously, the MAIF does not reimburse anything, despite the complaint at the police station for the flight to the trailer.
Paying 927th insurance per year, we plan to change insurance shortly. You might as well pay less if nothing is reimbursed. What a pi"&amp;"ty for insurance being militant ...")</f>
        <v>We provided a campsite vehicle 3 years ago. At the time, we clarified that we wanted to be insured against flights, because we had high value camping gear. After 2 years of concern, we are forced a door and stole our equipment, more than € 600 in loss. Obviously, the MAIF does not reimburse anything, despite the complaint at the police station for the flight to the trailer.
Paying 927th insurance per year, we plan to change insurance shortly. You might as well pay less if nothing is reimbursed. What a pity for insurance being militant ...</v>
      </c>
    </row>
    <row r="507" ht="15.75" customHeight="1">
      <c r="A507" s="2">
        <v>2.0</v>
      </c>
      <c r="B507" s="2" t="s">
        <v>1504</v>
      </c>
      <c r="C507" s="2" t="s">
        <v>1505</v>
      </c>
      <c r="D507" s="2" t="s">
        <v>134</v>
      </c>
      <c r="E507" s="2" t="s">
        <v>27</v>
      </c>
      <c r="F507" s="2" t="s">
        <v>15</v>
      </c>
      <c r="G507" s="2" t="s">
        <v>1506</v>
      </c>
      <c r="H507" s="2" t="s">
        <v>17</v>
      </c>
      <c r="I507" s="2" t="str">
        <f>IFERROR(__xludf.DUMMYFUNCTION("GOOGLETRANSLATE(C507,""fr"",""en"")"),"Bjr to all, I was destroyed my Toyota Prius so the result of the races am not in twists, am assured all risk, VHL super maintained receiving with invoice on the support, an expert from their home in cardboard my side my car l mdr of 5000eur we are going A"&amp;"t 8500EUR to finish at 8700EUR except that my VHL is Coter 9100EUROS is C VHL SUR SUR SUR SUR I LAUMS I LAUMS A Reclamation concerning the price of my VHL FO PAS DOCONE with the victims of the road, the slightest of things C to dedicate them Corely financ"&amp;"ially I will inform you of the continuation via the social network my subscribers will be surprised by the GMF, and at worst I will not do a video to show realite thank you to all good day.")</f>
        <v>Bjr to all, I was destroyed my Toyota Prius so the result of the races am not in twists, am assured all risk, VHL super maintained receiving with invoice on the support, an expert from their home in cardboard my side my car l mdr of 5000eur we are going At 8500EUR to finish at 8700EUR except that my VHL is Coter 9100EUROS is C VHL SUR SUR SUR SUR I LAUMS I LAUMS A Reclamation concerning the price of my VHL FO PAS DOCONE with the victims of the road, the slightest of things C to dedicate them Corely financially I will inform you of the continuation via the social network my subscribers will be surprised by the GMF, and at worst I will not do a video to show realite thank you to all good day.</v>
      </c>
    </row>
    <row r="508" ht="15.75" customHeight="1">
      <c r="A508" s="2">
        <v>2.0</v>
      </c>
      <c r="B508" s="2" t="s">
        <v>1507</v>
      </c>
      <c r="C508" s="2" t="s">
        <v>1508</v>
      </c>
      <c r="D508" s="2" t="s">
        <v>100</v>
      </c>
      <c r="E508" s="2" t="s">
        <v>76</v>
      </c>
      <c r="F508" s="2" t="s">
        <v>15</v>
      </c>
      <c r="G508" s="2" t="s">
        <v>1509</v>
      </c>
      <c r="H508" s="2" t="s">
        <v>94</v>
      </c>
      <c r="I508" s="2" t="str">
        <f>IFERROR(__xludf.DUMMYFUNCTION("GOOGLETRANSLATE(C508,""fr"",""en"")"),"Following several recommends after August 16 and several calls, no answer I have no answer when my contract forecast an allowance from September 1, 2009")</f>
        <v>Following several recommends after August 16 and several calls, no answer I have no answer when my contract forecast an allowance from September 1, 2009</v>
      </c>
    </row>
    <row r="509" ht="15.75" customHeight="1">
      <c r="A509" s="2">
        <v>3.0</v>
      </c>
      <c r="B509" s="2" t="s">
        <v>1510</v>
      </c>
      <c r="C509" s="2" t="s">
        <v>1511</v>
      </c>
      <c r="D509" s="2" t="s">
        <v>44</v>
      </c>
      <c r="E509" s="2" t="s">
        <v>27</v>
      </c>
      <c r="F509" s="2" t="s">
        <v>15</v>
      </c>
      <c r="G509" s="2" t="s">
        <v>1512</v>
      </c>
      <c r="H509" s="2" t="s">
        <v>23</v>
      </c>
      <c r="I509" s="2" t="str">
        <f>IFERROR(__xludf.DUMMYFUNCTION("GOOGLETRANSLATE(C509,""fr"",""en"")"),"Abounded by requests for opinion I answer for having peace abundant by requests for opinion I answer for having peace abundant by requests for opinion I answer for having peace abundant by requests for opinion I answer to have the peace")</f>
        <v>Abounded by requests for opinion I answer for having peace abundant by requests for opinion I answer for having peace abundant by requests for opinion I answer for having peace abundant by requests for opinion I answer to have the peace</v>
      </c>
    </row>
    <row r="510" ht="15.75" customHeight="1">
      <c r="A510" s="2">
        <v>4.0</v>
      </c>
      <c r="B510" s="2" t="s">
        <v>1513</v>
      </c>
      <c r="C510" s="2" t="s">
        <v>1514</v>
      </c>
      <c r="D510" s="2" t="s">
        <v>38</v>
      </c>
      <c r="E510" s="2" t="s">
        <v>39</v>
      </c>
      <c r="F510" s="2" t="s">
        <v>15</v>
      </c>
      <c r="G510" s="2" t="s">
        <v>1515</v>
      </c>
      <c r="H510" s="2" t="s">
        <v>418</v>
      </c>
      <c r="I510" s="2" t="str">
        <f>IFERROR(__xludf.DUMMYFUNCTION("GOOGLETRANSLATE(C510,""fr"",""en"")"),"Being already passed by April Moto for another two wheels I was pleasantly surprised by their professionalism.
Thank you again and good luck.")</f>
        <v>Being already passed by April Moto for another two wheels I was pleasantly surprised by their professionalism.
Thank you again and good luck.</v>
      </c>
    </row>
    <row r="511" ht="15.75" customHeight="1">
      <c r="A511" s="2">
        <v>4.0</v>
      </c>
      <c r="B511" s="2" t="s">
        <v>1516</v>
      </c>
      <c r="C511" s="2" t="s">
        <v>1517</v>
      </c>
      <c r="D511" s="2" t="s">
        <v>44</v>
      </c>
      <c r="E511" s="2" t="s">
        <v>27</v>
      </c>
      <c r="F511" s="2" t="s">
        <v>15</v>
      </c>
      <c r="G511" s="2" t="s">
        <v>1518</v>
      </c>
      <c r="H511" s="2" t="s">
        <v>29</v>
      </c>
      <c r="I511" s="2" t="str">
        <f>IFERROR(__xludf.DUMMYFUNCTION("GOOGLETRANSLATE(C511,""fr"",""en"")"),"Simple and quick, practical for taking car insurance. Good site ergonomics and good understanding of content. I will recommend this site to friends.")</f>
        <v>Simple and quick, practical for taking car insurance. Good site ergonomics and good understanding of content. I will recommend this site to friends.</v>
      </c>
    </row>
    <row r="512" ht="15.75" customHeight="1">
      <c r="A512" s="2">
        <v>1.0</v>
      </c>
      <c r="B512" s="2" t="s">
        <v>1519</v>
      </c>
      <c r="C512" s="2" t="s">
        <v>1520</v>
      </c>
      <c r="D512" s="2" t="s">
        <v>560</v>
      </c>
      <c r="E512" s="2" t="s">
        <v>561</v>
      </c>
      <c r="F512" s="2" t="s">
        <v>15</v>
      </c>
      <c r="G512" s="2" t="s">
        <v>550</v>
      </c>
      <c r="H512" s="2" t="s">
        <v>159</v>
      </c>
      <c r="I512" s="2" t="str">
        <f>IFERROR(__xludf.DUMMYFUNCTION("GOOGLETRANSLATE(C512,""fr"",""en"")"),"I strongly advise against animals. It covers almost nothing if you take the most economical contract.
I did not receive a letter for the renewal of my contracts on the anniversary date. And when I noticed it was too late!
My termination request was refu"&amp;"sed because the deadline was exceeded.
In the event of an early termination request, no possible arrangement. They prefer to keep an unhappy customer hired again for an additional year, knowing that he will certainly leave after!")</f>
        <v>I strongly advise against animals. It covers almost nothing if you take the most economical contract.
I did not receive a letter for the renewal of my contracts on the anniversary date. And when I noticed it was too late!
My termination request was refused because the deadline was exceeded.
In the event of an early termination request, no possible arrangement. They prefer to keep an unhappy customer hired again for an additional year, knowing that he will certainly leave after!</v>
      </c>
    </row>
    <row r="513" ht="15.75" customHeight="1">
      <c r="A513" s="2">
        <v>1.0</v>
      </c>
      <c r="B513" s="2" t="s">
        <v>1521</v>
      </c>
      <c r="C513" s="2" t="s">
        <v>1522</v>
      </c>
      <c r="D513" s="2" t="s">
        <v>1523</v>
      </c>
      <c r="E513" s="2" t="s">
        <v>1524</v>
      </c>
      <c r="F513" s="2" t="s">
        <v>15</v>
      </c>
      <c r="G513" s="2" t="s">
        <v>1525</v>
      </c>
      <c r="H513" s="2" t="s">
        <v>583</v>
      </c>
      <c r="I513" s="2" t="str">
        <f>IFERROR(__xludf.DUMMYFUNCTION("GOOGLETRANSLATE(C513,""fr"",""en"")"),"To be advised, they are dream sellers !! Very strong to collect contributions and tell stories of Polichinelle to make us sign contracts. But after a disaster, there is no one left. It plays on words and dates. To avoid my dear professional friends.")</f>
        <v>To be advised, they are dream sellers !! Very strong to collect contributions and tell stories of Polichinelle to make us sign contracts. But after a disaster, there is no one left. It plays on words and dates. To avoid my dear professional friends.</v>
      </c>
    </row>
    <row r="514" ht="15.75" customHeight="1">
      <c r="A514" s="2">
        <v>4.0</v>
      </c>
      <c r="B514" s="2" t="s">
        <v>1526</v>
      </c>
      <c r="C514" s="2" t="s">
        <v>1527</v>
      </c>
      <c r="D514" s="2" t="s">
        <v>38</v>
      </c>
      <c r="E514" s="2" t="s">
        <v>39</v>
      </c>
      <c r="F514" s="2" t="s">
        <v>15</v>
      </c>
      <c r="G514" s="2" t="s">
        <v>835</v>
      </c>
      <c r="H514" s="2" t="s">
        <v>41</v>
      </c>
      <c r="I514" s="2" t="str">
        <f>IFERROR(__xludf.DUMMYFUNCTION("GOOGLETRANSLATE(C514,""fr"",""en"")"),"For the moment everything is fine, we will see if problem arises if necessary, the telephone reception very well passed and the information is complete")</f>
        <v>For the moment everything is fine, we will see if problem arises if necessary, the telephone reception very well passed and the information is complete</v>
      </c>
    </row>
    <row r="515" ht="15.75" customHeight="1">
      <c r="A515" s="2">
        <v>4.0</v>
      </c>
      <c r="B515" s="2" t="s">
        <v>1528</v>
      </c>
      <c r="C515" s="2" t="s">
        <v>1529</v>
      </c>
      <c r="D515" s="2" t="s">
        <v>44</v>
      </c>
      <c r="E515" s="2" t="s">
        <v>27</v>
      </c>
      <c r="F515" s="2" t="s">
        <v>15</v>
      </c>
      <c r="G515" s="2" t="s">
        <v>1530</v>
      </c>
      <c r="H515" s="2" t="s">
        <v>46</v>
      </c>
      <c r="I515" s="2" t="str">
        <f>IFERROR(__xludf.DUMMYFUNCTION("GOOGLETRANSLATE(C515,""fr"",""en"")"),"I am satisfied with the service offered. The subscription is simple and quick and the prices suit me. I will recommend direct insurance to those around me")</f>
        <v>I am satisfied with the service offered. The subscription is simple and quick and the prices suit me. I will recommend direct insurance to those around me</v>
      </c>
    </row>
    <row r="516" ht="15.75" customHeight="1">
      <c r="A516" s="2">
        <v>1.0</v>
      </c>
      <c r="B516" s="2" t="s">
        <v>1531</v>
      </c>
      <c r="C516" s="2" t="s">
        <v>1532</v>
      </c>
      <c r="D516" s="2" t="s">
        <v>125</v>
      </c>
      <c r="E516" s="2" t="s">
        <v>14</v>
      </c>
      <c r="F516" s="2" t="s">
        <v>15</v>
      </c>
      <c r="G516" s="2" t="s">
        <v>1533</v>
      </c>
      <c r="H516" s="2" t="s">
        <v>57</v>
      </c>
      <c r="I516" s="2" t="str">
        <f>IFERROR(__xludf.DUMMYFUNCTION("GOOGLETRANSLATE(C516,""fr"",""en"")"),"I sent 3 requests for reimbursement (January 19, January 27 and on February 01, 2021),
And I still haven't had any refund. As a result, I sent a termination request on February 19 by email and March 11, 2021 by mail. No more response via the internet. I "&amp;"still managed to have someone on the phone who gave me another email address but without any effect. I have the impression that this company is in financial difficulty.
In any event, the reimbursement times are far too long and moreover it is practically"&amp;" no longer possible to have exchanges by email because we do not get any response.
I will prospect elsewhere.")</f>
        <v>I sent 3 requests for reimbursement (January 19, January 27 and on February 01, 2021),
And I still haven't had any refund. As a result, I sent a termination request on February 19 by email and March 11, 2021 by mail. No more response via the internet. I still managed to have someone on the phone who gave me another email address but without any effect. I have the impression that this company is in financial difficulty.
In any event, the reimbursement times are far too long and moreover it is practically no longer possible to have exchanges by email because we do not get any response.
I will prospect elsewhere.</v>
      </c>
    </row>
    <row r="517" ht="15.75" customHeight="1">
      <c r="A517" s="2">
        <v>1.0</v>
      </c>
      <c r="B517" s="2" t="s">
        <v>1534</v>
      </c>
      <c r="C517" s="2" t="s">
        <v>1535</v>
      </c>
      <c r="D517" s="2" t="s">
        <v>148</v>
      </c>
      <c r="E517" s="2" t="s">
        <v>33</v>
      </c>
      <c r="F517" s="2" t="s">
        <v>15</v>
      </c>
      <c r="G517" s="2" t="s">
        <v>1436</v>
      </c>
      <c r="H517" s="2" t="s">
        <v>35</v>
      </c>
      <c r="I517" s="2" t="str">
        <f>IFERROR(__xludf.DUMMYFUNCTION("GOOGLETRANSLATE(C517,""fr"",""en"")"),"Maif member for 50 years, for all our contracts, housing, vehicles etc, attached to the mutualist spirit, I am so disappointed by the way in which a loss file has just been treated, by the lack of listening, that I 'plans to change mutual.
The conclusion"&amp;"s of the Expert Cabinet for water damage is so rigid, based on deficient definitions, used until the height of the absurd to reject management.
The amount of the claim is not important, 4,200 euros, but today I do a matter of principle.
Indeed, I believ"&amp;"e that Maif has lost its mutualist spirit.
I no longer find listening, the benevolence I have known.
I will try to contact other mutuals, in order to compare the amounts of their insurance contracts (and send them the elements of the water damage file i"&amp;"n order to have their opinion on the way in which it is processed by MAIF.)
 ")</f>
        <v>Maif member for 50 years, for all our contracts, housing, vehicles etc, attached to the mutualist spirit, I am so disappointed by the way in which a loss file has just been treated, by the lack of listening, that I 'plans to change mutual.
The conclusions of the Expert Cabinet for water damage is so rigid, based on deficient definitions, used until the height of the absurd to reject management.
The amount of the claim is not important, 4,200 euros, but today I do a matter of principle.
Indeed, I believe that Maif has lost its mutualist spirit.
I no longer find listening, the benevolence I have known.
I will try to contact other mutuals, in order to compare the amounts of their insurance contracts (and send them the elements of the water damage file in order to have their opinion on the way in which it is processed by MAIF.)
 </v>
      </c>
    </row>
    <row r="518" ht="15.75" customHeight="1">
      <c r="A518" s="2">
        <v>2.0</v>
      </c>
      <c r="B518" s="2" t="s">
        <v>1536</v>
      </c>
      <c r="C518" s="2" t="s">
        <v>1537</v>
      </c>
      <c r="D518" s="2" t="s">
        <v>1275</v>
      </c>
      <c r="E518" s="2" t="s">
        <v>460</v>
      </c>
      <c r="F518" s="2" t="s">
        <v>15</v>
      </c>
      <c r="G518" s="2" t="s">
        <v>1538</v>
      </c>
      <c r="H518" s="2" t="s">
        <v>382</v>
      </c>
      <c r="I518" s="2" t="str">
        <f>IFERROR(__xludf.DUMMYFUNCTION("GOOGLETRANSLATE(C518,""fr"",""en"")"),"More than 2 months that I am turned in circles for a partial acquisition. No one keeps informed and when I call I always ask me for new papers. After saying that the transfer had been made !! 15 days after still nothing I remind you and I am told that you"&amp;" need a company RIB when the contract is in my name !! In the meantime I have started off and am in the red because of Swisslife. I sent the new RIB but still nothing to date. I had a similar problem 2 years ago following a succession. deeply disappointed"&amp;".")</f>
        <v>More than 2 months that I am turned in circles for a partial acquisition. No one keeps informed and when I call I always ask me for new papers. After saying that the transfer had been made !! 15 days after still nothing I remind you and I am told that you need a company RIB when the contract is in my name !! In the meantime I have started off and am in the red because of Swisslife. I sent the new RIB but still nothing to date. I had a similar problem 2 years ago following a succession. deeply disappointed.</v>
      </c>
    </row>
    <row r="519" ht="15.75" customHeight="1">
      <c r="A519" s="2">
        <v>4.0</v>
      </c>
      <c r="B519" s="2" t="s">
        <v>1539</v>
      </c>
      <c r="C519" s="2" t="s">
        <v>1540</v>
      </c>
      <c r="D519" s="2" t="s">
        <v>55</v>
      </c>
      <c r="E519" s="2" t="s">
        <v>14</v>
      </c>
      <c r="F519" s="2" t="s">
        <v>15</v>
      </c>
      <c r="G519" s="2" t="s">
        <v>438</v>
      </c>
      <c r="H519" s="2" t="s">
        <v>339</v>
      </c>
      <c r="I519" s="2" t="str">
        <f>IFERROR(__xludf.DUMMYFUNCTION("GOOGLETRANSLATE(C519,""fr"",""en"")"),"I have been a client at Neoliane for several years old Aintettet I am sastifaite of the customer monitoring service absolutely and the whole set all on the professionalism listens and the completeness")</f>
        <v>I have been a client at Neoliane for several years old Aintettet I am sastifaite of the customer monitoring service absolutely and the whole set all on the professionalism listens and the completeness</v>
      </c>
    </row>
    <row r="520" ht="15.75" customHeight="1">
      <c r="A520" s="2">
        <v>1.0</v>
      </c>
      <c r="B520" s="2" t="s">
        <v>1541</v>
      </c>
      <c r="C520" s="2" t="s">
        <v>1542</v>
      </c>
      <c r="D520" s="2" t="s">
        <v>1083</v>
      </c>
      <c r="E520" s="2" t="s">
        <v>76</v>
      </c>
      <c r="F520" s="2" t="s">
        <v>15</v>
      </c>
      <c r="G520" s="2" t="s">
        <v>1244</v>
      </c>
      <c r="H520" s="2" t="s">
        <v>35</v>
      </c>
      <c r="I520" s="2" t="str">
        <f>IFERROR(__xludf.DUMMYFUNCTION("GOOGLETRANSLATE(C520,""fr"",""en"")"),"To run away absolutely, totally nonexistent communication, no response to emails, total incompetence of the sales department, my file has not been processed since November 2020 despite my phone calls. And yet, this is only a poorly registered change of be"&amp;"neficiary following the error of the salesperson who no longer responds either!
It's a shame ! If I had the choice, I will not put any star!")</f>
        <v>To run away absolutely, totally nonexistent communication, no response to emails, total incompetence of the sales department, my file has not been processed since November 2020 despite my phone calls. And yet, this is only a poorly registered change of beneficiary following the error of the salesperson who no longer responds either!
It's a shame ! If I had the choice, I will not put any star!</v>
      </c>
    </row>
    <row r="521" ht="15.75" customHeight="1">
      <c r="A521" s="2">
        <v>2.0</v>
      </c>
      <c r="B521" s="2" t="s">
        <v>1543</v>
      </c>
      <c r="C521" s="2" t="s">
        <v>1544</v>
      </c>
      <c r="D521" s="2" t="s">
        <v>44</v>
      </c>
      <c r="E521" s="2" t="s">
        <v>27</v>
      </c>
      <c r="F521" s="2" t="s">
        <v>15</v>
      </c>
      <c r="G521" s="2" t="s">
        <v>1545</v>
      </c>
      <c r="H521" s="2" t="s">
        <v>382</v>
      </c>
      <c r="I521" s="2" t="str">
        <f>IFERROR(__xludf.DUMMYFUNCTION("GOOGLETRANSLATE(C521,""fr"",""en"")"),"Stolen car, quite simple procedure until I receive the vrade from ""the expert"". Ridiculously low price (sent barely 1 hour after I am told that it will be done and based on 8 ads Le Bon Coin which were not even with the same finish), I ask to negotiate,"&amp;" there it becomes ordeal. They are never available on the phone, do not respond to emails. The expert must recall but he never calls. I send an exhaustive and clear file clearly that the vrade is below the market, after days of galley to obtain a clear an"&amp;"swer I am just ""no, we are not going to re -reestate the vrade"". We then encourage me to do a counter expertise. They assume that most people will not embark on these long and expensive steps and are sure to earn statistically money ... Abusive commerci"&amp;"al practices, no listening, no dialogue, ridiculous reimbursement")</f>
        <v>Stolen car, quite simple procedure until I receive the vrade from "the expert". Ridiculously low price (sent barely 1 hour after I am told that it will be done and based on 8 ads Le Bon Coin which were not even with the same finish), I ask to negotiate, there it becomes ordeal. They are never available on the phone, do not respond to emails. The expert must recall but he never calls. I send an exhaustive and clear file clearly that the vrade is below the market, after days of galley to obtain a clear answer I am just "no, we are not going to re -reestate the vrade". We then encourage me to do a counter expertise. They assume that most people will not embark on these long and expensive steps and are sure to earn statistically money ... Abusive commercial practices, no listening, no dialogue, ridiculous reimbursement</v>
      </c>
    </row>
    <row r="522" ht="15.75" customHeight="1">
      <c r="A522" s="2">
        <v>4.0</v>
      </c>
      <c r="B522" s="2" t="s">
        <v>1546</v>
      </c>
      <c r="C522" s="2" t="s">
        <v>1547</v>
      </c>
      <c r="D522" s="2" t="s">
        <v>134</v>
      </c>
      <c r="E522" s="2" t="s">
        <v>27</v>
      </c>
      <c r="F522" s="2" t="s">
        <v>15</v>
      </c>
      <c r="G522" s="2" t="s">
        <v>1548</v>
      </c>
      <c r="H522" s="2" t="s">
        <v>23</v>
      </c>
      <c r="I522" s="2" t="str">
        <f>IFERROR(__xludf.DUMMYFUNCTION("GOOGLETRANSLATE(C522,""fr"",""en"")"),"Satisfied with services, yes.
I still regret that there is not a small reward for loyal customers, moreover, which brings together a maximum of contracts with you (2 car insurance, habit contract, family contract ..).
And without a claim for a very long"&amp;" time;)
Regards Mr MAILLARD
")</f>
        <v>Satisfied with services, yes.
I still regret that there is not a small reward for loyal customers, moreover, which brings together a maximum of contracts with you (2 car insurance, habit contract, family contract ..).
And without a claim for a very long time;)
Regards Mr MAILLARD
</v>
      </c>
    </row>
    <row r="523" ht="15.75" customHeight="1">
      <c r="A523" s="2">
        <v>3.0</v>
      </c>
      <c r="B523" s="2" t="s">
        <v>1549</v>
      </c>
      <c r="C523" s="2" t="s">
        <v>1550</v>
      </c>
      <c r="D523" s="2" t="s">
        <v>44</v>
      </c>
      <c r="E523" s="2" t="s">
        <v>27</v>
      </c>
      <c r="F523" s="2" t="s">
        <v>15</v>
      </c>
      <c r="G523" s="2" t="s">
        <v>1533</v>
      </c>
      <c r="H523" s="2" t="s">
        <v>57</v>
      </c>
      <c r="I523" s="2" t="str">
        <f>IFERROR(__xludf.DUMMYFUNCTION("GOOGLETRANSLATE(C523,""fr"",""en"")"),"For the moment I can only be satisfied with the price. For insurance I would see in use and whatever it is after April 01, 2021.
On the other hand your request for an opinion is, for me moved since I am only in the subscription. I can add that the hostes"&amp;"s Stephanie was pleasant and friendly.")</f>
        <v>For the moment I can only be satisfied with the price. For insurance I would see in use and whatever it is after April 01, 2021.
On the other hand your request for an opinion is, for me moved since I am only in the subscription. I can add that the hostess Stephanie was pleasant and friendly.</v>
      </c>
    </row>
    <row r="524" ht="15.75" customHeight="1">
      <c r="A524" s="2">
        <v>2.0</v>
      </c>
      <c r="B524" s="2" t="s">
        <v>1551</v>
      </c>
      <c r="C524" s="2" t="s">
        <v>1552</v>
      </c>
      <c r="D524" s="2" t="s">
        <v>32</v>
      </c>
      <c r="E524" s="2" t="s">
        <v>27</v>
      </c>
      <c r="F524" s="2" t="s">
        <v>15</v>
      </c>
      <c r="G524" s="2" t="s">
        <v>1553</v>
      </c>
      <c r="H524" s="2" t="s">
        <v>294</v>
      </c>
      <c r="I524" s="2" t="str">
        <f>IFERROR(__xludf.DUMMYFUNCTION("GOOGLETRANSLATE(C524,""fr"",""en"")"),"Good morning !
I try to post my opinion on the Macif here, since I see on reading other opinions, that there seems to be an activity and response from the Macif.
In July 2018, my vehicle was strongly damaged due to the full fire of a vehicle that was "&amp;"parked next to mine. The vehicle that burned was identified (photos) and I therefore filed a complaint + made a request for care for this disaster.
After a calamitous management of the file for the repair of my vehicle, I am still awaiting the reimbursem"&amp;"ent of the deductible of 700 euros.
After many telephone calls that remained without any will to response from the Macif, I wrote 2 letters by registered mail with AR to make my complaint.
To date, I still have no answers.
What do you think ?")</f>
        <v>Good morning !
I try to post my opinion on the Macif here, since I see on reading other opinions, that there seems to be an activity and response from the Macif.
In July 2018, my vehicle was strongly damaged due to the full fire of a vehicle that was parked next to mine. The vehicle that burned was identified (photos) and I therefore filed a complaint + made a request for care for this disaster.
After a calamitous management of the file for the repair of my vehicle, I am still awaiting the reimbursement of the deductible of 700 euros.
After many telephone calls that remained without any will to response from the Macif, I wrote 2 letters by registered mail with AR to make my complaint.
To date, I still have no answers.
What do you think ?</v>
      </c>
    </row>
    <row r="525" ht="15.75" customHeight="1">
      <c r="A525" s="2">
        <v>2.0</v>
      </c>
      <c r="B525" s="2" t="s">
        <v>1554</v>
      </c>
      <c r="C525" s="2" t="s">
        <v>1555</v>
      </c>
      <c r="D525" s="2" t="s">
        <v>84</v>
      </c>
      <c r="E525" s="2" t="s">
        <v>39</v>
      </c>
      <c r="F525" s="2" t="s">
        <v>15</v>
      </c>
      <c r="G525" s="2" t="s">
        <v>1556</v>
      </c>
      <c r="H525" s="2" t="s">
        <v>206</v>
      </c>
      <c r="I525" s="2" t="str">
        <f>IFERROR(__xludf.DUMMYFUNCTION("GOOGLETRANSLATE(C525,""fr"",""en"")"),"Hello having sold my motorcycle on the same day I declare it for insurance to arret the contract!
3 months later I realize that they were continuing to take! I blocked the direct debit and claimed the reimbursement of the 3 months!
5 months after I was "&amp;"still not reimbursed but in addition they have claimed me the payments since I blocked the samples !! I called for AXA headquarters to explain my dissatisfaction with the AXA Cany Barville agency !!!
The result is not to be long overdue because they had "&amp;"to take a blower from the headquarters of AXA 1 day later the AXA agency of Cany Barville my phone by specifying that in 48 hours I would receive the reimbursement that I actually received 48 hours After with a letter that accompanied to this two other ca"&amp;"rs, surely in retaliation for having complained to me at the headquarters !!! Following a code of insurance enhanced them to terminate a customer without reasons !!! I do not tell you when you want to ensure the difficulty of finding insurance where it is"&amp;" marked on the information sheet terminated by the insurer !!! We must flee this brand !!!")</f>
        <v>Hello having sold my motorcycle on the same day I declare it for insurance to arret the contract!
3 months later I realize that they were continuing to take! I blocked the direct debit and claimed the reimbursement of the 3 months!
5 months after I was still not reimbursed but in addition they have claimed me the payments since I blocked the samples !! I called for AXA headquarters to explain my dissatisfaction with the AXA Cany Barville agency !!!
The result is not to be long overdue because they had to take a blower from the headquarters of AXA 1 day later the AXA agency of Cany Barville my phone by specifying that in 48 hours I would receive the reimbursement that I actually received 48 hours After with a letter that accompanied to this two other cars, surely in retaliation for having complained to me at the headquarters !!! Following a code of insurance enhanced them to terminate a customer without reasons !!! I do not tell you when you want to ensure the difficulty of finding insurance where it is marked on the information sheet terminated by the insurer !!! We must flee this brand !!!</v>
      </c>
    </row>
    <row r="526" ht="15.75" customHeight="1">
      <c r="A526" s="2">
        <v>1.0</v>
      </c>
      <c r="B526" s="2" t="s">
        <v>1557</v>
      </c>
      <c r="C526" s="2" t="s">
        <v>1558</v>
      </c>
      <c r="D526" s="2" t="s">
        <v>32</v>
      </c>
      <c r="E526" s="2" t="s">
        <v>27</v>
      </c>
      <c r="F526" s="2" t="s">
        <v>15</v>
      </c>
      <c r="G526" s="2" t="s">
        <v>1559</v>
      </c>
      <c r="H526" s="2" t="s">
        <v>1560</v>
      </c>
      <c r="I526" s="2" t="str">
        <f>IFERROR(__xludf.DUMMYFUNCTION("GOOGLETRANSLATE(C526,""fr"",""en"")"),"Big problem with compensation after accident .... 4 years already and 4 expertise after and my insurance La Macif leaves dragged ... I am the victim and insured with them ... not a mutual ... a company with shareholders who do not think that cashed your m"&amp;"oney and don't care about your problem.")</f>
        <v>Big problem with compensation after accident .... 4 years already and 4 expertise after and my insurance La Macif leaves dragged ... I am the victim and insured with them ... not a mutual ... a company with shareholders who do not think that cashed your money and don't care about your problem.</v>
      </c>
    </row>
    <row r="527" ht="15.75" customHeight="1">
      <c r="A527" s="2">
        <v>1.0</v>
      </c>
      <c r="B527" s="2" t="s">
        <v>1561</v>
      </c>
      <c r="C527" s="2" t="s">
        <v>1562</v>
      </c>
      <c r="D527" s="2" t="s">
        <v>100</v>
      </c>
      <c r="E527" s="2" t="s">
        <v>76</v>
      </c>
      <c r="F527" s="2" t="s">
        <v>15</v>
      </c>
      <c r="G527" s="2" t="s">
        <v>697</v>
      </c>
      <c r="H527" s="2" t="s">
        <v>46</v>
      </c>
      <c r="I527" s="2" t="str">
        <f>IFERROR(__xludf.DUMMYFUNCTION("GOOGLETRANSLATE(C527,""fr"",""en"")"),"(Madelin contract)
Profitability is not that indicated when the contract is taken out and the member does not have the details on the capital and the annual profitability rate during the years of payment.
At the time of the pension, a 23% levy is practi"&amp;"ced without explanation
While annual profitability run around 1.5% during payments.
AG2R communicates a lot, but the advice is oriented towards the interests of AG2R (example Sapin 2 not applied, although the insured is informed) at the end of the contr"&amp;"act The annuities with the devaluation do not cover the deposits unless the member 20 years of higher life from his retirement.")</f>
        <v>(Madelin contract)
Profitability is not that indicated when the contract is taken out and the member does not have the details on the capital and the annual profitability rate during the years of payment.
At the time of the pension, a 23% levy is practiced without explanation
While annual profitability run around 1.5% during payments.
AG2R communicates a lot, but the advice is oriented towards the interests of AG2R (example Sapin 2 not applied, although the insured is informed) at the end of the contract The annuities with the devaluation do not cover the deposits unless the member 20 years of higher life from his retirement.</v>
      </c>
    </row>
    <row r="528" ht="15.75" customHeight="1">
      <c r="A528" s="2">
        <v>2.0</v>
      </c>
      <c r="B528" s="2" t="s">
        <v>1563</v>
      </c>
      <c r="C528" s="2" t="s">
        <v>1564</v>
      </c>
      <c r="D528" s="2" t="s">
        <v>141</v>
      </c>
      <c r="E528" s="2" t="s">
        <v>27</v>
      </c>
      <c r="F528" s="2" t="s">
        <v>15</v>
      </c>
      <c r="G528" s="2" t="s">
        <v>1565</v>
      </c>
      <c r="H528" s="2" t="s">
        <v>339</v>
      </c>
      <c r="I528" s="2" t="str">
        <f>IFERROR(__xludf.DUMMYFUNCTION("GOOGLETRANSLATE(C528,""fr"",""en"")"),"You believe you are insured but at the first claim your insurer refuses to take care of it.")</f>
        <v>You believe you are insured but at the first claim your insurer refuses to take care of it.</v>
      </c>
    </row>
    <row r="529" ht="15.75" customHeight="1">
      <c r="A529" s="2">
        <v>1.0</v>
      </c>
      <c r="B529" s="2" t="s">
        <v>1566</v>
      </c>
      <c r="C529" s="2" t="s">
        <v>1567</v>
      </c>
      <c r="D529" s="2" t="s">
        <v>100</v>
      </c>
      <c r="E529" s="2" t="s">
        <v>76</v>
      </c>
      <c r="F529" s="2" t="s">
        <v>15</v>
      </c>
      <c r="G529" s="2" t="s">
        <v>570</v>
      </c>
      <c r="H529" s="2" t="s">
        <v>571</v>
      </c>
      <c r="I529" s="2" t="str">
        <f>IFERROR(__xludf.DUMMYFUNCTION("GOOGLETRANSLATE(C529,""fr"",""en"")"),"Still awaiting settlement for the period from January 2014 to July 2017. My employer sent you the documents necessary several times but you say you have received nothing. You do not realize in which situation you put your insured ...")</f>
        <v>Still awaiting settlement for the period from January 2014 to July 2017. My employer sent you the documents necessary several times but you say you have received nothing. You do not realize in which situation you put your insured ...</v>
      </c>
    </row>
    <row r="530" ht="15.75" customHeight="1">
      <c r="A530" s="2">
        <v>5.0</v>
      </c>
      <c r="B530" s="2" t="s">
        <v>1568</v>
      </c>
      <c r="C530" s="2" t="s">
        <v>1569</v>
      </c>
      <c r="D530" s="2" t="s">
        <v>134</v>
      </c>
      <c r="E530" s="2" t="s">
        <v>27</v>
      </c>
      <c r="F530" s="2" t="s">
        <v>15</v>
      </c>
      <c r="G530" s="2" t="s">
        <v>745</v>
      </c>
      <c r="H530" s="2" t="s">
        <v>23</v>
      </c>
      <c r="I530" s="2" t="str">
        <f>IFERROR(__xludf.DUMMYFUNCTION("GOOGLETRANSLATE(C530,""fr"",""en"")"),"I am very satisfied with the service. Very pleasant access during the appointments.
Request for information provided with precision and celeity.
With thanks")</f>
        <v>I am very satisfied with the service. Very pleasant access during the appointments.
Request for information provided with precision and celeity.
With thanks</v>
      </c>
    </row>
    <row r="531" ht="15.75" customHeight="1">
      <c r="A531" s="2">
        <v>4.0</v>
      </c>
      <c r="B531" s="2" t="s">
        <v>1570</v>
      </c>
      <c r="C531" s="2" t="s">
        <v>1571</v>
      </c>
      <c r="D531" s="2" t="s">
        <v>44</v>
      </c>
      <c r="E531" s="2" t="s">
        <v>27</v>
      </c>
      <c r="F531" s="2" t="s">
        <v>15</v>
      </c>
      <c r="G531" s="2" t="s">
        <v>1572</v>
      </c>
      <c r="H531" s="2" t="s">
        <v>46</v>
      </c>
      <c r="I531" s="2" t="str">
        <f>IFERROR(__xludf.DUMMYFUNCTION("GOOGLETRANSLATE(C531,""fr"",""en"")"),"I am satisfied with the price, I am waiting to see the quality of the service. I was simply looking to reduce my insurance bill. I hope the customer relationship will be there.")</f>
        <v>I am satisfied with the price, I am waiting to see the quality of the service. I was simply looking to reduce my insurance bill. I hope the customer relationship will be there.</v>
      </c>
    </row>
    <row r="532" ht="15.75" customHeight="1">
      <c r="A532" s="2">
        <v>1.0</v>
      </c>
      <c r="B532" s="2" t="s">
        <v>1573</v>
      </c>
      <c r="C532" s="2" t="s">
        <v>1574</v>
      </c>
      <c r="D532" s="2" t="s">
        <v>598</v>
      </c>
      <c r="E532" s="2" t="s">
        <v>460</v>
      </c>
      <c r="F532" s="2" t="s">
        <v>15</v>
      </c>
      <c r="G532" s="2" t="s">
        <v>1575</v>
      </c>
      <c r="H532" s="2" t="s">
        <v>102</v>
      </c>
      <c r="I532" s="2" t="str">
        <f>IFERROR(__xludf.DUMMYFUNCTION("GOOGLETRANSLATE(C532,""fr"",""en"")"),"I asked for the total repurchase of my 2 life insurance contracts at Generali for the sums of 15,000 and 2,00000 €. However, they refuse me to reimburse as long as I cannot produce the hand lifted on a notice to third party holder for = € 273 =, issued 10"&amp;" years ago.
Taxes say they have sent their hands raised; They say they did not receive it.
What to do ? No listening, no empathy, as much to talk to a robot;")</f>
        <v>I asked for the total repurchase of my 2 life insurance contracts at Generali for the sums of 15,000 and 2,00000 €. However, they refuse me to reimburse as long as I cannot produce the hand lifted on a notice to third party holder for = € 273 =, issued 10 years ago.
Taxes say they have sent their hands raised; They say they did not receive it.
What to do ? No listening, no empathy, as much to talk to a robot;</v>
      </c>
    </row>
    <row r="533" ht="15.75" customHeight="1">
      <c r="A533" s="2">
        <v>3.0</v>
      </c>
      <c r="B533" s="2" t="s">
        <v>1576</v>
      </c>
      <c r="C533" s="2" t="s">
        <v>1577</v>
      </c>
      <c r="D533" s="2" t="s">
        <v>252</v>
      </c>
      <c r="E533" s="2" t="s">
        <v>14</v>
      </c>
      <c r="F533" s="2" t="s">
        <v>15</v>
      </c>
      <c r="G533" s="2" t="s">
        <v>1578</v>
      </c>
      <c r="H533" s="2" t="s">
        <v>554</v>
      </c>
      <c r="I533" s="2" t="str">
        <f>IFERROR(__xludf.DUMMYFUNCTION("GOOGLETRANSLATE(C533,""fr"",""en"")"),"Honestly great, very very good listening to the advisers, quick responses, and a very large competence of their trades no telephonic waiting to have an advisor, very friendly and amount")</f>
        <v>Honestly great, very very good listening to the advisers, quick responses, and a very large competence of their trades no telephonic waiting to have an advisor, very friendly and amount</v>
      </c>
    </row>
    <row r="534" ht="15.75" customHeight="1">
      <c r="A534" s="2">
        <v>5.0</v>
      </c>
      <c r="B534" s="2" t="s">
        <v>1579</v>
      </c>
      <c r="C534" s="2" t="s">
        <v>1580</v>
      </c>
      <c r="D534" s="2" t="s">
        <v>38</v>
      </c>
      <c r="E534" s="2" t="s">
        <v>39</v>
      </c>
      <c r="F534" s="2" t="s">
        <v>15</v>
      </c>
      <c r="G534" s="2" t="s">
        <v>244</v>
      </c>
      <c r="H534" s="2" t="s">
        <v>35</v>
      </c>
      <c r="I534" s="2" t="str">
        <f>IFERROR(__xludf.DUMMYFUNCTION("GOOGLETRANSLATE(C534,""fr"",""en"")"),"I am satisfied with your insurance hoping that everything goes well with the condition that you offer me and that I can always be satisfied")</f>
        <v>I am satisfied with your insurance hoping that everything goes well with the condition that you offer me and that I can always be satisfied</v>
      </c>
    </row>
    <row r="535" ht="15.75" customHeight="1">
      <c r="A535" s="2">
        <v>1.0</v>
      </c>
      <c r="B535" s="2" t="s">
        <v>1581</v>
      </c>
      <c r="C535" s="2" t="s">
        <v>1582</v>
      </c>
      <c r="D535" s="2" t="s">
        <v>1472</v>
      </c>
      <c r="E535" s="2" t="s">
        <v>33</v>
      </c>
      <c r="F535" s="2" t="s">
        <v>15</v>
      </c>
      <c r="G535" s="2" t="s">
        <v>1583</v>
      </c>
      <c r="H535" s="2" t="s">
        <v>922</v>
      </c>
      <c r="I535" s="2" t="str">
        <f>IFERROR(__xludf.DUMMYFUNCTION("GOOGLETRANSLATE(C535,""fr"",""en"")"),"It's been a year since I started a statement of water damage to them. They only send me providers in order to find a quote which for them would not be too expensive. On the other hand, when we say that the humidity level is 98% minimum and that they answe"&amp;"r that these are the vagaries of life ...")</f>
        <v>It's been a year since I started a statement of water damage to them. They only send me providers in order to find a quote which for them would not be too expensive. On the other hand, when we say that the humidity level is 98% minimum and that they answer that these are the vagaries of life ...</v>
      </c>
    </row>
    <row r="536" ht="15.75" customHeight="1">
      <c r="A536" s="2">
        <v>5.0</v>
      </c>
      <c r="B536" s="2" t="s">
        <v>1584</v>
      </c>
      <c r="C536" s="2" t="s">
        <v>1585</v>
      </c>
      <c r="D536" s="2" t="s">
        <v>55</v>
      </c>
      <c r="E536" s="2" t="s">
        <v>14</v>
      </c>
      <c r="F536" s="2" t="s">
        <v>15</v>
      </c>
      <c r="G536" s="2" t="s">
        <v>1586</v>
      </c>
      <c r="H536" s="2" t="s">
        <v>62</v>
      </c>
      <c r="I536" s="2" t="str">
        <f>IFERROR(__xludf.DUMMYFUNCTION("GOOGLETRANSLATE(C536,""fr"",""en"")"),"I am very happy with the services rendered. My husband has a serious problem currently, I called and my questions were heard and Georges answered me very clearly on my asked questions. Thank you to him for all his answers and explanations.")</f>
        <v>I am very happy with the services rendered. My husband has a serious problem currently, I called and my questions were heard and Georges answered me very clearly on my asked questions. Thank you to him for all his answers and explanations.</v>
      </c>
    </row>
    <row r="537" ht="15.75" customHeight="1">
      <c r="A537" s="2">
        <v>2.0</v>
      </c>
      <c r="B537" s="2" t="s">
        <v>1587</v>
      </c>
      <c r="C537" s="2" t="s">
        <v>1588</v>
      </c>
      <c r="D537" s="2" t="s">
        <v>70</v>
      </c>
      <c r="E537" s="2" t="s">
        <v>14</v>
      </c>
      <c r="F537" s="2" t="s">
        <v>15</v>
      </c>
      <c r="G537" s="2" t="s">
        <v>1589</v>
      </c>
      <c r="H537" s="2" t="s">
        <v>422</v>
      </c>
      <c r="I537" s="2" t="str">
        <f>IFERROR(__xludf.DUMMYFUNCTION("GOOGLETRANSLATE(C537,""fr"",""en"")"),"I was under contract for 1 year at HM following a change of employer. The covers are good, the price acceptable, however, no rigor on their part ...
They are unable to set up the Noemi link with Social Security in almost a year, they constantly ask you"&amp;" for documents you have already sent, reimbursement times are extended, customer officials are not those which deal with the files.
Worse when putting documents you have no proof of deposit just an email giving you the names of the documents. What is v"&amp;"ery accommodating for them because you cannot prove that the document sent is the one requested.
To flee ...")</f>
        <v>I was under contract for 1 year at HM following a change of employer. The covers are good, the price acceptable, however, no rigor on their part ...
They are unable to set up the Noemi link with Social Security in almost a year, they constantly ask you for documents you have already sent, reimbursement times are extended, customer officials are not those which deal with the files.
Worse when putting documents you have no proof of deposit just an email giving you the names of the documents. What is very accommodating for them because you cannot prove that the document sent is the one requested.
To flee ...</v>
      </c>
    </row>
    <row r="538" ht="15.75" customHeight="1">
      <c r="A538" s="2">
        <v>3.0</v>
      </c>
      <c r="B538" s="2" t="s">
        <v>1590</v>
      </c>
      <c r="C538" s="2" t="s">
        <v>1591</v>
      </c>
      <c r="D538" s="2" t="s">
        <v>55</v>
      </c>
      <c r="E538" s="2" t="s">
        <v>14</v>
      </c>
      <c r="F538" s="2" t="s">
        <v>15</v>
      </c>
      <c r="G538" s="2" t="s">
        <v>1592</v>
      </c>
      <c r="H538" s="2" t="s">
        <v>78</v>
      </c>
      <c r="I538" s="2" t="str">
        <f>IFERROR(__xludf.DUMMYFUNCTION("GOOGLETRANSLATE(C538,""fr"",""en"")"),"After problems with a little delicate broker who practiced what is akin to forced sales of a Neoliane contract, the latter agreed to quickly cancel this membership. Until more informed, this is in any case what the email suggests that I have just received"&amp;".")</f>
        <v>After problems with a little delicate broker who practiced what is akin to forced sales of a Neoliane contract, the latter agreed to quickly cancel this membership. Until more informed, this is in any case what the email suggests that I have just received.</v>
      </c>
    </row>
    <row r="539" ht="15.75" customHeight="1">
      <c r="A539" s="2">
        <v>1.0</v>
      </c>
      <c r="B539" s="2" t="s">
        <v>1593</v>
      </c>
      <c r="C539" s="2" t="s">
        <v>1594</v>
      </c>
      <c r="D539" s="2" t="s">
        <v>148</v>
      </c>
      <c r="E539" s="2" t="s">
        <v>27</v>
      </c>
      <c r="F539" s="2" t="s">
        <v>15</v>
      </c>
      <c r="G539" s="2" t="s">
        <v>1595</v>
      </c>
      <c r="H539" s="2" t="s">
        <v>452</v>
      </c>
      <c r="I539" s="2" t="str">
        <f>IFERROR(__xludf.DUMMYFUNCTION("GOOGLETRANSLATE(C539,""fr"",""en"")"),"MAIF has changed in 20 years and clings to its mutualist past as a screen that would make. My case is not catastrophic but testifies to the new MAIF mentality.
I broke down 30 km from my usual mechanic with a package of 180 euros in troubleshooting. I "&amp;"therefore ask that my vehicle be towed to my mechanic, even if it means paying the passage of package.
No more than 15 km of tow, said the MAIF assistance! I point out that nothing in my contract stipulates such a limit, the only contractual limit is f"&amp;"inancial: 180 euros maximum.
Response from the MAIF: ""Admittedly, it is not written in your contract but it is the usual practice. Sorry.""
MAIF above contract law! Finally, not want to embark on legal proceedings with this ""militant"" insurer. I "&amp;"change insurer next week. After 31 years of contributions.")</f>
        <v>MAIF has changed in 20 years and clings to its mutualist past as a screen that would make. My case is not catastrophic but testifies to the new MAIF mentality.
I broke down 30 km from my usual mechanic with a package of 180 euros in troubleshooting. I therefore ask that my vehicle be towed to my mechanic, even if it means paying the passage of package.
No more than 15 km of tow, said the MAIF assistance! I point out that nothing in my contract stipulates such a limit, the only contractual limit is financial: 180 euros maximum.
Response from the MAIF: "Admittedly, it is not written in your contract but it is the usual practice. Sorry."
MAIF above contract law! Finally, not want to embark on legal proceedings with this "militant" insurer. I change insurer next week. After 31 years of contributions.</v>
      </c>
    </row>
    <row r="540" ht="15.75" customHeight="1">
      <c r="A540" s="2">
        <v>4.0</v>
      </c>
      <c r="B540" s="2" t="s">
        <v>1596</v>
      </c>
      <c r="C540" s="2" t="s">
        <v>1597</v>
      </c>
      <c r="D540" s="2" t="s">
        <v>252</v>
      </c>
      <c r="E540" s="2" t="s">
        <v>14</v>
      </c>
      <c r="F540" s="2" t="s">
        <v>15</v>
      </c>
      <c r="G540" s="2" t="s">
        <v>1598</v>
      </c>
      <c r="H540" s="2" t="s">
        <v>418</v>
      </c>
      <c r="I540" s="2" t="str">
        <f>IFERROR(__xludf.DUMMYFUNCTION("GOOGLETRANSLATE(C540,""fr"",""en"")"),"I am delighted with the online quote of speed and online subscribed hoping that I am happy as soon as I would have reimbursements I will keep you posted thank you")</f>
        <v>I am delighted with the online quote of speed and online subscribed hoping that I am happy as soon as I would have reimbursements I will keep you posted thank you</v>
      </c>
    </row>
    <row r="541" ht="15.75" customHeight="1">
      <c r="A541" s="2">
        <v>5.0</v>
      </c>
      <c r="B541" s="2" t="s">
        <v>1599</v>
      </c>
      <c r="C541" s="2" t="s">
        <v>1600</v>
      </c>
      <c r="D541" s="2" t="s">
        <v>60</v>
      </c>
      <c r="E541" s="2" t="s">
        <v>14</v>
      </c>
      <c r="F541" s="2" t="s">
        <v>15</v>
      </c>
      <c r="G541" s="2" t="s">
        <v>1601</v>
      </c>
      <c r="H541" s="2" t="s">
        <v>62</v>
      </c>
      <c r="I541" s="2" t="str">
        <f>IFERROR(__xludf.DUMMYFUNCTION("GOOGLETRANSLATE(C541,""fr"",""en"")"),"I am well informed and well helped by this insurer it is not long since I am insured with them but I will see later for the moment it goes pretty well here")</f>
        <v>I am well informed and well helped by this insurer it is not long since I am insured with them but I will see later for the moment it goes pretty well here</v>
      </c>
    </row>
    <row r="542" ht="15.75" customHeight="1">
      <c r="A542" s="2">
        <v>3.0</v>
      </c>
      <c r="B542" s="2" t="s">
        <v>1602</v>
      </c>
      <c r="C542" s="2" t="s">
        <v>1603</v>
      </c>
      <c r="D542" s="2" t="s">
        <v>44</v>
      </c>
      <c r="E542" s="2" t="s">
        <v>27</v>
      </c>
      <c r="F542" s="2" t="s">
        <v>15</v>
      </c>
      <c r="G542" s="2" t="s">
        <v>1604</v>
      </c>
      <c r="H542" s="2" t="s">
        <v>29</v>
      </c>
      <c r="I542" s="2" t="str">
        <f>IFERROR(__xludf.DUMMYFUNCTION("GOOGLETRANSLATE(C542,""fr"",""en"")"),"Satisfied, fast, efficient and very correct in price nothing else to say for the moment we will see later if customer service remains correct and if the site is well done")</f>
        <v>Satisfied, fast, efficient and very correct in price nothing else to say for the moment we will see later if customer service remains correct and if the site is well done</v>
      </c>
    </row>
    <row r="543" ht="15.75" customHeight="1">
      <c r="A543" s="2">
        <v>4.0</v>
      </c>
      <c r="B543" s="2" t="s">
        <v>1605</v>
      </c>
      <c r="C543" s="2" t="s">
        <v>1606</v>
      </c>
      <c r="D543" s="2" t="s">
        <v>26</v>
      </c>
      <c r="E543" s="2" t="s">
        <v>27</v>
      </c>
      <c r="F543" s="2" t="s">
        <v>15</v>
      </c>
      <c r="G543" s="2" t="s">
        <v>1607</v>
      </c>
      <c r="H543" s="2" t="s">
        <v>606</v>
      </c>
      <c r="I543" s="2" t="str">
        <f>IFERROR(__xludf.DUMMYFUNCTION("GOOGLETRANSLATE(C543,""fr"",""en"")"),"A friendly reactive service well advised rapid in the management of endorsements and treatment of personal claims understandable in terms of linguistics It is a plus on a treatment platform and above all kind in circumstances.")</f>
        <v>A friendly reactive service well advised rapid in the management of endorsements and treatment of personal claims understandable in terms of linguistics It is a plus on a treatment platform and above all kind in circumstances.</v>
      </c>
    </row>
    <row r="544" ht="15.75" customHeight="1">
      <c r="A544" s="2">
        <v>4.0</v>
      </c>
      <c r="B544" s="2" t="s">
        <v>1608</v>
      </c>
      <c r="C544" s="2" t="s">
        <v>1609</v>
      </c>
      <c r="D544" s="2" t="s">
        <v>26</v>
      </c>
      <c r="E544" s="2" t="s">
        <v>27</v>
      </c>
      <c r="F544" s="2" t="s">
        <v>15</v>
      </c>
      <c r="G544" s="2" t="s">
        <v>378</v>
      </c>
      <c r="H544" s="2" t="s">
        <v>62</v>
      </c>
      <c r="I544" s="2" t="str">
        <f>IFERROR(__xludf.DUMMYFUNCTION("GOOGLETRANSLATE(C544,""fr"",""en"")"),"The price between the quote and the contract is different from 5th more but the whole remains correct I recommend olivier assurance thank you see you soon have a good day")</f>
        <v>The price between the quote and the contract is different from 5th more but the whole remains correct I recommend olivier assurance thank you see you soon have a good day</v>
      </c>
    </row>
    <row r="545" ht="15.75" customHeight="1">
      <c r="A545" s="2">
        <v>3.0</v>
      </c>
      <c r="B545" s="2" t="s">
        <v>1610</v>
      </c>
      <c r="C545" s="2" t="s">
        <v>1611</v>
      </c>
      <c r="D545" s="2" t="s">
        <v>44</v>
      </c>
      <c r="E545" s="2" t="s">
        <v>27</v>
      </c>
      <c r="F545" s="2" t="s">
        <v>15</v>
      </c>
      <c r="G545" s="2" t="s">
        <v>1612</v>
      </c>
      <c r="H545" s="2" t="s">
        <v>571</v>
      </c>
      <c r="I545" s="2" t="str">
        <f>IFERROR(__xludf.DUMMYFUNCTION("GOOGLETRANSLATE(C545,""fr"",""en"")"),"Insured for a long time and I have never received my green card may have them, they tell us that they are going to be lenvoyer but still nothing to believe that they have no green card printer")</f>
        <v>Insured for a long time and I have never received my green card may have them, they tell us that they are going to be lenvoyer but still nothing to believe that they have no green card printer</v>
      </c>
    </row>
    <row r="546" ht="15.75" customHeight="1">
      <c r="A546" s="2">
        <v>2.0</v>
      </c>
      <c r="B546" s="2" t="s">
        <v>1613</v>
      </c>
      <c r="C546" s="2" t="s">
        <v>1614</v>
      </c>
      <c r="D546" s="2" t="s">
        <v>26</v>
      </c>
      <c r="E546" s="2" t="s">
        <v>27</v>
      </c>
      <c r="F546" s="2" t="s">
        <v>15</v>
      </c>
      <c r="G546" s="2" t="s">
        <v>1615</v>
      </c>
      <c r="H546" s="2" t="s">
        <v>184</v>
      </c>
      <c r="I546" s="2" t="str">
        <f>IFERROR(__xludf.DUMMYFUNCTION("GOOGLETRANSLATE(C546,""fr"",""en"")"),"Insurance which should not exercise following two close claims following two discomfort of medical origins, my daughter being struck off from her insurance is registered with the olive tree unfortunately because after more than a year without sinister a t"&amp;"hird party revealing untimely way in the opposite direction of circulation indicated by an arrow on the ground struck my daughter who normally leaves her parking space the olive tree has twisted 50 50 and has radiated my daughter while the declaration in "&amp;"agreement with the third party was canceled account Hold on the little more damage my daughter who had reported the change of address did not receive the recommended without AR and therefore to roll 3 months without insurance they are irresponsible incomp"&amp;"etent flee")</f>
        <v>Insurance which should not exercise following two close claims following two discomfort of medical origins, my daughter being struck off from her insurance is registered with the olive tree unfortunately because after more than a year without sinister a third party revealing untimely way in the opposite direction of circulation indicated by an arrow on the ground struck my daughter who normally leaves her parking space the olive tree has twisted 50 50 and has radiated my daughter while the declaration in agreement with the third party was canceled account Hold on the little more damage my daughter who had reported the change of address did not receive the recommended without AR and therefore to roll 3 months without insurance they are irresponsible incompetent flee</v>
      </c>
    </row>
    <row r="547" ht="15.75" customHeight="1">
      <c r="A547" s="2">
        <v>4.0</v>
      </c>
      <c r="B547" s="2" t="s">
        <v>1616</v>
      </c>
      <c r="C547" s="2" t="s">
        <v>1617</v>
      </c>
      <c r="D547" s="2" t="s">
        <v>105</v>
      </c>
      <c r="E547" s="2" t="s">
        <v>39</v>
      </c>
      <c r="F547" s="2" t="s">
        <v>15</v>
      </c>
      <c r="G547" s="2" t="s">
        <v>1462</v>
      </c>
      <c r="H547" s="2" t="s">
        <v>29</v>
      </c>
      <c r="I547" s="2" t="str">
        <f>IFERROR(__xludf.DUMMYFUNCTION("GOOGLETRANSLATE(C547,""fr"",""en"")"),"The person on the phone during my lunch break .... great!
Tonight, I complete the file, tomorrow I am insured and Sunday I get the new baby ^^
Thank you.")</f>
        <v>The person on the phone during my lunch break .... great!
Tonight, I complete the file, tomorrow I am insured and Sunday I get the new baby ^^
Thank you.</v>
      </c>
    </row>
    <row r="548" ht="15.75" customHeight="1">
      <c r="A548" s="2">
        <v>5.0</v>
      </c>
      <c r="B548" s="2" t="s">
        <v>1618</v>
      </c>
      <c r="C548" s="2" t="s">
        <v>1619</v>
      </c>
      <c r="D548" s="2" t="s">
        <v>26</v>
      </c>
      <c r="E548" s="2" t="s">
        <v>27</v>
      </c>
      <c r="F548" s="2" t="s">
        <v>15</v>
      </c>
      <c r="G548" s="2" t="s">
        <v>1620</v>
      </c>
      <c r="H548" s="2" t="s">
        <v>131</v>
      </c>
      <c r="I548" s="2" t="str">
        <f>IFERROR(__xludf.DUMMYFUNCTION("GOOGLETRANSLATE(C548,""fr"",""en"")"),"Simple, fast, efficient and satisfied. Any new customer and satisfied who I hope to have a very pleasant customer advisers. Competitive price on my all -risk insurance")</f>
        <v>Simple, fast, efficient and satisfied. Any new customer and satisfied who I hope to have a very pleasant customer advisers. Competitive price on my all -risk insurance</v>
      </c>
    </row>
    <row r="549" ht="15.75" customHeight="1">
      <c r="A549" s="2">
        <v>1.0</v>
      </c>
      <c r="B549" s="2" t="s">
        <v>1621</v>
      </c>
      <c r="C549" s="2" t="s">
        <v>1622</v>
      </c>
      <c r="D549" s="2" t="s">
        <v>44</v>
      </c>
      <c r="E549" s="2" t="s">
        <v>27</v>
      </c>
      <c r="F549" s="2" t="s">
        <v>15</v>
      </c>
      <c r="G549" s="2" t="s">
        <v>1623</v>
      </c>
      <c r="H549" s="2" t="s">
        <v>206</v>
      </c>
      <c r="I549" s="2" t="str">
        <f>IFERROR(__xludf.DUMMYFUNCTION("GOOGLETRANSLATE(C549,""fr"",""en"")"),"Direct insurance inexpensive at the start, too expensive afterwards. They are persuaded from the contrary, the Done has changed, there is competition, you do not want to align yourself with my quote, I go to see elsewhere.
")</f>
        <v>Direct insurance inexpensive at the start, too expensive afterwards. They are persuaded from the contrary, the Done has changed, there is competition, you do not want to align yourself with my quote, I go to see elsewhere.
</v>
      </c>
    </row>
    <row r="550" ht="15.75" customHeight="1">
      <c r="A550" s="2">
        <v>1.0</v>
      </c>
      <c r="B550" s="2" t="s">
        <v>1624</v>
      </c>
      <c r="C550" s="2" t="s">
        <v>1625</v>
      </c>
      <c r="D550" s="2" t="s">
        <v>1626</v>
      </c>
      <c r="E550" s="2" t="s">
        <v>561</v>
      </c>
      <c r="F550" s="2" t="s">
        <v>15</v>
      </c>
      <c r="G550" s="2" t="s">
        <v>1627</v>
      </c>
      <c r="H550" s="2" t="s">
        <v>593</v>
      </c>
      <c r="I550" s="2" t="str">
        <f>IFERROR(__xludf.DUMMYFUNCTION("GOOGLETRANSLATE(C550,""fr"",""en"")"),"No relational concerns and taking into account reimbursements up to the last care and death of my Border Collie, Diwan, gone to the age of 11 years and 10 months in lamentable condition, provided for his 2 and a half months at Health Vet. Died on March 4,"&amp;" 2020, I am marked for life for this precipitous departure in 5 days, and unworthy of the respect of the animal for its sensitivity and its emotions. Regarding the reimbursements, they were credited to my account after multiple telephonic and emails, and "&amp;"the exchanges which have more than allowed to be desired, unworthy and disrespectful. The contractual reimbursement delays are very long, Q3 weeks, unless under derogation in 48 hours, and it is that it does not work at all. The price has increased by mor"&amp;"e than 120 % in 10 and a half years despite the cancellation of an increase, at my request one year. I had to change the formula to return to a somewhat ""acceptable"" price if I may say so. If I have a future animal, it is very unlikely that it will be a"&amp;"ssured at home !!! A shame on their part, which they added to the pains of the departure of Diwan, who did not deserve any such life, and of which I did not deserve all the financial concerns that they created me, in addition to the suffering of His depar"&amp;"ture and end -of -life conditions.")</f>
        <v>No relational concerns and taking into account reimbursements up to the last care and death of my Border Collie, Diwan, gone to the age of 11 years and 10 months in lamentable condition, provided for his 2 and a half months at Health Vet. Died on March 4, 2020, I am marked for life for this precipitous departure in 5 days, and unworthy of the respect of the animal for its sensitivity and its emotions. Regarding the reimbursements, they were credited to my account after multiple telephonic and emails, and the exchanges which have more than allowed to be desired, unworthy and disrespectful. The contractual reimbursement delays are very long, Q3 weeks, unless under derogation in 48 hours, and it is that it does not work at all. The price has increased by more than 120 % in 10 and a half years despite the cancellation of an increase, at my request one year. I had to change the formula to return to a somewhat "acceptable" price if I may say so. If I have a future animal, it is very unlikely that it will be assured at home !!! A shame on their part, which they added to the pains of the departure of Diwan, who did not deserve any such life, and of which I did not deserve all the financial concerns that they created me, in addition to the suffering of His departure and end -of -life conditions.</v>
      </c>
    </row>
    <row r="551" ht="15.75" customHeight="1">
      <c r="A551" s="2">
        <v>1.0</v>
      </c>
      <c r="B551" s="2" t="s">
        <v>1628</v>
      </c>
      <c r="C551" s="2" t="s">
        <v>1629</v>
      </c>
      <c r="D551" s="2" t="s">
        <v>134</v>
      </c>
      <c r="E551" s="2" t="s">
        <v>33</v>
      </c>
      <c r="F551" s="2" t="s">
        <v>15</v>
      </c>
      <c r="G551" s="2" t="s">
        <v>1630</v>
      </c>
      <c r="H551" s="2" t="s">
        <v>192</v>
      </c>
      <c r="I551" s="2" t="str">
        <f>IFERROR(__xludf.DUMMYFUNCTION("GOOGLETRANSLATE(C551,""fr"",""en"")"),"Branged more than a year ago, he reimburses me 600 th for 5000 e of proof of proof to GMF support are not there at there their commitments they took more than a year managed my file their services by such is not all competent they melts waiting 30 min the"&amp;"n hangs up on the nose. I change insurance")</f>
        <v>Branged more than a year ago, he reimburses me 600 th for 5000 e of proof of proof to GMF support are not there at there their commitments they took more than a year managed my file their services by such is not all competent they melts waiting 30 min then hangs up on the nose. I change insurance</v>
      </c>
    </row>
    <row r="552" ht="15.75" customHeight="1">
      <c r="A552" s="2">
        <v>1.0</v>
      </c>
      <c r="B552" s="2" t="s">
        <v>1631</v>
      </c>
      <c r="C552" s="2" t="s">
        <v>1632</v>
      </c>
      <c r="D552" s="2" t="s">
        <v>861</v>
      </c>
      <c r="E552" s="2" t="s">
        <v>39</v>
      </c>
      <c r="F552" s="2" t="s">
        <v>15</v>
      </c>
      <c r="G552" s="2" t="s">
        <v>1633</v>
      </c>
      <c r="H552" s="2" t="s">
        <v>294</v>
      </c>
      <c r="I552" s="2" t="str">
        <f>IFERROR(__xludf.DUMMYFUNCTION("GOOGLETRANSLATE(C552,""fr"",""en"")"),"It is a ghost insurance. I subscribed and then no news, no sticker received, no explanation. I now find it difficult to get out of me. I would never recommend this insurance to a friend.")</f>
        <v>It is a ghost insurance. I subscribed and then no news, no sticker received, no explanation. I now find it difficult to get out of me. I would never recommend this insurance to a friend.</v>
      </c>
    </row>
    <row r="553" ht="15.75" customHeight="1">
      <c r="A553" s="2">
        <v>2.0</v>
      </c>
      <c r="B553" s="2" t="s">
        <v>1634</v>
      </c>
      <c r="C553" s="2" t="s">
        <v>1635</v>
      </c>
      <c r="D553" s="2" t="s">
        <v>141</v>
      </c>
      <c r="E553" s="2" t="s">
        <v>27</v>
      </c>
      <c r="F553" s="2" t="s">
        <v>15</v>
      </c>
      <c r="G553" s="2" t="s">
        <v>1636</v>
      </c>
      <c r="H553" s="2" t="s">
        <v>90</v>
      </c>
      <c r="I553" s="2" t="str">
        <f>IFERROR(__xludf.DUMMYFUNCTION("GOOGLETRANSLATE(C553,""fr"",""en"")"),"Abusive termination, because it avoids moving to defend your insured which is however the role of the insurer, but it is so much easier")</f>
        <v>Abusive termination, because it avoids moving to defend your insured which is however the role of the insurer, but it is so much easier</v>
      </c>
    </row>
    <row r="554" ht="15.75" customHeight="1">
      <c r="A554" s="2">
        <v>5.0</v>
      </c>
      <c r="B554" s="2" t="s">
        <v>1637</v>
      </c>
      <c r="C554" s="2" t="s">
        <v>1638</v>
      </c>
      <c r="D554" s="2" t="s">
        <v>44</v>
      </c>
      <c r="E554" s="2" t="s">
        <v>27</v>
      </c>
      <c r="F554" s="2" t="s">
        <v>15</v>
      </c>
      <c r="G554" s="2" t="s">
        <v>1639</v>
      </c>
      <c r="H554" s="2" t="s">
        <v>46</v>
      </c>
      <c r="I554" s="2" t="str">
        <f>IFERROR(__xludf.DUMMYFUNCTION("GOOGLETRANSLATE(C554,""fr"",""en"")"),"Very simple fast and without possible competition. I recommend this subscription system with such ease to complete the files and obtain a clear and precise quote.")</f>
        <v>Very simple fast and without possible competition. I recommend this subscription system with such ease to complete the files and obtain a clear and precise quote.</v>
      </c>
    </row>
    <row r="555" ht="15.75" customHeight="1">
      <c r="A555" s="2">
        <v>2.0</v>
      </c>
      <c r="B555" s="2" t="s">
        <v>1640</v>
      </c>
      <c r="C555" s="2" t="s">
        <v>1641</v>
      </c>
      <c r="D555" s="2" t="s">
        <v>26</v>
      </c>
      <c r="E555" s="2" t="s">
        <v>27</v>
      </c>
      <c r="F555" s="2" t="s">
        <v>15</v>
      </c>
      <c r="G555" s="2" t="s">
        <v>1642</v>
      </c>
      <c r="H555" s="2" t="s">
        <v>320</v>
      </c>
      <c r="I555" s="2" t="str">
        <f>IFERROR(__xludf.DUMMYFUNCTION("GOOGLETRANSLATE(C555,""fr"",""en"")"),"Intervention deleted at the request of the Internet user.")</f>
        <v>Intervention deleted at the request of the Internet user.</v>
      </c>
    </row>
    <row r="556" ht="15.75" customHeight="1">
      <c r="A556" s="2">
        <v>4.0</v>
      </c>
      <c r="B556" s="2" t="s">
        <v>1643</v>
      </c>
      <c r="C556" s="2" t="s">
        <v>1644</v>
      </c>
      <c r="D556" s="2" t="s">
        <v>26</v>
      </c>
      <c r="E556" s="2" t="s">
        <v>27</v>
      </c>
      <c r="F556" s="2" t="s">
        <v>15</v>
      </c>
      <c r="G556" s="2" t="s">
        <v>312</v>
      </c>
      <c r="H556" s="2" t="s">
        <v>35</v>
      </c>
      <c r="I556" s="2" t="str">
        <f>IFERROR(__xludf.DUMMYFUNCTION("GOOGLETRANSLATE(C556,""fr"",""en"")"),"Website to be improved again, but a satisfactory telephone service, to see over time, hoping that the pricing does not increase next year, otherwise the bonus will be unnecessary.")</f>
        <v>Website to be improved again, but a satisfactory telephone service, to see over time, hoping that the pricing does not increase next year, otherwise the bonus will be unnecessary.</v>
      </c>
    </row>
    <row r="557" ht="15.75" customHeight="1">
      <c r="A557" s="2">
        <v>1.0</v>
      </c>
      <c r="B557" s="2" t="s">
        <v>1645</v>
      </c>
      <c r="C557" s="2" t="s">
        <v>1646</v>
      </c>
      <c r="D557" s="2" t="s">
        <v>1275</v>
      </c>
      <c r="E557" s="2" t="s">
        <v>76</v>
      </c>
      <c r="F557" s="2" t="s">
        <v>15</v>
      </c>
      <c r="G557" s="2" t="s">
        <v>1080</v>
      </c>
      <c r="H557" s="2" t="s">
        <v>119</v>
      </c>
      <c r="I557" s="2" t="str">
        <f>IFERROR(__xludf.DUMMYFUNCTION("GOOGLETRANSLATE(C557,""fr"",""en"")"),"As long as you pay money, no problem. The day we want to withdraw money, total silence. I've been trying to get my money and nothing to do for more than four months. Impossible to reach them by phone and they do not respond to letters.
Above all, don't m"&amp;"ake them work")</f>
        <v>As long as you pay money, no problem. The day we want to withdraw money, total silence. I've been trying to get my money and nothing to do for more than four months. Impossible to reach them by phone and they do not respond to letters.
Above all, don't make them work</v>
      </c>
    </row>
    <row r="558" ht="15.75" customHeight="1">
      <c r="A558" s="2">
        <v>5.0</v>
      </c>
      <c r="B558" s="2" t="s">
        <v>1647</v>
      </c>
      <c r="C558" s="2" t="s">
        <v>1648</v>
      </c>
      <c r="D558" s="2" t="s">
        <v>26</v>
      </c>
      <c r="E558" s="2" t="s">
        <v>27</v>
      </c>
      <c r="F558" s="2" t="s">
        <v>15</v>
      </c>
      <c r="G558" s="2" t="s">
        <v>1500</v>
      </c>
      <c r="H558" s="2" t="s">
        <v>46</v>
      </c>
      <c r="I558" s="2" t="str">
        <f>IFERROR(__xludf.DUMMYFUNCTION("GOOGLETRANSLATE(C558,""fr"",""en"")"),"I am satisfied with service, easy suspension in a few minutes it is settled, very professional listening advisor. I recommend Olivier Insurance.")</f>
        <v>I am satisfied with service, easy suspension in a few minutes it is settled, very professional listening advisor. I recommend Olivier Insurance.</v>
      </c>
    </row>
    <row r="559" ht="15.75" customHeight="1">
      <c r="A559" s="2">
        <v>3.0</v>
      </c>
      <c r="B559" s="2" t="s">
        <v>1649</v>
      </c>
      <c r="C559" s="2" t="s">
        <v>1650</v>
      </c>
      <c r="D559" s="2" t="s">
        <v>44</v>
      </c>
      <c r="E559" s="2" t="s">
        <v>27</v>
      </c>
      <c r="F559" s="2" t="s">
        <v>15</v>
      </c>
      <c r="G559" s="2" t="s">
        <v>537</v>
      </c>
      <c r="H559" s="2" t="s">
        <v>57</v>
      </c>
      <c r="I559" s="2" t="str">
        <f>IFERROR(__xludf.DUMMYFUNCTION("GOOGLETRANSLATE(C559,""fr"",""en"")"),"Ok it's not bad at the rates but good by making several quotes on different sites that gives several prices to believe that it is at the head of the customers")</f>
        <v>Ok it's not bad at the rates but good by making several quotes on different sites that gives several prices to believe that it is at the head of the customers</v>
      </c>
    </row>
    <row r="560" ht="15.75" customHeight="1">
      <c r="A560" s="2">
        <v>4.0</v>
      </c>
      <c r="B560" s="2" t="s">
        <v>1651</v>
      </c>
      <c r="C560" s="2" t="s">
        <v>1652</v>
      </c>
      <c r="D560" s="2" t="s">
        <v>44</v>
      </c>
      <c r="E560" s="2" t="s">
        <v>27</v>
      </c>
      <c r="F560" s="2" t="s">
        <v>15</v>
      </c>
      <c r="G560" s="2" t="s">
        <v>1639</v>
      </c>
      <c r="H560" s="2" t="s">
        <v>46</v>
      </c>
      <c r="I560" s="2" t="str">
        <f>IFERROR(__xludf.DUMMYFUNCTION("GOOGLETRANSLATE(C560,""fr"",""en"")"),"The prices suit me but the deductibles are high. That's a shame . The guarantees in the event of damage is also not high enough. It all depends on the vehicle you want to ensure.")</f>
        <v>The prices suit me but the deductibles are high. That's a shame . The guarantees in the event of damage is also not high enough. It all depends on the vehicle you want to ensure.</v>
      </c>
    </row>
    <row r="561" ht="15.75" customHeight="1">
      <c r="A561" s="2">
        <v>3.0</v>
      </c>
      <c r="B561" s="2" t="s">
        <v>1653</v>
      </c>
      <c r="C561" s="2" t="s">
        <v>1654</v>
      </c>
      <c r="D561" s="2" t="s">
        <v>252</v>
      </c>
      <c r="E561" s="2" t="s">
        <v>14</v>
      </c>
      <c r="F561" s="2" t="s">
        <v>15</v>
      </c>
      <c r="G561" s="2" t="s">
        <v>1655</v>
      </c>
      <c r="H561" s="2" t="s">
        <v>62</v>
      </c>
      <c r="I561" s="2" t="str">
        <f>IFERROR(__xludf.DUMMYFUNCTION("GOOGLETRANSLATE(C561,""fr"",""en"")"),"I have just subscribed and so I have no perspective yet at the moment.
 I can give my opinion in a while, in any case the subscription and the choice of the offer are quick and easy.")</f>
        <v>I have just subscribed and so I have no perspective yet at the moment.
 I can give my opinion in a while, in any case the subscription and the choice of the offer are quick and easy.</v>
      </c>
    </row>
    <row r="562" ht="15.75" customHeight="1">
      <c r="A562" s="2">
        <v>1.0</v>
      </c>
      <c r="B562" s="2" t="s">
        <v>1656</v>
      </c>
      <c r="C562" s="2" t="s">
        <v>1657</v>
      </c>
      <c r="D562" s="2" t="s">
        <v>129</v>
      </c>
      <c r="E562" s="2" t="s">
        <v>27</v>
      </c>
      <c r="F562" s="2" t="s">
        <v>15</v>
      </c>
      <c r="G562" s="2" t="s">
        <v>782</v>
      </c>
      <c r="H562" s="2" t="s">
        <v>17</v>
      </c>
      <c r="I562" s="2" t="str">
        <f>IFERROR(__xludf.DUMMYFUNCTION("GOOGLETRANSLATE(C562,""fr"",""en"")"),"They offer you a quote at 1 interesting price and then read your contracts well because they increase the annual amount! Me personally I just filed a complaint to reimburse me what I paid!")</f>
        <v>They offer you a quote at 1 interesting price and then read your contracts well because they increase the annual amount! Me personally I just filed a complaint to reimburse me what I paid!</v>
      </c>
    </row>
    <row r="563" ht="15.75" customHeight="1">
      <c r="A563" s="2">
        <v>1.0</v>
      </c>
      <c r="B563" s="2" t="s">
        <v>1658</v>
      </c>
      <c r="C563" s="2" t="s">
        <v>1659</v>
      </c>
      <c r="D563" s="2" t="s">
        <v>84</v>
      </c>
      <c r="E563" s="2" t="s">
        <v>33</v>
      </c>
      <c r="F563" s="2" t="s">
        <v>15</v>
      </c>
      <c r="G563" s="2" t="s">
        <v>1660</v>
      </c>
      <c r="H563" s="2" t="s">
        <v>17</v>
      </c>
      <c r="I563" s="2" t="str">
        <f>IFERROR(__xludf.DUMMYFUNCTION("GOOGLETRANSLATE(C563,""fr"",""en"")"),"I am the victim of a disaster in my accommodation, noted twice by an AXA expert, a new appointment for a 3rd expertise, AXA does not offer any repair proposal, a sinister of more than 2 years.
  I am not responsible for this disaster.
  I absolutely do "&amp;"not recommend this insurance.
  ")</f>
        <v>I am the victim of a disaster in my accommodation, noted twice by an AXA expert, a new appointment for a 3rd expertise, AXA does not offer any repair proposal, a sinister of more than 2 years.
  I am not responsible for this disaster.
  I absolutely do not recommend this insurance.
  </v>
      </c>
    </row>
    <row r="564" ht="15.75" customHeight="1">
      <c r="A564" s="2">
        <v>5.0</v>
      </c>
      <c r="B564" s="2" t="s">
        <v>1661</v>
      </c>
      <c r="C564" s="2" t="s">
        <v>1662</v>
      </c>
      <c r="D564" s="2" t="s">
        <v>26</v>
      </c>
      <c r="E564" s="2" t="s">
        <v>27</v>
      </c>
      <c r="F564" s="2" t="s">
        <v>15</v>
      </c>
      <c r="G564" s="2" t="s">
        <v>619</v>
      </c>
      <c r="H564" s="2" t="s">
        <v>452</v>
      </c>
      <c r="I564" s="2" t="str">
        <f>IFERROR(__xludf.DUMMYFUNCTION("GOOGLETRANSLATE(C564,""fr"",""en"")"),"Very good insurance")</f>
        <v>Very good insurance</v>
      </c>
    </row>
    <row r="565" ht="15.75" customHeight="1">
      <c r="A565" s="2">
        <v>2.0</v>
      </c>
      <c r="B565" s="2" t="s">
        <v>1663</v>
      </c>
      <c r="C565" s="2" t="s">
        <v>1664</v>
      </c>
      <c r="D565" s="2" t="s">
        <v>141</v>
      </c>
      <c r="E565" s="2" t="s">
        <v>27</v>
      </c>
      <c r="F565" s="2" t="s">
        <v>15</v>
      </c>
      <c r="G565" s="2" t="s">
        <v>1665</v>
      </c>
      <c r="H565" s="2" t="s">
        <v>1299</v>
      </c>
      <c r="I565" s="2" t="str">
        <f>IFERROR(__xludf.DUMMYFUNCTION("GOOGLETRANSLATE(C565,""fr"",""en"")"),"Very very disappointed with the MAAF, I have been a customer for over 10 years for my 2 cars and my home. No accident reported. Unfortunately I was the victim of 2 minor flights (tires in 2014 and bears trunk in 2016) and I receive a call from my adviser "&amp;"who tells me that the headquarters do not want to renew my contract next year and that it does not Can not do anything !!!!!
Conclusion: From a Pepin falls on us, the maaf abandons us! Long live customer service !!!
 ")</f>
        <v>Very very disappointed with the MAAF, I have been a customer for over 10 years for my 2 cars and my home. No accident reported. Unfortunately I was the victim of 2 minor flights (tires in 2014 and bears trunk in 2016) and I receive a call from my adviser who tells me that the headquarters do not want to renew my contract next year and that it does not Can not do anything !!!!!
Conclusion: From a Pepin falls on us, the maaf abandons us! Long live customer service !!!
 </v>
      </c>
    </row>
    <row r="566" ht="15.75" customHeight="1">
      <c r="A566" s="2">
        <v>2.0</v>
      </c>
      <c r="B566" s="2" t="s">
        <v>1346</v>
      </c>
      <c r="C566" s="2" t="s">
        <v>1666</v>
      </c>
      <c r="D566" s="2" t="s">
        <v>32</v>
      </c>
      <c r="E566" s="2" t="s">
        <v>76</v>
      </c>
      <c r="F566" s="2" t="s">
        <v>15</v>
      </c>
      <c r="G566" s="2" t="s">
        <v>1667</v>
      </c>
      <c r="H566" s="2" t="s">
        <v>119</v>
      </c>
      <c r="I566" s="2" t="str">
        <f>IFERROR(__xludf.DUMMYFUNCTION("GOOGLETRANSLATE(C566,""fr"",""en"")"),"My husband died last March. I made an appointment at the Macif de Pontault agency to declare the death all the contracts were immediately put in my name. As soon as I added to the provident question was clearly told that I had not understood anything in t"&amp;"he contract. A few days later I have a person of the Macif of the platform about my schedule who certifies that I have the right to 3500 € Piur the funeral costs and a capital. This lady do do not list the documents to provide and the address where to sen"&amp;"d it. File mounted and sent to LRAR. No news after contacting the file is never Arruau Service concerned !!! O Tell me that I am sent an email to open the file. Mail never received !!! But who is we laughing at? Respect in all of this.")</f>
        <v>My husband died last March. I made an appointment at the Macif de Pontault agency to declare the death all the contracts were immediately put in my name. As soon as I added to the provident question was clearly told that I had not understood anything in the contract. A few days later I have a person of the Macif of the platform about my schedule who certifies that I have the right to 3500 € Piur the funeral costs and a capital. This lady do do not list the documents to provide and the address where to send it. File mounted and sent to LRAR. No news after contacting the file is never Arruau Service concerned !!! O Tell me that I am sent an email to open the file. Mail never received !!! But who is we laughing at? Respect in all of this.</v>
      </c>
    </row>
    <row r="567" ht="15.75" customHeight="1">
      <c r="A567" s="2">
        <v>2.0</v>
      </c>
      <c r="B567" s="2" t="s">
        <v>1668</v>
      </c>
      <c r="C567" s="2" t="s">
        <v>1669</v>
      </c>
      <c r="D567" s="2" t="s">
        <v>134</v>
      </c>
      <c r="E567" s="2" t="s">
        <v>33</v>
      </c>
      <c r="F567" s="2" t="s">
        <v>15</v>
      </c>
      <c r="G567" s="2" t="s">
        <v>16</v>
      </c>
      <c r="H567" s="2" t="s">
        <v>17</v>
      </c>
      <c r="I567" s="2" t="str">
        <f>IFERROR(__xludf.DUMMYFUNCTION("GOOGLETRANSLATE(C567,""fr"",""en"")"),"1 sinister damage of the waters and the GMF preferred to cloturé my contart
 MT of repairs to my charge 770.00 euros
I immediately closed my 2 car contracts and that of my children as well as their home contracts
")</f>
        <v>1 sinister damage of the waters and the GMF preferred to cloturé my contart
 MT of repairs to my charge 770.00 euros
I immediately closed my 2 car contracts and that of my children as well as their home contracts
</v>
      </c>
    </row>
    <row r="568" ht="15.75" customHeight="1">
      <c r="A568" s="2">
        <v>4.0</v>
      </c>
      <c r="B568" s="2" t="s">
        <v>1670</v>
      </c>
      <c r="C568" s="2" t="s">
        <v>1671</v>
      </c>
      <c r="D568" s="2" t="s">
        <v>55</v>
      </c>
      <c r="E568" s="2" t="s">
        <v>14</v>
      </c>
      <c r="F568" s="2" t="s">
        <v>15</v>
      </c>
      <c r="G568" s="2" t="s">
        <v>1672</v>
      </c>
      <c r="H568" s="2" t="s">
        <v>78</v>
      </c>
      <c r="I568" s="2" t="str">
        <f>IFERROR(__xludf.DUMMYFUNCTION("GOOGLETRANSLATE(C568,""fr"",""en"")"),"Quick refund, very clear explanations, correct support")</f>
        <v>Quick refund, very clear explanations, correct support</v>
      </c>
    </row>
    <row r="569" ht="15.75" customHeight="1">
      <c r="A569" s="2">
        <v>4.0</v>
      </c>
      <c r="B569" s="2" t="s">
        <v>1673</v>
      </c>
      <c r="C569" s="2" t="s">
        <v>1674</v>
      </c>
      <c r="D569" s="2" t="s">
        <v>44</v>
      </c>
      <c r="E569" s="2" t="s">
        <v>27</v>
      </c>
      <c r="F569" s="2" t="s">
        <v>15</v>
      </c>
      <c r="G569" s="2" t="s">
        <v>122</v>
      </c>
      <c r="H569" s="2" t="s">
        <v>57</v>
      </c>
      <c r="I569" s="2" t="str">
        <f>IFERROR(__xludf.DUMMYFUNCTION("GOOGLETRANSLATE(C569,""fr"",""en"")"),"Following my hanging, I was quickly supported on the phone with advice on the elements of the observation to be completed and not forget until the repair.")</f>
        <v>Following my hanging, I was quickly supported on the phone with advice on the elements of the observation to be completed and not forget until the repair.</v>
      </c>
    </row>
    <row r="570" ht="15.75" customHeight="1">
      <c r="A570" s="2">
        <v>1.0</v>
      </c>
      <c r="B570" s="2" t="s">
        <v>1675</v>
      </c>
      <c r="C570" s="2" t="s">
        <v>1676</v>
      </c>
      <c r="D570" s="2" t="s">
        <v>1677</v>
      </c>
      <c r="E570" s="2" t="s">
        <v>21</v>
      </c>
      <c r="F570" s="2" t="s">
        <v>15</v>
      </c>
      <c r="G570" s="2" t="s">
        <v>1096</v>
      </c>
      <c r="H570" s="2" t="s">
        <v>111</v>
      </c>
      <c r="I570" s="2" t="str">
        <f>IFERROR(__xludf.DUMMYFUNCTION("GOOGLETRANSLATE(C570,""fr"",""en"")"),"What to say .... Metlife does not respond to any emails whatsoever during containment.
They have to be returned to me for months !! No return to emails no return to telephone calls.
You need a steel mind to hold. Are there humans in this society? To res"&amp;"pond to our requests ...
")</f>
        <v>What to say .... Metlife does not respond to any emails whatsoever during containment.
They have to be returned to me for months !! No return to emails no return to telephone calls.
You need a steel mind to hold. Are there humans in this society? To respond to our requests ...
</v>
      </c>
    </row>
    <row r="571" ht="15.75" customHeight="1">
      <c r="A571" s="2">
        <v>1.0</v>
      </c>
      <c r="B571" s="2" t="s">
        <v>1678</v>
      </c>
      <c r="C571" s="2" t="s">
        <v>1679</v>
      </c>
      <c r="D571" s="2" t="s">
        <v>134</v>
      </c>
      <c r="E571" s="2" t="s">
        <v>33</v>
      </c>
      <c r="F571" s="2" t="s">
        <v>15</v>
      </c>
      <c r="G571" s="2" t="s">
        <v>1680</v>
      </c>
      <c r="H571" s="2" t="s">
        <v>41</v>
      </c>
      <c r="I571" s="2" t="str">
        <f>IFERROR(__xludf.DUMMYFUNCTION("GOOGLETRANSLATE(C571,""fr"",""en"")"),"I had a sinister cause by lightning my tv to grill I declared the incident to the near my insurance but this one does not want to reimburse me the TV because I can not prove that it is the lightning that Grill .
what to do ?
Apart from changing insuranc"&amp;"e as soon as possible !!!!")</f>
        <v>I had a sinister cause by lightning my tv to grill I declared the incident to the near my insurance but this one does not want to reimburse me the TV because I can not prove that it is the lightning that Grill .
what to do ?
Apart from changing insurance as soon as possible !!!!</v>
      </c>
    </row>
    <row r="572" ht="15.75" customHeight="1">
      <c r="A572" s="2">
        <v>5.0</v>
      </c>
      <c r="B572" s="2" t="s">
        <v>1681</v>
      </c>
      <c r="C572" s="2" t="s">
        <v>1682</v>
      </c>
      <c r="D572" s="2" t="s">
        <v>540</v>
      </c>
      <c r="E572" s="2" t="s">
        <v>76</v>
      </c>
      <c r="F572" s="2" t="s">
        <v>15</v>
      </c>
      <c r="G572" s="2" t="s">
        <v>1683</v>
      </c>
      <c r="H572" s="2" t="s">
        <v>922</v>
      </c>
      <c r="I572" s="2" t="str">
        <f>IFERROR(__xludf.DUMMYFUNCTION("GOOGLETRANSLATE(C572,""fr"",""en"")"),"A disabled survival annuity")</f>
        <v>A disabled survival annuity</v>
      </c>
    </row>
    <row r="573" ht="15.75" customHeight="1">
      <c r="A573" s="2">
        <v>1.0</v>
      </c>
      <c r="B573" s="2" t="s">
        <v>1684</v>
      </c>
      <c r="C573" s="2" t="s">
        <v>1685</v>
      </c>
      <c r="D573" s="2" t="s">
        <v>315</v>
      </c>
      <c r="E573" s="2" t="s">
        <v>21</v>
      </c>
      <c r="F573" s="2" t="s">
        <v>15</v>
      </c>
      <c r="G573" s="2" t="s">
        <v>1686</v>
      </c>
      <c r="H573" s="2" t="s">
        <v>432</v>
      </c>
      <c r="I573" s="2" t="str">
        <f>IFERROR(__xludf.DUMMYFUNCTION("GOOGLETRANSLATE(C573,""fr"",""en"")"),"Very slow to process a file, customer service very difficult to reach, response time (by mail only) in 7 days ...")</f>
        <v>Very slow to process a file, customer service very difficult to reach, response time (by mail only) in 7 days ...</v>
      </c>
    </row>
    <row r="574" ht="15.75" customHeight="1">
      <c r="A574" s="2">
        <v>3.0</v>
      </c>
      <c r="B574" s="2" t="s">
        <v>1687</v>
      </c>
      <c r="C574" s="2" t="s">
        <v>1688</v>
      </c>
      <c r="D574" s="2" t="s">
        <v>44</v>
      </c>
      <c r="E574" s="2" t="s">
        <v>27</v>
      </c>
      <c r="F574" s="2" t="s">
        <v>15</v>
      </c>
      <c r="G574" s="2" t="s">
        <v>1518</v>
      </c>
      <c r="H574" s="2" t="s">
        <v>29</v>
      </c>
      <c r="I574" s="2" t="str">
        <f>IFERROR(__xludf.DUMMYFUNCTION("GOOGLETRANSLATE(C574,""fr"",""en"")"),"I am satisfied with very responsive customer service. Auto contract and home never had the slightest concerns. Correct price. Super easy to use site.")</f>
        <v>I am satisfied with very responsive customer service. Auto contract and home never had the slightest concerns. Correct price. Super easy to use site.</v>
      </c>
    </row>
    <row r="575" ht="15.75" customHeight="1">
      <c r="A575" s="2">
        <v>5.0</v>
      </c>
      <c r="B575" s="2" t="s">
        <v>1689</v>
      </c>
      <c r="C575" s="2" t="s">
        <v>1690</v>
      </c>
      <c r="D575" s="2" t="s">
        <v>26</v>
      </c>
      <c r="E575" s="2" t="s">
        <v>27</v>
      </c>
      <c r="F575" s="2" t="s">
        <v>15</v>
      </c>
      <c r="G575" s="2" t="s">
        <v>586</v>
      </c>
      <c r="H575" s="2" t="s">
        <v>17</v>
      </c>
      <c r="I575" s="2" t="str">
        <f>IFERROR(__xludf.DUMMYFUNCTION("GOOGLETRANSLATE(C575,""fr"",""en"")"),"Very good value for money. Very fast to subscribe, you can send all the documents on the personal space, ask for papers, make changes of situation very easily.
I contacted customer service once and very well too.
It's rare but I recommend")</f>
        <v>Very good value for money. Very fast to subscribe, you can send all the documents on the personal space, ask for papers, make changes of situation very easily.
I contacted customer service once and very well too.
It's rare but I recommend</v>
      </c>
    </row>
    <row r="576" ht="15.75" customHeight="1">
      <c r="A576" s="2">
        <v>1.0</v>
      </c>
      <c r="B576" s="2" t="s">
        <v>1691</v>
      </c>
      <c r="C576" s="2" t="s">
        <v>1692</v>
      </c>
      <c r="D576" s="2" t="s">
        <v>55</v>
      </c>
      <c r="E576" s="2" t="s">
        <v>14</v>
      </c>
      <c r="F576" s="2" t="s">
        <v>15</v>
      </c>
      <c r="G576" s="2" t="s">
        <v>1693</v>
      </c>
      <c r="H576" s="2" t="s">
        <v>17</v>
      </c>
      <c r="I576" s="2" t="str">
        <f>IFERROR(__xludf.DUMMYFUNCTION("GOOGLETRANSLATE(C576,""fr"",""en"")"),"This company is not serious must have all more man can contact them by sure phone all the broker it and there just to make you a contract after goodbye")</f>
        <v>This company is not serious must have all more man can contact them by sure phone all the broker it and there just to make you a contract after goodbye</v>
      </c>
    </row>
    <row r="577" ht="15.75" customHeight="1">
      <c r="A577" s="2">
        <v>1.0</v>
      </c>
      <c r="B577" s="2" t="s">
        <v>1694</v>
      </c>
      <c r="C577" s="2" t="s">
        <v>1695</v>
      </c>
      <c r="D577" s="2" t="s">
        <v>32</v>
      </c>
      <c r="E577" s="2" t="s">
        <v>27</v>
      </c>
      <c r="F577" s="2" t="s">
        <v>15</v>
      </c>
      <c r="G577" s="2" t="s">
        <v>359</v>
      </c>
      <c r="H577" s="2" t="s">
        <v>343</v>
      </c>
      <c r="I577" s="2" t="str">
        <f>IFERROR(__xludf.DUMMYFUNCTION("GOOGLETRANSLATE(C577,""fr"",""en"")"),"The Macif left us with our 4 children in a hassle 450 km from our home for a 350 -euro deductible that we could not pay immediately and the garage did not want to give us the vehicle and despite our requests to the Macif To cancel the exceptional deductib"&amp;"le and reimburse them at the end of the month, we had refusals.
It's disgusting and after the Macif says he has values!
Damn! No difference with other insurance groups.
Before going to pay millions of euros to associations they would better deal with t"&amp;"heir member above all")</f>
        <v>The Macif left us with our 4 children in a hassle 450 km from our home for a 350 -euro deductible that we could not pay immediately and the garage did not want to give us the vehicle and despite our requests to the Macif To cancel the exceptional deductible and reimburse them at the end of the month, we had refusals.
It's disgusting and after the Macif says he has values!
Damn! No difference with other insurance groups.
Before going to pay millions of euros to associations they would better deal with their member above all</v>
      </c>
    </row>
    <row r="578" ht="15.75" customHeight="1">
      <c r="A578" s="2">
        <v>4.0</v>
      </c>
      <c r="B578" s="2" t="s">
        <v>1696</v>
      </c>
      <c r="C578" s="2" t="s">
        <v>1697</v>
      </c>
      <c r="D578" s="2" t="s">
        <v>44</v>
      </c>
      <c r="E578" s="2" t="s">
        <v>27</v>
      </c>
      <c r="F578" s="2" t="s">
        <v>15</v>
      </c>
      <c r="G578" s="2" t="s">
        <v>41</v>
      </c>
      <c r="H578" s="2" t="s">
        <v>41</v>
      </c>
      <c r="I578" s="2" t="str">
        <f>IFERROR(__xludf.DUMMYFUNCTION("GOOGLETRANSLATE(C578,""fr"",""en"")"),"I am satisfied with the rapid telephonic reception as well as the friendliness and professionalism of the staff. I will recommend direct insurance to my friends and loved ones")</f>
        <v>I am satisfied with the rapid telephonic reception as well as the friendliness and professionalism of the staff. I will recommend direct insurance to my friends and loved ones</v>
      </c>
    </row>
    <row r="579" ht="15.75" customHeight="1">
      <c r="A579" s="2">
        <v>1.0</v>
      </c>
      <c r="B579" s="2" t="s">
        <v>1698</v>
      </c>
      <c r="C579" s="2" t="s">
        <v>1699</v>
      </c>
      <c r="D579" s="2" t="s">
        <v>70</v>
      </c>
      <c r="E579" s="2" t="s">
        <v>14</v>
      </c>
      <c r="F579" s="2" t="s">
        <v>15</v>
      </c>
      <c r="G579" s="2" t="s">
        <v>1700</v>
      </c>
      <c r="H579" s="2" t="s">
        <v>452</v>
      </c>
      <c r="I579" s="2" t="str">
        <f>IFERROR(__xludf.DUMMYFUNCTION("GOOGLETRANSLATE(C579,""fr"",""en"")"),"Hello,
Having received my schedule in November 2017, when it was written in October 2017 but sent in ultra -economic tariff, I send my request for termination on the anniversary of the contract either in March 2018. December 23, 2017 A month after my t"&amp;"ermination request I receive a letter telling me that they will not take it because the termination during the year, they do not do and that I have to send them a new letter telling them that It is as of December 31 that I must indicate. So they have the "&amp;"art and the way to play the watch that is sure. And they must think that I am on vacation and that I would not have the opportunity to do it ... Well think again ... It was done the same day that is to say yesterday, even if obviously that was useless. By"&amp;" cons I will not forget and not forgive. Ah yes, last clarification, no need to send me the link on Facebook to make one think of other Internet users that you are responsive and close to your customers. This is really not the case! This is the first time"&amp;" I have to do like such people.
Extremely difficult or even impossible termination. Play the watch and are too proceeded.")</f>
        <v>Hello,
Having received my schedule in November 2017, when it was written in October 2017 but sent in ultra -economic tariff, I send my request for termination on the anniversary of the contract either in March 2018. December 23, 2017 A month after my termination request I receive a letter telling me that they will not take it because the termination during the year, they do not do and that I have to send them a new letter telling them that It is as of December 31 that I must indicate. So they have the art and the way to play the watch that is sure. And they must think that I am on vacation and that I would not have the opportunity to do it ... Well think again ... It was done the same day that is to say yesterday, even if obviously that was useless. By cons I will not forget and not forgive. Ah yes, last clarification, no need to send me the link on Facebook to make one think of other Internet users that you are responsive and close to your customers. This is really not the case! This is the first time I have to do like such people.
Extremely difficult or even impossible termination. Play the watch and are too proceeded.</v>
      </c>
    </row>
    <row r="580" ht="15.75" customHeight="1">
      <c r="A580" s="2">
        <v>3.0</v>
      </c>
      <c r="B580" s="2" t="s">
        <v>1701</v>
      </c>
      <c r="C580" s="2" t="s">
        <v>1702</v>
      </c>
      <c r="D580" s="2" t="s">
        <v>141</v>
      </c>
      <c r="E580" s="2" t="s">
        <v>27</v>
      </c>
      <c r="F580" s="2" t="s">
        <v>15</v>
      </c>
      <c r="G580" s="2" t="s">
        <v>1703</v>
      </c>
      <c r="H580" s="2" t="s">
        <v>268</v>
      </c>
      <c r="I580" s="2" t="str">
        <f>IFERROR(__xludf.DUMMYFUNCTION("GOOGLETRANSLATE(C580,""fr"",""en"")"),"Hello I lost my dad and mom and my brother a serious breath in a road accident in 08/03/2017. The maaf is hell I have nothing to collect they let my family die the injure in the morgue in Morocco it was necessary to wait more than 6 days to have a dialogu"&amp;"e then nothing is daddy's assurance of the macif who Save the injure in a coma it is shame")</f>
        <v>Hello I lost my dad and mom and my brother a serious breath in a road accident in 08/03/2017. The maaf is hell I have nothing to collect they let my family die the injure in the morgue in Morocco it was necessary to wait more than 6 days to have a dialogue then nothing is daddy's assurance of the macif who Save the injure in a coma it is shame</v>
      </c>
    </row>
    <row r="581" ht="15.75" customHeight="1">
      <c r="A581" s="2">
        <v>1.0</v>
      </c>
      <c r="B581" s="2" t="s">
        <v>1704</v>
      </c>
      <c r="C581" s="2" t="s">
        <v>1705</v>
      </c>
      <c r="D581" s="2" t="s">
        <v>165</v>
      </c>
      <c r="E581" s="2" t="s">
        <v>27</v>
      </c>
      <c r="F581" s="2" t="s">
        <v>15</v>
      </c>
      <c r="G581" s="2" t="s">
        <v>1706</v>
      </c>
      <c r="H581" s="2" t="s">
        <v>1560</v>
      </c>
      <c r="I581" s="2" t="str">
        <f>IFERROR(__xludf.DUMMYFUNCTION("GOOGLETRANSLATE(C581,""fr"",""en"")"),"In 3 years 3 claims, a pebble sweated the bare, a child who jumps on the hood and a natural disaster. In the 3, case I am not responsible. Result, Courier en ar they put an end to the contract. As long as everything is fine, stay with them, otherwise ...")</f>
        <v>In 3 years 3 claims, a pebble sweated the bare, a child who jumps on the hood and a natural disaster. In the 3, case I am not responsible. Result, Courier en ar they put an end to the contract. As long as everything is fine, stay with them, otherwise ...</v>
      </c>
    </row>
    <row r="582" ht="15.75" customHeight="1">
      <c r="A582" s="2">
        <v>1.0</v>
      </c>
      <c r="B582" s="2" t="s">
        <v>1707</v>
      </c>
      <c r="C582" s="2" t="s">
        <v>1708</v>
      </c>
      <c r="D582" s="2" t="s">
        <v>84</v>
      </c>
      <c r="E582" s="2" t="s">
        <v>460</v>
      </c>
      <c r="F582" s="2" t="s">
        <v>15</v>
      </c>
      <c r="G582" s="2" t="s">
        <v>1709</v>
      </c>
      <c r="H582" s="2" t="s">
        <v>210</v>
      </c>
      <c r="I582" s="2" t="str">
        <f>IFERROR(__xludf.DUMMYFUNCTION("GOOGLETRANSLATE(C582,""fr"",""en"")"),"Inheritance of 2 insurance contracts live and 1 death provision at AXA, all documents transmitted and validated by notary, 6 months after always no payment or delivery of the contracts subscribed by the deceased ... that they would have said to be lost !!"&amp;"! Scandalous, shabby, embezzlement!")</f>
        <v>Inheritance of 2 insurance contracts live and 1 death provision at AXA, all documents transmitted and validated by notary, 6 months after always no payment or delivery of the contracts subscribed by the deceased ... that they would have said to be lost !!! Scandalous, shabby, embezzlement!</v>
      </c>
    </row>
    <row r="583" ht="15.75" customHeight="1">
      <c r="A583" s="2">
        <v>3.0</v>
      </c>
      <c r="B583" s="2" t="s">
        <v>1710</v>
      </c>
      <c r="C583" s="2" t="s">
        <v>1711</v>
      </c>
      <c r="D583" s="2" t="s">
        <v>26</v>
      </c>
      <c r="E583" s="2" t="s">
        <v>27</v>
      </c>
      <c r="F583" s="2" t="s">
        <v>15</v>
      </c>
      <c r="G583" s="2" t="s">
        <v>1191</v>
      </c>
      <c r="H583" s="2" t="s">
        <v>111</v>
      </c>
      <c r="I583" s="2" t="str">
        <f>IFERROR(__xludf.DUMMYFUNCTION("GOOGLETRANSLATE(C583,""fr"",""en"")"),"Encourages to subscribe by promising you advantages that do not exist
Read well between the lines before making you have")</f>
        <v>Encourages to subscribe by promising you advantages that do not exist
Read well between the lines before making you have</v>
      </c>
    </row>
    <row r="584" ht="15.75" customHeight="1">
      <c r="A584" s="2">
        <v>1.0</v>
      </c>
      <c r="B584" s="2" t="s">
        <v>1712</v>
      </c>
      <c r="C584" s="2" t="s">
        <v>1713</v>
      </c>
      <c r="D584" s="2" t="s">
        <v>84</v>
      </c>
      <c r="E584" s="2" t="s">
        <v>33</v>
      </c>
      <c r="F584" s="2" t="s">
        <v>15</v>
      </c>
      <c r="G584" s="2" t="s">
        <v>1615</v>
      </c>
      <c r="H584" s="2" t="s">
        <v>184</v>
      </c>
      <c r="I584" s="2" t="str">
        <f>IFERROR(__xludf.DUMMYFUNCTION("GOOGLETRANSLATE(C584,""fr"",""en"")"),"Insurer to flee ,.
Already, wait a month to have the info concerning the guarantee of the claim following a gale on the gate, it has torn off the engine fixing.
The person at the reception claims a document specifying the damage in the town.
(Me as spe"&amp;"cific, I do not go to the town hall declared my claims) The town hall does not know how to provide documents.
They are aware that there was a gale this May 23, but hey ... I think everything is good not to guarantee damage.
After several relaunching to "&amp;"the AXA agency, this person remains on their position, so I think that we will end up, it is regrettable, after more 30 years of insurance in this brand with 4 contracts, I work today 'Hus the steps to leave this insurance.
I think that Axa is not confid"&amp;"ence assurance (at least some people in this agency) they are told to confirm my statements,
Many of my knowledge has left this agency and I for my part, I will invite my knowledge and family to stay away from this agency and society.
In the note, I put"&amp;" 1 because I can't put - 0")</f>
        <v>Insurer to flee ,.
Already, wait a month to have the info concerning the guarantee of the claim following a gale on the gate, it has torn off the engine fixing.
The person at the reception claims a document specifying the damage in the town.
(Me as specific, I do not go to the town hall declared my claims) The town hall does not know how to provide documents.
They are aware that there was a gale this May 23, but hey ... I think everything is good not to guarantee damage.
After several relaunching to the AXA agency, this person remains on their position, so I think that we will end up, it is regrettable, after more 30 years of insurance in this brand with 4 contracts, I work today 'Hus the steps to leave this insurance.
I think that Axa is not confidence assurance (at least some people in this agency) they are told to confirm my statements,
Many of my knowledge has left this agency and I for my part, I will invite my knowledge and family to stay away from this agency and society.
In the note, I put 1 because I can't put - 0</v>
      </c>
    </row>
    <row r="585" ht="15.75" customHeight="1">
      <c r="A585" s="2">
        <v>1.0</v>
      </c>
      <c r="B585" s="2" t="s">
        <v>1714</v>
      </c>
      <c r="C585" s="2" t="s">
        <v>1715</v>
      </c>
      <c r="D585" s="2" t="s">
        <v>55</v>
      </c>
      <c r="E585" s="2" t="s">
        <v>14</v>
      </c>
      <c r="F585" s="2" t="s">
        <v>15</v>
      </c>
      <c r="G585" s="2" t="s">
        <v>1716</v>
      </c>
      <c r="H585" s="2" t="s">
        <v>571</v>
      </c>
      <c r="I585" s="2" t="str">
        <f>IFERROR(__xludf.DUMMYFUNCTION("GOOGLETRANSLATE(C585,""fr"",""en"")"),"I am the tutor of Clement Ramadier adherent 21085767/21 dated 25/5/2018 Clement Ramadier You have transmitted an ar letter to retract and and after x Tel 0666460510 without response from you and to my big amazement M Clement Ramadier a Stepped without sig"&amp;"naling SEPA and I would like to know how you had banking information. On Monday I will go with the documents to the Maison de la Justice and prevent the prosecutor of the republic of your non -compliance with the requests")</f>
        <v>I am the tutor of Clement Ramadier adherent 21085767/21 dated 25/5/2018 Clement Ramadier You have transmitted an ar letter to retract and and after x Tel 0666460510 without response from you and to my big amazement M Clement Ramadier a Stepped without signaling SEPA and I would like to know how you had banking information. On Monday I will go with the documents to the Maison de la Justice and prevent the prosecutor of the republic of your non -compliance with the requests</v>
      </c>
    </row>
    <row r="586" ht="15.75" customHeight="1">
      <c r="A586" s="2">
        <v>1.0</v>
      </c>
      <c r="B586" s="2" t="s">
        <v>1717</v>
      </c>
      <c r="C586" s="2" t="s">
        <v>1718</v>
      </c>
      <c r="D586" s="2" t="s">
        <v>44</v>
      </c>
      <c r="E586" s="2" t="s">
        <v>27</v>
      </c>
      <c r="F586" s="2" t="s">
        <v>15</v>
      </c>
      <c r="G586" s="2" t="s">
        <v>1719</v>
      </c>
      <c r="H586" s="2" t="s">
        <v>23</v>
      </c>
      <c r="I586" s="2" t="str">
        <f>IFERROR(__xludf.DUMMYFUNCTION("GOOGLETRANSLATE(C586,""fr"",""en"")"),"Price almost double what I can have elsewhere. I await obtaining the new bonus to change insurer because you should not abuse either, it will save me almost 400 euros over the year and for better guarantees !!")</f>
        <v>Price almost double what I can have elsewhere. I await obtaining the new bonus to change insurer because you should not abuse either, it will save me almost 400 euros over the year and for better guarantees !!</v>
      </c>
    </row>
    <row r="587" ht="15.75" customHeight="1">
      <c r="A587" s="2">
        <v>4.0</v>
      </c>
      <c r="B587" s="2" t="s">
        <v>1720</v>
      </c>
      <c r="C587" s="2" t="s">
        <v>1721</v>
      </c>
      <c r="D587" s="2" t="s">
        <v>26</v>
      </c>
      <c r="E587" s="2" t="s">
        <v>27</v>
      </c>
      <c r="F587" s="2" t="s">
        <v>15</v>
      </c>
      <c r="G587" s="2" t="s">
        <v>106</v>
      </c>
      <c r="H587" s="2" t="s">
        <v>29</v>
      </c>
      <c r="I587" s="2" t="str">
        <f>IFERROR(__xludf.DUMMYFUNCTION("GOOGLETRANSLATE(C587,""fr"",""en"")"),"For the moment I hope not to be on it have promised me that I should give a certain sum if it increases without my being aware and without reason I would leave.")</f>
        <v>For the moment I hope not to be on it have promised me that I should give a certain sum if it increases without my being aware and without reason I would leave.</v>
      </c>
    </row>
    <row r="588" ht="15.75" customHeight="1">
      <c r="A588" s="2">
        <v>5.0</v>
      </c>
      <c r="B588" s="2" t="s">
        <v>1722</v>
      </c>
      <c r="C588" s="2" t="s">
        <v>1723</v>
      </c>
      <c r="D588" s="2" t="s">
        <v>26</v>
      </c>
      <c r="E588" s="2" t="s">
        <v>27</v>
      </c>
      <c r="F588" s="2" t="s">
        <v>15</v>
      </c>
      <c r="G588" s="2" t="s">
        <v>1500</v>
      </c>
      <c r="H588" s="2" t="s">
        <v>46</v>
      </c>
      <c r="I588" s="2" t="str">
        <f>IFERROR(__xludf.DUMMYFUNCTION("GOOGLETRANSLATE(C588,""fr"",""en"")"),"Top experience!
It's fast, really easy to choose and understand the different options and proposals.
I am satisfied with this effective service.
")</f>
        <v>Top experience!
It's fast, really easy to choose and understand the different options and proposals.
I am satisfied with this effective service.
</v>
      </c>
    </row>
    <row r="589" ht="15.75" customHeight="1">
      <c r="A589" s="2">
        <v>2.0</v>
      </c>
      <c r="B589" s="2" t="s">
        <v>1724</v>
      </c>
      <c r="C589" s="2" t="s">
        <v>1725</v>
      </c>
      <c r="D589" s="2" t="s">
        <v>125</v>
      </c>
      <c r="E589" s="2" t="s">
        <v>14</v>
      </c>
      <c r="F589" s="2" t="s">
        <v>15</v>
      </c>
      <c r="G589" s="2" t="s">
        <v>565</v>
      </c>
      <c r="H589" s="2" t="s">
        <v>177</v>
      </c>
      <c r="I589" s="2" t="str">
        <f>IFERROR(__xludf.DUMMYFUNCTION("GOOGLETRANSLATE(C589,""fr"",""en"")"),"Initial choice of minimum insurance (exclusively hospitalization); However, the increase in the renewal on January 1 of each year was particularly important in January 2019 and January 2020 (precisely 8.17 % and 9.72 %)!
I believe it useful to specify "&amp;"that I have never requested the insurer for the slightest reimbursement ...")</f>
        <v>Initial choice of minimum insurance (exclusively hospitalization); However, the increase in the renewal on January 1 of each year was particularly important in January 2019 and January 2020 (precisely 8.17 % and 9.72 %)!
I believe it useful to specify that I have never requested the insurer for the slightest reimbursement ...</v>
      </c>
    </row>
    <row r="590" ht="15.75" customHeight="1">
      <c r="A590" s="2">
        <v>1.0</v>
      </c>
      <c r="B590" s="2" t="s">
        <v>1726</v>
      </c>
      <c r="C590" s="2" t="s">
        <v>1727</v>
      </c>
      <c r="D590" s="2" t="s">
        <v>32</v>
      </c>
      <c r="E590" s="2" t="s">
        <v>33</v>
      </c>
      <c r="F590" s="2" t="s">
        <v>15</v>
      </c>
      <c r="G590" s="2" t="s">
        <v>1728</v>
      </c>
      <c r="H590" s="2" t="s">
        <v>339</v>
      </c>
      <c r="I590" s="2" t="str">
        <f>IFERROR(__xludf.DUMMYFUNCTION("GOOGLETRANSLATE(C590,""fr"",""en"")"),"I have been in the Macif for years today you are the shame of all insurance organizations on the market !!")</f>
        <v>I have been in the Macif for years today you are the shame of all insurance organizations on the market !!</v>
      </c>
    </row>
    <row r="591" ht="15.75" customHeight="1">
      <c r="A591" s="2">
        <v>4.0</v>
      </c>
      <c r="B591" s="2" t="s">
        <v>1729</v>
      </c>
      <c r="C591" s="2" t="s">
        <v>1730</v>
      </c>
      <c r="D591" s="2" t="s">
        <v>134</v>
      </c>
      <c r="E591" s="2" t="s">
        <v>27</v>
      </c>
      <c r="F591" s="2" t="s">
        <v>15</v>
      </c>
      <c r="G591" s="2" t="s">
        <v>737</v>
      </c>
      <c r="H591" s="2" t="s">
        <v>159</v>
      </c>
      <c r="I591" s="2" t="str">
        <f>IFERROR(__xludf.DUMMYFUNCTION("GOOGLETRANSLATE(C591,""fr"",""en"")"),"I am satisfied with the GMF. Above all, I want GMF advisers to call us at least once a year in order to know our expectations, and for good customers, negotiate prices.")</f>
        <v>I am satisfied with the GMF. Above all, I want GMF advisers to call us at least once a year in order to know our expectations, and for good customers, negotiate prices.</v>
      </c>
    </row>
    <row r="592" ht="15.75" customHeight="1">
      <c r="A592" s="2">
        <v>1.0</v>
      </c>
      <c r="B592" s="2" t="s">
        <v>1731</v>
      </c>
      <c r="C592" s="2" t="s">
        <v>1732</v>
      </c>
      <c r="D592" s="2" t="s">
        <v>459</v>
      </c>
      <c r="E592" s="2" t="s">
        <v>21</v>
      </c>
      <c r="F592" s="2" t="s">
        <v>15</v>
      </c>
      <c r="G592" s="2" t="s">
        <v>118</v>
      </c>
      <c r="H592" s="2" t="s">
        <v>119</v>
      </c>
      <c r="I592" s="2" t="str">
        <f>IFERROR(__xludf.DUMMYFUNCTION("GOOGLETRANSLATE(C592,""fr"",""en"")"),"Since November 2016 in disability 2, I unfortunately cannot work.
It has been 18 months since the insurance is aware of my situation ... Nothing happens ...
I contact them every day by phone or email.
Today I therefore find myself in a delicate financi"&amp;"al situation!
So I entrusted my file to a lawyer because otherwise I don't know how many months you have to wait .. it's really not serious")</f>
        <v>Since November 2016 in disability 2, I unfortunately cannot work.
It has been 18 months since the insurance is aware of my situation ... Nothing happens ...
I contact them every day by phone or email.
Today I therefore find myself in a delicate financial situation!
So I entrusted my file to a lawyer because otherwise I don't know how many months you have to wait .. it's really not serious</v>
      </c>
    </row>
    <row r="593" ht="15.75" customHeight="1">
      <c r="A593" s="2">
        <v>2.0</v>
      </c>
      <c r="B593" s="2" t="s">
        <v>1733</v>
      </c>
      <c r="C593" s="2" t="s">
        <v>1734</v>
      </c>
      <c r="D593" s="2" t="s">
        <v>44</v>
      </c>
      <c r="E593" s="2" t="s">
        <v>27</v>
      </c>
      <c r="F593" s="2" t="s">
        <v>15</v>
      </c>
      <c r="G593" s="2" t="s">
        <v>1146</v>
      </c>
      <c r="H593" s="2" t="s">
        <v>159</v>
      </c>
      <c r="I593" s="2" t="str">
        <f>IFERROR(__xludf.DUMMYFUNCTION("GOOGLETRANSLATE(C593,""fr"",""en"")"),"Impossible to have an advisor by phone or email for advice and orientation. We go around in circles on the site without getting anyone. It is unacceptable!")</f>
        <v>Impossible to have an advisor by phone or email for advice and orientation. We go around in circles on the site without getting anyone. It is unacceptable!</v>
      </c>
    </row>
    <row r="594" ht="15.75" customHeight="1">
      <c r="A594" s="2">
        <v>3.0</v>
      </c>
      <c r="B594" s="2" t="s">
        <v>1735</v>
      </c>
      <c r="C594" s="2" t="s">
        <v>1736</v>
      </c>
      <c r="D594" s="2" t="s">
        <v>44</v>
      </c>
      <c r="E594" s="2" t="s">
        <v>27</v>
      </c>
      <c r="F594" s="2" t="s">
        <v>15</v>
      </c>
      <c r="G594" s="2" t="s">
        <v>925</v>
      </c>
      <c r="H594" s="2" t="s">
        <v>46</v>
      </c>
      <c r="I594" s="2" t="str">
        <f>IFERROR(__xludf.DUMMYFUNCTION("GOOGLETRANSLATE(C594,""fr"",""en"")"),"Being a client for over 15 years, I hoped to have an additional reduction, but hey it doesn't seem to work like that at home.")</f>
        <v>Being a client for over 15 years, I hoped to have an additional reduction, but hey it doesn't seem to work like that at home.</v>
      </c>
    </row>
    <row r="595" ht="15.75" customHeight="1">
      <c r="A595" s="2">
        <v>2.0</v>
      </c>
      <c r="B595" s="2" t="s">
        <v>1737</v>
      </c>
      <c r="C595" s="2" t="s">
        <v>1738</v>
      </c>
      <c r="D595" s="2" t="s">
        <v>134</v>
      </c>
      <c r="E595" s="2" t="s">
        <v>33</v>
      </c>
      <c r="F595" s="2" t="s">
        <v>15</v>
      </c>
      <c r="G595" s="2" t="s">
        <v>1739</v>
      </c>
      <c r="H595" s="2" t="s">
        <v>90</v>
      </c>
      <c r="I595" s="2" t="str">
        <f>IFERROR(__xludf.DUMMYFUNCTION("GOOGLETRANSLATE(C595,""fr"",""en"")"),"Fed up, it is impossible to reach them for a declared disaster. 35 min pending on the phone and nobody answers me ... I ended up hanging up because I work !!!! We can supposedly reach them until Monday to Friday from 9 a.m. to 5 p.m. !!! And when we work "&amp;"how do we do ???? On the online space, no understandable info. For my disaster I only had the right to an SMS !!!! Which does not explain anything. Fortunately, my claim is not too serious otherwise I don't even imagine the consequences. Fed up I think I'"&amp;"m going to change my insurance.")</f>
        <v>Fed up, it is impossible to reach them for a declared disaster. 35 min pending on the phone and nobody answers me ... I ended up hanging up because I work !!!! We can supposedly reach them until Monday to Friday from 9 a.m. to 5 p.m. !!! And when we work how do we do ???? On the online space, no understandable info. For my disaster I only had the right to an SMS !!!! Which does not explain anything. Fortunately, my claim is not too serious otherwise I don't even imagine the consequences. Fed up I think I'm going to change my insurance.</v>
      </c>
    </row>
    <row r="596" ht="15.75" customHeight="1">
      <c r="A596" s="2">
        <v>4.0</v>
      </c>
      <c r="B596" s="2" t="s">
        <v>1740</v>
      </c>
      <c r="C596" s="2" t="s">
        <v>1741</v>
      </c>
      <c r="D596" s="2" t="s">
        <v>60</v>
      </c>
      <c r="E596" s="2" t="s">
        <v>14</v>
      </c>
      <c r="F596" s="2" t="s">
        <v>15</v>
      </c>
      <c r="G596" s="2" t="s">
        <v>697</v>
      </c>
      <c r="H596" s="2" t="s">
        <v>46</v>
      </c>
      <c r="I596" s="2" t="str">
        <f>IFERROR(__xludf.DUMMYFUNCTION("GOOGLETRANSLATE(C596,""fr"",""en"")"),"Call this day for an optical contract problem, I was very well received by Émeline and well informed, I received the necessary information")</f>
        <v>Call this day for an optical contract problem, I was very well received by Émeline and well informed, I received the necessary information</v>
      </c>
    </row>
    <row r="597" ht="15.75" customHeight="1">
      <c r="A597" s="2">
        <v>5.0</v>
      </c>
      <c r="B597" s="2" t="s">
        <v>1742</v>
      </c>
      <c r="C597" s="2" t="s">
        <v>1743</v>
      </c>
      <c r="D597" s="2" t="s">
        <v>26</v>
      </c>
      <c r="E597" s="2" t="s">
        <v>27</v>
      </c>
      <c r="F597" s="2" t="s">
        <v>15</v>
      </c>
      <c r="G597" s="2" t="s">
        <v>162</v>
      </c>
      <c r="H597" s="2" t="s">
        <v>29</v>
      </c>
      <c r="I597" s="2" t="str">
        <f>IFERROR(__xludf.DUMMYFUNCTION("GOOGLETRANSLATE(C597,""fr"",""en"")"),"I am satisfied with the product and attractive prices. The phone advisor perfectly informed me and guided me to what I needed. Great")</f>
        <v>I am satisfied with the product and attractive prices. The phone advisor perfectly informed me and guided me to what I needed. Great</v>
      </c>
    </row>
    <row r="598" ht="15.75" customHeight="1">
      <c r="A598" s="2">
        <v>2.0</v>
      </c>
      <c r="B598" s="2" t="s">
        <v>1744</v>
      </c>
      <c r="C598" s="2" t="s">
        <v>1745</v>
      </c>
      <c r="D598" s="2" t="s">
        <v>32</v>
      </c>
      <c r="E598" s="2" t="s">
        <v>27</v>
      </c>
      <c r="F598" s="2" t="s">
        <v>15</v>
      </c>
      <c r="G598" s="2" t="s">
        <v>1746</v>
      </c>
      <c r="H598" s="2" t="s">
        <v>177</v>
      </c>
      <c r="I598" s="2" t="str">
        <f>IFERROR(__xludf.DUMMYFUNCTION("GOOGLETRANSLATE(C598,""fr"",""en"")"),"Zero assurances really null really zero they are crazy about the customers on the contracts, insurance they put what suits them and the customers they do not always pay attention I got it because I do not, have my contract of, insurance then Beware of the"&amp;" Macif")</f>
        <v>Zero assurances really null really zero they are crazy about the customers on the contracts, insurance they put what suits them and the customers they do not always pay attention I got it because I do not, have my contract of, insurance then Beware of the Macif</v>
      </c>
    </row>
    <row r="599" ht="15.75" customHeight="1">
      <c r="A599" s="2">
        <v>1.0</v>
      </c>
      <c r="B599" s="2" t="s">
        <v>1747</v>
      </c>
      <c r="C599" s="2" t="s">
        <v>1748</v>
      </c>
      <c r="D599" s="2" t="s">
        <v>148</v>
      </c>
      <c r="E599" s="2" t="s">
        <v>33</v>
      </c>
      <c r="F599" s="2" t="s">
        <v>15</v>
      </c>
      <c r="G599" s="2" t="s">
        <v>1749</v>
      </c>
      <c r="H599" s="2" t="s">
        <v>554</v>
      </c>
      <c r="I599" s="2" t="str">
        <f>IFERROR(__xludf.DUMMYFUNCTION("GOOGLETRANSLATE(C599,""fr"",""en"")"),"MAIF customer for 20 years I have been disillusioned because at each request for care this is not part of the guarantees, .. despite the serenity subscription. I will inform me with other companies.")</f>
        <v>MAIF customer for 20 years I have been disillusioned because at each request for care this is not part of the guarantees, .. despite the serenity subscription. I will inform me with other companies.</v>
      </c>
    </row>
    <row r="600" ht="15.75" customHeight="1">
      <c r="A600" s="2">
        <v>5.0</v>
      </c>
      <c r="B600" s="2" t="s">
        <v>1750</v>
      </c>
      <c r="C600" s="2" t="s">
        <v>1751</v>
      </c>
      <c r="D600" s="2" t="s">
        <v>26</v>
      </c>
      <c r="E600" s="2" t="s">
        <v>27</v>
      </c>
      <c r="F600" s="2" t="s">
        <v>15</v>
      </c>
      <c r="G600" s="2" t="s">
        <v>56</v>
      </c>
      <c r="H600" s="2" t="s">
        <v>57</v>
      </c>
      <c r="I600" s="2" t="str">
        <f>IFERROR(__xludf.DUMMYFUNCTION("GOOGLETRANSLATE(C600,""fr"",""en"")"),"Competitive prices, sending and subscription is made by e-mail; So super practical. Very professional interlocutors. Very clear site.
The sending of the green card is very fast whether it is the provisional or the final (which is based on the speed at wh"&amp;"ich the necessary supporting documents are sent).
I advise.")</f>
        <v>Competitive prices, sending and subscription is made by e-mail; So super practical. Very professional interlocutors. Very clear site.
The sending of the green card is very fast whether it is the provisional or the final (which is based on the speed at which the necessary supporting documents are sent).
I advise.</v>
      </c>
    </row>
    <row r="601" ht="15.75" customHeight="1">
      <c r="A601" s="2">
        <v>1.0</v>
      </c>
      <c r="B601" s="2" t="s">
        <v>1752</v>
      </c>
      <c r="C601" s="2" t="s">
        <v>1753</v>
      </c>
      <c r="D601" s="2" t="s">
        <v>44</v>
      </c>
      <c r="E601" s="2" t="s">
        <v>27</v>
      </c>
      <c r="F601" s="2" t="s">
        <v>15</v>
      </c>
      <c r="G601" s="2" t="s">
        <v>1754</v>
      </c>
      <c r="H601" s="2" t="s">
        <v>320</v>
      </c>
      <c r="I601" s="2" t="str">
        <f>IFERROR(__xludf.DUMMYFUNCTION("GOOGLETRANSLATE(C601,""fr"",""en"")"),"Disastrous and unreachable insurer
Does not respect insured persons including in certain writings
Very serious especially if you face an important disaster
No direct exchange on the phone for my hardware and bodily claims
Do not hesitate to grasp the "&amp;"mediator in case of multiple problems")</f>
        <v>Disastrous and unreachable insurer
Does not respect insured persons including in certain writings
Very serious especially if you face an important disaster
No direct exchange on the phone for my hardware and bodily claims
Do not hesitate to grasp the mediator in case of multiple problems</v>
      </c>
    </row>
    <row r="602" ht="15.75" customHeight="1">
      <c r="A602" s="2">
        <v>5.0</v>
      </c>
      <c r="B602" s="2" t="s">
        <v>1755</v>
      </c>
      <c r="C602" s="2" t="s">
        <v>1756</v>
      </c>
      <c r="D602" s="2" t="s">
        <v>44</v>
      </c>
      <c r="E602" s="2" t="s">
        <v>27</v>
      </c>
      <c r="F602" s="2" t="s">
        <v>15</v>
      </c>
      <c r="G602" s="2" t="s">
        <v>1450</v>
      </c>
      <c r="H602" s="2" t="s">
        <v>29</v>
      </c>
      <c r="I602" s="2" t="str">
        <f>IFERROR(__xludf.DUMMYFUNCTION("GOOGLETRANSLATE(C602,""fr"",""en"")"),"advantageous price and service seems serious, the site is clear hoping not to be disappointed I recommend. the little extra the termination of your old contract")</f>
        <v>advantageous price and service seems serious, the site is clear hoping not to be disappointed I recommend. the little extra the termination of your old contract</v>
      </c>
    </row>
    <row r="603" ht="15.75" customHeight="1">
      <c r="A603" s="2">
        <v>4.0</v>
      </c>
      <c r="B603" s="2" t="s">
        <v>1757</v>
      </c>
      <c r="C603" s="2" t="s">
        <v>1758</v>
      </c>
      <c r="D603" s="2" t="s">
        <v>38</v>
      </c>
      <c r="E603" s="2" t="s">
        <v>39</v>
      </c>
      <c r="F603" s="2" t="s">
        <v>15</v>
      </c>
      <c r="G603" s="2" t="s">
        <v>287</v>
      </c>
      <c r="H603" s="2" t="s">
        <v>23</v>
      </c>
      <c r="I603" s="2" t="str">
        <f>IFERROR(__xludf.DUMMYFUNCTION("GOOGLETRANSLATE(C603,""fr"",""en"")"),"I am satisfied with the price and the simplicity of the CITE.
By cons an operator contacted me by phone, for the same conditions as on the site, he offered me a more expensive price ???")</f>
        <v>I am satisfied with the price and the simplicity of the CITE.
By cons an operator contacted me by phone, for the same conditions as on the site, he offered me a more expensive price ???</v>
      </c>
    </row>
    <row r="604" ht="15.75" customHeight="1">
      <c r="A604" s="2">
        <v>1.0</v>
      </c>
      <c r="B604" s="2" t="s">
        <v>1759</v>
      </c>
      <c r="C604" s="2" t="s">
        <v>1760</v>
      </c>
      <c r="D604" s="2" t="s">
        <v>44</v>
      </c>
      <c r="E604" s="2" t="s">
        <v>33</v>
      </c>
      <c r="F604" s="2" t="s">
        <v>15</v>
      </c>
      <c r="G604" s="2" t="s">
        <v>1761</v>
      </c>
      <c r="H604" s="2" t="s">
        <v>184</v>
      </c>
      <c r="I604" s="2" t="str">
        <f>IFERROR(__xludf.DUMMYFUNCTION("GOOGLETRANSLATE(C604,""fr"",""en"")"),"They did not want to terminate my contract when I had left the accommodation.
I had to pay 3 months of contributions for nothing.
Do not go there.")</f>
        <v>They did not want to terminate my contract when I had left the accommodation.
I had to pay 3 months of contributions for nothing.
Do not go there.</v>
      </c>
    </row>
    <row r="605" ht="15.75" customHeight="1">
      <c r="A605" s="2">
        <v>1.0</v>
      </c>
      <c r="B605" s="2" t="s">
        <v>1762</v>
      </c>
      <c r="C605" s="2" t="s">
        <v>1763</v>
      </c>
      <c r="D605" s="2" t="s">
        <v>55</v>
      </c>
      <c r="E605" s="2" t="s">
        <v>14</v>
      </c>
      <c r="F605" s="2" t="s">
        <v>15</v>
      </c>
      <c r="G605" s="2" t="s">
        <v>85</v>
      </c>
      <c r="H605" s="2" t="s">
        <v>86</v>
      </c>
      <c r="I605" s="2" t="str">
        <f>IFERROR(__xludf.DUMMYFUNCTION("GOOGLETRANSLATE(C605,""fr"",""en"")"),"Since January 1 I have made my adhesion, we have not made the social security transmission and my withdrawal my first monthly payment, I thank you for answering me quickly")</f>
        <v>Since January 1 I have made my adhesion, we have not made the social security transmission and my withdrawal my first monthly payment, I thank you for answering me quickly</v>
      </c>
    </row>
    <row r="606" ht="15.75" customHeight="1">
      <c r="A606" s="2">
        <v>3.0</v>
      </c>
      <c r="B606" s="2" t="s">
        <v>1764</v>
      </c>
      <c r="C606" s="2" t="s">
        <v>1765</v>
      </c>
      <c r="D606" s="2" t="s">
        <v>70</v>
      </c>
      <c r="E606" s="2" t="s">
        <v>14</v>
      </c>
      <c r="F606" s="2" t="s">
        <v>15</v>
      </c>
      <c r="G606" s="2" t="s">
        <v>1766</v>
      </c>
      <c r="H606" s="2" t="s">
        <v>422</v>
      </c>
      <c r="I606" s="2" t="str">
        <f>IFERROR(__xludf.DUMMYFUNCTION("GOOGLETRANSLATE(C606,""fr"",""en"")"),"Insured, beware of reimbursements of fee overruns.
Since the implementation of the case (now OPTAM option), reimbursements of fees exceeding of doctors who are not-adherent to this system are 20 % lower than those identical by adherent doctors.
Mutuelle"&amp;" Harmonie seems to have bugged on this issue, and reimburses all overruns at the lower rate!
Hence the obligation, for the insured, not only to verify their accounts (IU are obscure to say the least) but moreover to file a complaint .... which will take "&amp;"up this weeks to be treated, without obviously no excuse from the insurer")</f>
        <v>Insured, beware of reimbursements of fee overruns.
Since the implementation of the case (now OPTAM option), reimbursements of fees exceeding of doctors who are not-adherent to this system are 20 % lower than those identical by adherent doctors.
Mutuelle Harmonie seems to have bugged on this issue, and reimburses all overruns at the lower rate!
Hence the obligation, for the insured, not only to verify their accounts (IU are obscure to say the least) but moreover to file a complaint .... which will take up this weeks to be treated, without obviously no excuse from the insurer</v>
      </c>
    </row>
    <row r="607" ht="15.75" customHeight="1">
      <c r="A607" s="2">
        <v>1.0</v>
      </c>
      <c r="B607" s="2" t="s">
        <v>1767</v>
      </c>
      <c r="C607" s="2" t="s">
        <v>1768</v>
      </c>
      <c r="D607" s="2" t="s">
        <v>55</v>
      </c>
      <c r="E607" s="2" t="s">
        <v>14</v>
      </c>
      <c r="F607" s="2" t="s">
        <v>15</v>
      </c>
      <c r="G607" s="2" t="s">
        <v>1769</v>
      </c>
      <c r="H607" s="2" t="s">
        <v>210</v>
      </c>
      <c r="I607" s="2" t="str">
        <f>IFERROR(__xludf.DUMMYFUNCTION("GOOGLETRANSLATE(C607,""fr"",""en"")"),"Hello, I was approached last year by phone by Néoliane who sold me a death pension contract asking me to validate my registration by SMS. After having reflected and within the legal period, I sent a request for termination, termination which was accepted "&amp;"... well not completely because for them because their contract included 2 lines and that according to them it was 2 different contracts and that only one of the two (by chance the cheapest) was terminated. All my letters including recommended to this org"&amp;"anization have remained a dead letter. When we try to join them we are sent from the Fauvel cabinet to Paris in Muta Management in Toulouse or even in Neoliane Sante in Nice without of course no interlocutor ""which can answer my questions"". So I opposed"&amp;" their sample. They continue to harass me and even have just let go of a collection company in my Basques.
These practices are more than unfair and that they abused my ignorance. The most heavy is, I think, this manifest disdain that they oppose my lette"&amp;"rs.
In short beware of Néoliane, they are putting aggressive and tendentious commercial methods")</f>
        <v>Hello, I was approached last year by phone by Néoliane who sold me a death pension contract asking me to validate my registration by SMS. After having reflected and within the legal period, I sent a request for termination, termination which was accepted ... well not completely because for them because their contract included 2 lines and that according to them it was 2 different contracts and that only one of the two (by chance the cheapest) was terminated. All my letters including recommended to this organization have remained a dead letter. When we try to join them we are sent from the Fauvel cabinet to Paris in Muta Management in Toulouse or even in Neoliane Sante in Nice without of course no interlocutor "which can answer my questions". So I opposed their sample. They continue to harass me and even have just let go of a collection company in my Basques.
These practices are more than unfair and that they abused my ignorance. The most heavy is, I think, this manifest disdain that they oppose my letters.
In short beware of Néoliane, they are putting aggressive and tendentious commercial methods</v>
      </c>
    </row>
    <row r="608" ht="15.75" customHeight="1">
      <c r="A608" s="2">
        <v>1.0</v>
      </c>
      <c r="B608" s="2" t="s">
        <v>1770</v>
      </c>
      <c r="C608" s="2" t="s">
        <v>1771</v>
      </c>
      <c r="D608" s="2" t="s">
        <v>1472</v>
      </c>
      <c r="E608" s="2" t="s">
        <v>33</v>
      </c>
      <c r="F608" s="2" t="s">
        <v>15</v>
      </c>
      <c r="G608" s="2" t="s">
        <v>464</v>
      </c>
      <c r="H608" s="2" t="s">
        <v>465</v>
      </c>
      <c r="I608" s="2" t="str">
        <f>IFERROR(__xludf.DUMMYFUNCTION("GOOGLETRANSLATE(C608,""fr"",""en"")"),"We built, we had the structural work done by craftsmen, during the loan we subscribed to sensible insurance ""protect"" especially against theft. (On the advice of the advisor of course). We trusted him. The house is closed (walls, roofs, windows) unfortu"&amp;"nately I arrive one morning and more windows or front door. How awful!!!! But fortunately we took the insurance !!! Well no big disappointment. The flight of real estate is not part of the contract. € 13,500 flight, € 2,880 refunded !!!! ASHAMED. I have a"&amp;" home contract (furniture, jewelry ....) for a house under construction !! Isn't there a problem ???? The processing of the file was long! Always a different and inconsistent response when you find out about the progress. Make the duty of intelligence and"&amp;" inappropriate contract.")</f>
        <v>We built, we had the structural work done by craftsmen, during the loan we subscribed to sensible insurance "protect" especially against theft. (On the advice of the advisor of course). We trusted him. The house is closed (walls, roofs, windows) unfortunately I arrive one morning and more windows or front door. How awful!!!! But fortunately we took the insurance !!! Well no big disappointment. The flight of real estate is not part of the contract. € 13,500 flight, € 2,880 refunded !!!! ASHAMED. I have a home contract (furniture, jewelry ....) for a house under construction !! Isn't there a problem ???? The processing of the file was long! Always a different and inconsistent response when you find out about the progress. Make the duty of intelligence and inappropriate contract.</v>
      </c>
    </row>
    <row r="609" ht="15.75" customHeight="1">
      <c r="A609" s="2">
        <v>2.0</v>
      </c>
      <c r="B609" s="2" t="s">
        <v>1772</v>
      </c>
      <c r="C609" s="2" t="s">
        <v>1773</v>
      </c>
      <c r="D609" s="2" t="s">
        <v>26</v>
      </c>
      <c r="E609" s="2" t="s">
        <v>27</v>
      </c>
      <c r="F609" s="2" t="s">
        <v>15</v>
      </c>
      <c r="G609" s="2" t="s">
        <v>1140</v>
      </c>
      <c r="H609" s="2" t="s">
        <v>46</v>
      </c>
      <c r="I609" s="2" t="str">
        <f>IFERROR(__xludf.DUMMYFUNCTION("GOOGLETRANSLATE(C609,""fr"",""en"")"),"I was very happy by the Olivier Insurance for several years but today I came across someone really very unpleasant to the point of removing all vehicles.
Very disappointed.")</f>
        <v>I was very happy by the Olivier Insurance for several years but today I came across someone really very unpleasant to the point of removing all vehicles.
Very disappointed.</v>
      </c>
    </row>
    <row r="610" ht="15.75" customHeight="1">
      <c r="A610" s="2">
        <v>1.0</v>
      </c>
      <c r="B610" s="2" t="s">
        <v>1774</v>
      </c>
      <c r="C610" s="2" t="s">
        <v>1775</v>
      </c>
      <c r="D610" s="2" t="s">
        <v>70</v>
      </c>
      <c r="E610" s="2" t="s">
        <v>14</v>
      </c>
      <c r="F610" s="2" t="s">
        <v>15</v>
      </c>
      <c r="G610" s="2" t="s">
        <v>1776</v>
      </c>
      <c r="H610" s="2" t="s">
        <v>177</v>
      </c>
      <c r="I610" s="2" t="str">
        <f>IFERROR(__xludf.DUMMYFUNCTION("GOOGLETRANSLATE(C610,""fr"",""en"")"),"We signed a contract with harmony a few months ago and we are looking forward to being able to terminate it. Harmonie did not comply with the terms of the contract on the levy and finally took several months in one go! No reimbursements for one of the chi"&amp;"ldren that the mutual insurance company did not affiliate despite a presence on the contract and on the CPAM certificate. Request on CPAM certificates several times, from the RIB while our file is complete and was validated by the advisor during the subsc"&amp;"ription. Sending a recommended with formal notice to pay while we had opted for direct debit (this is among other things where our management fees pass). This mutual is a lot of concerns and a customer relationship worthy of the Soviet bureaucracy. In sho"&amp;"rt, let's flee and nothing will make us change our minds.")</f>
        <v>We signed a contract with harmony a few months ago and we are looking forward to being able to terminate it. Harmonie did not comply with the terms of the contract on the levy and finally took several months in one go! No reimbursements for one of the children that the mutual insurance company did not affiliate despite a presence on the contract and on the CPAM certificate. Request on CPAM certificates several times, from the RIB while our file is complete and was validated by the advisor during the subscription. Sending a recommended with formal notice to pay while we had opted for direct debit (this is among other things where our management fees pass). This mutual is a lot of concerns and a customer relationship worthy of the Soviet bureaucracy. In short, let's flee and nothing will make us change our minds.</v>
      </c>
    </row>
    <row r="611" ht="15.75" customHeight="1">
      <c r="A611" s="2">
        <v>3.0</v>
      </c>
      <c r="B611" s="2" t="s">
        <v>1777</v>
      </c>
      <c r="C611" s="2" t="s">
        <v>1778</v>
      </c>
      <c r="D611" s="2" t="s">
        <v>38</v>
      </c>
      <c r="E611" s="2" t="s">
        <v>39</v>
      </c>
      <c r="F611" s="2" t="s">
        <v>15</v>
      </c>
      <c r="G611" s="2" t="s">
        <v>705</v>
      </c>
      <c r="H611" s="2" t="s">
        <v>46</v>
      </c>
      <c r="I611" s="2" t="str">
        <f>IFERROR(__xludf.DUMMYFUNCTION("GOOGLETRANSLATE(C611,""fr"",""en"")"),"I am satisfied with the service, it is affordable and very quickly accessible. I recommend the April service for the quality and responsiveness of the teams")</f>
        <v>I am satisfied with the service, it is affordable and very quickly accessible. I recommend the April service for the quality and responsiveness of the teams</v>
      </c>
    </row>
    <row r="612" ht="15.75" customHeight="1">
      <c r="A612" s="2">
        <v>3.0</v>
      </c>
      <c r="B612" s="2" t="s">
        <v>1779</v>
      </c>
      <c r="C612" s="2" t="s">
        <v>1780</v>
      </c>
      <c r="D612" s="2" t="s">
        <v>44</v>
      </c>
      <c r="E612" s="2" t="s">
        <v>27</v>
      </c>
      <c r="F612" s="2" t="s">
        <v>15</v>
      </c>
      <c r="G612" s="2" t="s">
        <v>697</v>
      </c>
      <c r="H612" s="2" t="s">
        <v>46</v>
      </c>
      <c r="I612" s="2" t="str">
        <f>IFERROR(__xludf.DUMMYFUNCTION("GOOGLETRANSLATE(C612,""fr"",""en"")"),"I am satisfied with the offer. The price is suitable. The ergonomics of the site is not bad. Registration is easy. The conditions and guarantees are clearly explained.")</f>
        <v>I am satisfied with the offer. The price is suitable. The ergonomics of the site is not bad. Registration is easy. The conditions and guarantees are clearly explained.</v>
      </c>
    </row>
    <row r="613" ht="15.75" customHeight="1">
      <c r="A613" s="2">
        <v>3.0</v>
      </c>
      <c r="B613" s="2" t="s">
        <v>1781</v>
      </c>
      <c r="C613" s="2" t="s">
        <v>1782</v>
      </c>
      <c r="D613" s="2" t="s">
        <v>26</v>
      </c>
      <c r="E613" s="2" t="s">
        <v>27</v>
      </c>
      <c r="F613" s="2" t="s">
        <v>15</v>
      </c>
      <c r="G613" s="2" t="s">
        <v>1783</v>
      </c>
      <c r="H613" s="2" t="s">
        <v>519</v>
      </c>
      <c r="I613" s="2" t="str">
        <f>IFERROR(__xludf.DUMMYFUNCTION("GOOGLETRANSLATE(C613,""fr"",""en"")"),"No regular advisor. Suddenly during a disaster, I had an advisor who told me that my case was covered (broken ice on a vehicle being sold) which made I paid the repairs to a non -partner repairer (cheaper than approved partners and repaying the deductible"&amp;"). After receiving my file I am told that ultimately this disaster could not be taken care of. Suddenly, double pain: not only did I pay the repairs myself but in addition I have a claim declared in my history when it was not taken care of (and that it wa"&amp;"s during A test to sell it)! Strangely no trace of what the 1st advisor told me in my loss file. So it's my fault! If I had been told from the start that the disaster was not taken care of, I will have seen with the buyer rather than declaring a claim.
I"&amp;" understand better by reading the opinions of other Internet users. Clearly I will terminate before leaving for a 2nd year.")</f>
        <v>No regular advisor. Suddenly during a disaster, I had an advisor who told me that my case was covered (broken ice on a vehicle being sold) which made I paid the repairs to a non -partner repairer (cheaper than approved partners and repaying the deductible). After receiving my file I am told that ultimately this disaster could not be taken care of. Suddenly, double pain: not only did I pay the repairs myself but in addition I have a claim declared in my history when it was not taken care of (and that it was during A test to sell it)! Strangely no trace of what the 1st advisor told me in my loss file. So it's my fault! If I had been told from the start that the disaster was not taken care of, I will have seen with the buyer rather than declaring a claim.
I understand better by reading the opinions of other Internet users. Clearly I will terminate before leaving for a 2nd year.</v>
      </c>
    </row>
    <row r="614" ht="15.75" customHeight="1">
      <c r="A614" s="2">
        <v>1.0</v>
      </c>
      <c r="B614" s="2" t="s">
        <v>1784</v>
      </c>
      <c r="C614" s="2" t="s">
        <v>1785</v>
      </c>
      <c r="D614" s="2" t="s">
        <v>1275</v>
      </c>
      <c r="E614" s="2" t="s">
        <v>460</v>
      </c>
      <c r="F614" s="2" t="s">
        <v>15</v>
      </c>
      <c r="G614" s="2" t="s">
        <v>1786</v>
      </c>
      <c r="H614" s="2" t="s">
        <v>102</v>
      </c>
      <c r="I614" s="2" t="str">
        <f>IFERROR(__xludf.DUMMYFUNCTION("GOOGLETRANSLATE(C614,""fr"",""en"")"),"An incompetence, an abuse in the request of documents, a lack of respect for their customers.
For more than 3 months I have been trying to buy my life insurance.
At first I was faced with the incompetence of employees who certified me that no internal d"&amp;"ocument was necessary. Just a buy -back letter, identity pcs, home confirmation, .....
Having no news after 3 weeks, I contacted the management service which asked me for an additional sheet.
Then two weeks later still nothing, so I recalled customer se"&amp;"rvice which informed me that the 5000 document was necessary in my case. (Foreign residents). This document was very complicated to obtain in my situation.
So I contacted the tax center in France which certified me that this document was not necessary, a"&amp;"nd told me about the abusive insurance/banks practices. (Know that I closed 2 other life insurance MACSF, Valvi de la Bred, and that none asked me for this document).
Insurance not wanting to give up on it, I had to take a lawyer to get it the famous doc"&amp;"ument 5000 which did not take up any other information already known by their service.
Dated 2/04/2017 all of the documents were in their possession, 2 weeks later having still not having anything, I recalled the insurance which informed me to wait for t"&amp;"he downstream of my manager contacted by email 1 Week. It turns out that we were on 04/20/2017 or 4 days before the deadlines. I therefore call the emergency manager who certifies that I have not received anything and do the necessary during the day. He t"&amp;"herefore confirms me during the day that his agreement was well given, and that he recalled the urgent nature of my request and send the funds during the day. He tells me that Swisslife had sent the document to a bad address and that he was not likely to "&amp;"receive it.
Today 05/13/2017 or 6 weeks after my full repurchase request, 4 weeks since the manager's approval, 3 months from my initial request, and despite several reminders, I still do not have the money on my account. However, I informed the insuranc"&amp;"e of several resumption of the urgent and butoir character (04/24/2017) of my request and still nothing. It's just unacceptable.
Beware of the assurance that you choose, because in my lifetime I cannot recover my funds, so I dare not imagine after my dea"&amp;"th, what should be the journey of my children to obtain their from.
Given the incompetence of the advisers, and the abuse of documents they ask for is not won.
I do not recommend everyone to take a contract in this insurance even if the placement seems "&amp;"attractive.")</f>
        <v>An incompetence, an abuse in the request of documents, a lack of respect for their customers.
For more than 3 months I have been trying to buy my life insurance.
At first I was faced with the incompetence of employees who certified me that no internal document was necessary. Just a buy -back letter, identity pcs, home confirmation, .....
Having no news after 3 weeks, I contacted the management service which asked me for an additional sheet.
Then two weeks later still nothing, so I recalled customer service which informed me that the 5000 document was necessary in my case. (Foreign residents). This document was very complicated to obtain in my situation.
So I contacted the tax center in France which certified me that this document was not necessary, and told me about the abusive insurance/banks practices. (Know that I closed 2 other life insurance MACSF, Valvi de la Bred, and that none asked me for this document).
Insurance not wanting to give up on it, I had to take a lawyer to get it the famous document 5000 which did not take up any other information already known by their service.
Dated 2/04/2017 all of the documents were in their possession, 2 weeks later having still not having anything, I recalled the insurance which informed me to wait for the downstream of my manager contacted by email 1 Week. It turns out that we were on 04/20/2017 or 4 days before the deadlines. I therefore call the emergency manager who certifies that I have not received anything and do the necessary during the day. He therefore confirms me during the day that his agreement was well given, and that he recalled the urgent nature of my request and send the funds during the day. He tells me that Swisslife had sent the document to a bad address and that he was not likely to receive it.
Today 05/13/2017 or 6 weeks after my full repurchase request, 4 weeks since the manager's approval, 3 months from my initial request, and despite several reminders, I still do not have the money on my account. However, I informed the insurance of several resumption of the urgent and butoir character (04/24/2017) of my request and still nothing. It's just unacceptable.
Beware of the assurance that you choose, because in my lifetime I cannot recover my funds, so I dare not imagine after my death, what should be the journey of my children to obtain their from.
Given the incompetence of the advisers, and the abuse of documents they ask for is not won.
I do not recommend everyone to take a contract in this insurance even if the placement seems attractive.</v>
      </c>
    </row>
    <row r="615" ht="15.75" customHeight="1">
      <c r="A615" s="2">
        <v>3.0</v>
      </c>
      <c r="B615" s="2" t="s">
        <v>1787</v>
      </c>
      <c r="C615" s="2" t="s">
        <v>1788</v>
      </c>
      <c r="D615" s="2" t="s">
        <v>55</v>
      </c>
      <c r="E615" s="2" t="s">
        <v>14</v>
      </c>
      <c r="F615" s="2" t="s">
        <v>15</v>
      </c>
      <c r="G615" s="2" t="s">
        <v>571</v>
      </c>
      <c r="H615" s="2" t="s">
        <v>571</v>
      </c>
      <c r="I615" s="2" t="str">
        <f>IFERROR(__xludf.DUMMYFUNCTION("GOOGLETRANSLATE(C615,""fr"",""en"")"),"I have been registered since 2013. Very confident of my mutual.")</f>
        <v>I have been registered since 2013. Very confident of my mutual.</v>
      </c>
    </row>
    <row r="616" ht="15.75" customHeight="1">
      <c r="A616" s="2">
        <v>4.0</v>
      </c>
      <c r="B616" s="2" t="s">
        <v>1789</v>
      </c>
      <c r="C616" s="2" t="s">
        <v>1790</v>
      </c>
      <c r="D616" s="2" t="s">
        <v>44</v>
      </c>
      <c r="E616" s="2" t="s">
        <v>27</v>
      </c>
      <c r="F616" s="2" t="s">
        <v>15</v>
      </c>
      <c r="G616" s="2" t="s">
        <v>1719</v>
      </c>
      <c r="H616" s="2" t="s">
        <v>23</v>
      </c>
      <c r="I616" s="2" t="str">
        <f>IFERROR(__xludf.DUMMYFUNCTION("GOOGLETRANSLATE(C616,""fr"",""en"")"),"Nothing to report, welcome and kindness of the speakers, a little disappointed by the non -management of the damage done on the gate, and no replacement vehicle")</f>
        <v>Nothing to report, welcome and kindness of the speakers, a little disappointed by the non -management of the damage done on the gate, and no replacement vehicle</v>
      </c>
    </row>
    <row r="617" ht="15.75" customHeight="1">
      <c r="A617" s="2">
        <v>2.0</v>
      </c>
      <c r="B617" s="2" t="s">
        <v>1791</v>
      </c>
      <c r="C617" s="2" t="s">
        <v>1792</v>
      </c>
      <c r="D617" s="2" t="s">
        <v>44</v>
      </c>
      <c r="E617" s="2" t="s">
        <v>33</v>
      </c>
      <c r="F617" s="2" t="s">
        <v>15</v>
      </c>
      <c r="G617" s="2" t="s">
        <v>444</v>
      </c>
      <c r="H617" s="2" t="s">
        <v>41</v>
      </c>
      <c r="I617" s="2" t="str">
        <f>IFERROR(__xludf.DUMMYFUNCTION("GOOGLETRANSLATE(C617,""fr"",""en"")"),"DEFULATION ASSEMBLY transmitted a few days before the term and the withdrawal, with an unexplained increase in premium of 13%. With regard to the notice period, non -regulatory because too short, and of the significant increase and disconnected from any c"&amp;"yclical reason, at least unjustified, I very strongly advise against the annual automatic renewal!")</f>
        <v>DEFULATION ASSEMBLY transmitted a few days before the term and the withdrawal, with an unexplained increase in premium of 13%. With regard to the notice period, non -regulatory because too short, and of the significant increase and disconnected from any cyclical reason, at least unjustified, I very strongly advise against the annual automatic renewal!</v>
      </c>
    </row>
    <row r="618" ht="15.75" customHeight="1">
      <c r="A618" s="2">
        <v>1.0</v>
      </c>
      <c r="B618" s="2" t="s">
        <v>1793</v>
      </c>
      <c r="C618" s="2" t="s">
        <v>1794</v>
      </c>
      <c r="D618" s="2" t="s">
        <v>141</v>
      </c>
      <c r="E618" s="2" t="s">
        <v>33</v>
      </c>
      <c r="F618" s="2" t="s">
        <v>15</v>
      </c>
      <c r="G618" s="2" t="s">
        <v>1795</v>
      </c>
      <c r="H618" s="2" t="s">
        <v>214</v>
      </c>
      <c r="I618" s="2" t="str">
        <f>IFERROR(__xludf.DUMMYFUNCTION("GOOGLETRANSLATE(C618,""fr"",""en"")"),"He makes you fight to get answers; The legal advice, however provided for in the contract, does not respond")</f>
        <v>He makes you fight to get answers; The legal advice, however provided for in the contract, does not respond</v>
      </c>
    </row>
    <row r="619" ht="15.75" customHeight="1">
      <c r="A619" s="2">
        <v>3.0</v>
      </c>
      <c r="B619" s="2" t="s">
        <v>1796</v>
      </c>
      <c r="C619" s="2" t="s">
        <v>1797</v>
      </c>
      <c r="D619" s="2" t="s">
        <v>1356</v>
      </c>
      <c r="E619" s="2" t="s">
        <v>460</v>
      </c>
      <c r="F619" s="2" t="s">
        <v>15</v>
      </c>
      <c r="G619" s="2" t="s">
        <v>1798</v>
      </c>
      <c r="H619" s="2" t="s">
        <v>294</v>
      </c>
      <c r="I619" s="2" t="str">
        <f>IFERROR(__xludf.DUMMYFUNCTION("GOOGLETRANSLATE(C619,""fr"",""en"")"),"I have a life insurance contract subscribed in mid 2016 which was to increase by 3 to 4 % gross year, but it turns out that I lose money: 10 % of the sums paid to date !!")</f>
        <v>I have a life insurance contract subscribed in mid 2016 which was to increase by 3 to 4 % gross year, but it turns out that I lose money: 10 % of the sums paid to date !!</v>
      </c>
    </row>
    <row r="620" ht="15.75" customHeight="1">
      <c r="A620" s="2">
        <v>5.0</v>
      </c>
      <c r="B620" s="2" t="s">
        <v>1799</v>
      </c>
      <c r="C620" s="2" t="s">
        <v>1800</v>
      </c>
      <c r="D620" s="2" t="s">
        <v>612</v>
      </c>
      <c r="E620" s="2" t="s">
        <v>561</v>
      </c>
      <c r="F620" s="2" t="s">
        <v>15</v>
      </c>
      <c r="G620" s="2" t="s">
        <v>1106</v>
      </c>
      <c r="H620" s="2" t="s">
        <v>206</v>
      </c>
      <c r="I620" s="2" t="str">
        <f>IFERROR(__xludf.DUMMYFUNCTION("GOOGLETRANSLATE(C620,""fr"",""en"")"),"Very good assurance that we pay well like all mutuals but very happy to have it when an accident or illness affects our animals I strongly recommend it to all those who love their animals")</f>
        <v>Very good assurance that we pay well like all mutuals but very happy to have it when an accident or illness affects our animals I strongly recommend it to all those who love their animals</v>
      </c>
    </row>
    <row r="621" ht="15.75" customHeight="1">
      <c r="A621" s="2">
        <v>4.0</v>
      </c>
      <c r="B621" s="2" t="s">
        <v>1801</v>
      </c>
      <c r="C621" s="2" t="s">
        <v>1802</v>
      </c>
      <c r="D621" s="2" t="s">
        <v>44</v>
      </c>
      <c r="E621" s="2" t="s">
        <v>27</v>
      </c>
      <c r="F621" s="2" t="s">
        <v>15</v>
      </c>
      <c r="G621" s="2" t="s">
        <v>1029</v>
      </c>
      <c r="H621" s="2" t="s">
        <v>46</v>
      </c>
      <c r="I621" s="2" t="str">
        <f>IFERROR(__xludf.DUMMYFUNCTION("GOOGLETRANSLATE(C621,""fr"",""en"")"),"I'm really happy to be very happy to see wonderfully happy and happy direct insurance bravo it's super really great.
I think I talk about it about me.")</f>
        <v>I'm really happy to be very happy to see wonderfully happy and happy direct insurance bravo it's super really great.
I think I talk about it about me.</v>
      </c>
    </row>
    <row r="622" ht="15.75" customHeight="1">
      <c r="A622" s="2">
        <v>4.0</v>
      </c>
      <c r="B622" s="2" t="s">
        <v>1803</v>
      </c>
      <c r="C622" s="2" t="s">
        <v>1804</v>
      </c>
      <c r="D622" s="2" t="s">
        <v>105</v>
      </c>
      <c r="E622" s="2" t="s">
        <v>39</v>
      </c>
      <c r="F622" s="2" t="s">
        <v>15</v>
      </c>
      <c r="G622" s="2" t="s">
        <v>832</v>
      </c>
      <c r="H622" s="2" t="s">
        <v>29</v>
      </c>
      <c r="I622" s="2" t="str">
        <f>IFERROR(__xludf.DUMMYFUNCTION("GOOGLETRANSLATE(C622,""fr"",""en"")"),"Despite the years of seniority in your home, I do not benefit from any rate reduction on my motorcycle insurance ""Ducati"" despite the installation of a coyote tracer ...")</f>
        <v>Despite the years of seniority in your home, I do not benefit from any rate reduction on my motorcycle insurance "Ducati" despite the installation of a coyote tracer ...</v>
      </c>
    </row>
    <row r="623" ht="15.75" customHeight="1">
      <c r="A623" s="2">
        <v>2.0</v>
      </c>
      <c r="B623" s="2" t="s">
        <v>1805</v>
      </c>
      <c r="C623" s="2" t="s">
        <v>1806</v>
      </c>
      <c r="D623" s="2" t="s">
        <v>44</v>
      </c>
      <c r="E623" s="2" t="s">
        <v>27</v>
      </c>
      <c r="F623" s="2" t="s">
        <v>15</v>
      </c>
      <c r="G623" s="2" t="s">
        <v>1374</v>
      </c>
      <c r="H623" s="2" t="s">
        <v>131</v>
      </c>
      <c r="I623" s="2" t="str">
        <f>IFERROR(__xludf.DUMMYFUNCTION("GOOGLETRANSLATE(C623,""fr"",""en"")"),"Very very bad experience with this insurance which allows you to terminate you without any valid reasons. My contract was valid and in good uniform and I agree that my contract is terminated for lack of the copy of my gray card to my file. This is complet"&amp;"ely false because it was communicated during registration.
After several attempts to contact, the answerable ""Marie"" tries to find all other reasons to confirm the termination, all the reasons mentioned are false and they do not want to hear anything.
"&amp;"
I don't even dare imagine what would happen during a disaster. I hope to provide a trial at ***
Fuur insurance!")</f>
        <v>Very very bad experience with this insurance which allows you to terminate you without any valid reasons. My contract was valid and in good uniform and I agree that my contract is terminated for lack of the copy of my gray card to my file. This is completely false because it was communicated during registration.
After several attempts to contact, the answerable "Marie" tries to find all other reasons to confirm the termination, all the reasons mentioned are false and they do not want to hear anything.
I don't even dare imagine what would happen during a disaster. I hope to provide a trial at ***
Fuur insurance!</v>
      </c>
    </row>
    <row r="624" ht="15.75" customHeight="1">
      <c r="A624" s="2">
        <v>1.0</v>
      </c>
      <c r="B624" s="2" t="s">
        <v>1807</v>
      </c>
      <c r="C624" s="2" t="s">
        <v>1808</v>
      </c>
      <c r="D624" s="2" t="s">
        <v>38</v>
      </c>
      <c r="E624" s="2" t="s">
        <v>39</v>
      </c>
      <c r="F624" s="2" t="s">
        <v>15</v>
      </c>
      <c r="G624" s="2" t="s">
        <v>1809</v>
      </c>
      <c r="H624" s="2" t="s">
        <v>90</v>
      </c>
      <c r="I624" s="2" t="str">
        <f>IFERROR(__xludf.DUMMYFUNCTION("GOOGLETRANSLATE(C624,""fr"",""en"")"),"Go your way !!!!
Following the purchase of a new scooter I subscribe insurance from April. It's not the cheapest but their documentation was serious.
The first steps is going very well in 5 min you have a temporary insurance of a month and you have paid"&amp;" (it's the only thing that works ...). It is after that this spoils.
The website to download the documents does not work properly. You download your documents and it tells you that you have not done so and you can start again 10 times nothing !!!!
In de"&amp;"speration you send several emails with your documents but you never have an answer (except the acknowledgment of receipt). You call but impossible to have someone so you leave a message on the answering machine and there it is the same you never have a re"&amp;"turn.
In the end 10 days before the end of my provisional insurance I receive an AR letter which tells me that documents are missing and that I am terminated within 10 days !!!!
My whole file was complete and even if the advisor I ended up having on the"&amp;" phone tells me that it is a mistake and that it is delayed. 2 days before the end of my 2 months of regulatory provisional insurance I still have nothing.
The funniest thing is that if I will see another insurance this day it will be necessary to justif"&amp;"y the termination and there good luck ....
In conclusion, it is insurance at the same price as others with deplorable customer service so it is better to go and see elsewhere.
In addition if it is also complicated to have your green card I let you imagi"&amp;"ne if one day you need them following a disaster .....")</f>
        <v>Go your way !!!!
Following the purchase of a new scooter I subscribe insurance from April. It's not the cheapest but their documentation was serious.
The first steps is going very well in 5 min you have a temporary insurance of a month and you have paid (it's the only thing that works ...). It is after that this spoils.
The website to download the documents does not work properly. You download your documents and it tells you that you have not done so and you can start again 10 times nothing !!!!
In desperation you send several emails with your documents but you never have an answer (except the acknowledgment of receipt). You call but impossible to have someone so you leave a message on the answering machine and there it is the same you never have a return.
In the end 10 days before the end of my provisional insurance I receive an AR letter which tells me that documents are missing and that I am terminated within 10 days !!!!
My whole file was complete and even if the advisor I ended up having on the phone tells me that it is a mistake and that it is delayed. 2 days before the end of my 2 months of regulatory provisional insurance I still have nothing.
The funniest thing is that if I will see another insurance this day it will be necessary to justify the termination and there good luck ....
In conclusion, it is insurance at the same price as others with deplorable customer service so it is better to go and see elsewhere.
In addition if it is also complicated to have your green card I let you imagine if one day you need them following a disaster .....</v>
      </c>
    </row>
    <row r="625" ht="15.75" customHeight="1">
      <c r="A625" s="2">
        <v>5.0</v>
      </c>
      <c r="B625" s="2" t="s">
        <v>1810</v>
      </c>
      <c r="C625" s="2" t="s">
        <v>1811</v>
      </c>
      <c r="D625" s="2" t="s">
        <v>26</v>
      </c>
      <c r="E625" s="2" t="s">
        <v>27</v>
      </c>
      <c r="F625" s="2" t="s">
        <v>15</v>
      </c>
      <c r="G625" s="2" t="s">
        <v>1812</v>
      </c>
      <c r="H625" s="2" t="s">
        <v>46</v>
      </c>
      <c r="I625" s="2" t="str">
        <f>IFERROR(__xludf.DUMMYFUNCTION("GOOGLETRANSLATE(C625,""fr"",""en"")"),"Very good and fast to have a quote * very pleasant, efficient and kind advisor * Pannel of very interesting and attractive pricing choice")</f>
        <v>Very good and fast to have a quote * very pleasant, efficient and kind advisor * Pannel of very interesting and attractive pricing choice</v>
      </c>
    </row>
    <row r="626" ht="15.75" customHeight="1">
      <c r="A626" s="2">
        <v>1.0</v>
      </c>
      <c r="B626" s="2" t="s">
        <v>1813</v>
      </c>
      <c r="C626" s="2" t="s">
        <v>1814</v>
      </c>
      <c r="D626" s="2" t="s">
        <v>598</v>
      </c>
      <c r="E626" s="2" t="s">
        <v>460</v>
      </c>
      <c r="F626" s="2" t="s">
        <v>15</v>
      </c>
      <c r="G626" s="2" t="s">
        <v>1815</v>
      </c>
      <c r="H626" s="2" t="s">
        <v>422</v>
      </c>
      <c r="I626" s="2" t="str">
        <f>IFERROR(__xludf.DUMMYFUNCTION("GOOGLETRANSLATE(C626,""fr"",""en"")"),"low euro fund rate; Nonexistent customer service: I just spent 2 times 20 minutes at tel. So that no one wins ... Contract to flee")</f>
        <v>low euro fund rate; Nonexistent customer service: I just spent 2 times 20 minutes at tel. So that no one wins ... Contract to flee</v>
      </c>
    </row>
    <row r="627" ht="15.75" customHeight="1">
      <c r="A627" s="2">
        <v>1.0</v>
      </c>
      <c r="B627" s="2" t="s">
        <v>1816</v>
      </c>
      <c r="C627" s="2" t="s">
        <v>1817</v>
      </c>
      <c r="D627" s="2" t="s">
        <v>148</v>
      </c>
      <c r="E627" s="2" t="s">
        <v>33</v>
      </c>
      <c r="F627" s="2" t="s">
        <v>15</v>
      </c>
      <c r="G627" s="2" t="s">
        <v>1818</v>
      </c>
      <c r="H627" s="2" t="s">
        <v>177</v>
      </c>
      <c r="I627" s="2" t="str">
        <f>IFERROR(__xludf.DUMMYFUNCTION("GOOGLETRANSLATE(C627,""fr"",""en"")"),"Above all, do not have claims and litigation and everything will be fine ... no help, no support and of course samples in time!
For the rest do you dedicate to the good Lord, maybe he will listen to you .. ??")</f>
        <v>Above all, do not have claims and litigation and everything will be fine ... no help, no support and of course samples in time!
For the rest do you dedicate to the good Lord, maybe he will listen to you .. ??</v>
      </c>
    </row>
    <row r="628" ht="15.75" customHeight="1">
      <c r="A628" s="2">
        <v>4.0</v>
      </c>
      <c r="B628" s="2" t="s">
        <v>1819</v>
      </c>
      <c r="C628" s="2" t="s">
        <v>1820</v>
      </c>
      <c r="D628" s="2" t="s">
        <v>44</v>
      </c>
      <c r="E628" s="2" t="s">
        <v>27</v>
      </c>
      <c r="F628" s="2" t="s">
        <v>15</v>
      </c>
      <c r="G628" s="2" t="s">
        <v>1821</v>
      </c>
      <c r="H628" s="2" t="s">
        <v>46</v>
      </c>
      <c r="I628" s="2" t="str">
        <f>IFERROR(__xludf.DUMMYFUNCTION("GOOGLETRANSLATE(C628,""fr"",""en"")"),"I am satisfied, I am much less than with other insurances. I will certainly make a quote for home insurance. Thank you")</f>
        <v>I am satisfied, I am much less than with other insurances. I will certainly make a quote for home insurance. Thank you</v>
      </c>
    </row>
    <row r="629" ht="15.75" customHeight="1">
      <c r="A629" s="2">
        <v>4.0</v>
      </c>
      <c r="B629" s="2" t="s">
        <v>1822</v>
      </c>
      <c r="C629" s="2" t="s">
        <v>1823</v>
      </c>
      <c r="D629" s="2" t="s">
        <v>105</v>
      </c>
      <c r="E629" s="2" t="s">
        <v>39</v>
      </c>
      <c r="F629" s="2" t="s">
        <v>15</v>
      </c>
      <c r="G629" s="2" t="s">
        <v>45</v>
      </c>
      <c r="H629" s="2" t="s">
        <v>46</v>
      </c>
      <c r="I629" s="2" t="str">
        <f>IFERROR(__xludf.DUMMYFUNCTION("GOOGLETRANSLATE(C629,""fr"",""en"")"),"Fast, efficient and good value for money.
I recommend AMV to any new biker looking for quality insurance made for bikers and other 2 -wheeled driver")</f>
        <v>Fast, efficient and good value for money.
I recommend AMV to any new biker looking for quality insurance made for bikers and other 2 -wheeled driver</v>
      </c>
    </row>
    <row r="630" ht="15.75" customHeight="1">
      <c r="A630" s="2">
        <v>5.0</v>
      </c>
      <c r="B630" s="2" t="s">
        <v>1824</v>
      </c>
      <c r="C630" s="2" t="s">
        <v>1825</v>
      </c>
      <c r="D630" s="2" t="s">
        <v>38</v>
      </c>
      <c r="E630" s="2" t="s">
        <v>39</v>
      </c>
      <c r="F630" s="2" t="s">
        <v>15</v>
      </c>
      <c r="G630" s="2" t="s">
        <v>244</v>
      </c>
      <c r="H630" s="2" t="s">
        <v>35</v>
      </c>
      <c r="I630" s="2" t="str">
        <f>IFERROR(__xludf.DUMMYFUNCTION("GOOGLETRANSLATE(C630,""fr"",""en"")"),"I am satisfied with the service . Simple and fast very good value for money
This is my first 2 wheels the site is very well done I am pleasantly surprised by the prices")</f>
        <v>I am satisfied with the service . Simple and fast very good value for money
This is my first 2 wheels the site is very well done I am pleasantly surprised by the prices</v>
      </c>
    </row>
    <row r="631" ht="15.75" customHeight="1">
      <c r="A631" s="2">
        <v>1.0</v>
      </c>
      <c r="B631" s="2" t="s">
        <v>1826</v>
      </c>
      <c r="C631" s="2" t="s">
        <v>1827</v>
      </c>
      <c r="D631" s="2" t="s">
        <v>84</v>
      </c>
      <c r="E631" s="2" t="s">
        <v>33</v>
      </c>
      <c r="F631" s="2" t="s">
        <v>15</v>
      </c>
      <c r="G631" s="2" t="s">
        <v>1828</v>
      </c>
      <c r="H631" s="2" t="s">
        <v>529</v>
      </c>
      <c r="I631" s="2" t="str">
        <f>IFERROR(__xludf.DUMMYFUNCTION("GOOGLETRANSLATE(C631,""fr"",""en"")"),"Beginning of 2018 I took a car insurance at AXA, I am offered an offer if I take home insurance + car I would have 6 months free for housing ... so I subscribe to 2 insurance, I Pay my home insurance for 1 year while waiting for the reimbursement of the 6"&amp;" months ... I go back to the insurer, at the court of 2018 to find out where my refund, first time you have to wait 6 months, second time C 'is 9 months now !!!! March 2019 I receive the forfeiture opinion for this year ... Still not refund, I go back to "&amp;"my insurer, this time is a bug !!!! And finally I receive an email from Axa:
""I allow myself to return to you concerning the request for reimbursement concerning last year's offer,
Indeed to be able to benefit from this offer, the payment method had "&amp;"to be in direct debit,
Outside your collection mode is direct, we are sorry to teach you that you do not enter the eligibility criteria ... ""
My agent AXA never does not have these payment criteria, I trusted him ... Conclusion to pay no problem no cri"&amp;"teria, but to be reimbursed !!!!!!! It's cool at Axadébut of the year 2018 I took auto insurance at AXA, I am offered an offer if I take home insurance + auto I would have 6 months free for the house ... so I subscribe At the 2 insurance, I pay my home in"&amp;"surance for 1 year while waiting for the 6 -month reimbursement ... I go back to the insurer, at the court of 2018 to find out where my reimbursement is, first time you have to wait 6 month, second time is 9 months now !!!! March 2019 I receive the forfei"&amp;"ture opinion for this year ... Still not refund, I go back to my insurer, this time is a bug !!!! And finally I receive an email from Axa:
""I allow myself to return to you concerning the request for reimbursement concerning last year's offer,
Indeed "&amp;"to be able to benefit from this offer, the payment method had to be in direct debit,
Outside your collection mode is direct, we are sorry to teach you that you do not enter the eligibility criteria ... ""
My agent AXA never does not have these payment c"&amp;"riteria, I trusted him ... Conclusion to pay no problem no criteria, but to be reimbursed !!!!!!!
Beginning of 2018 I took a car insurance at AXA, I am offered an offer if I take home insurance + car I would have 6 months free for housing ... so I subscr"&amp;"ibe to 2 insurance, I Pay my home insurance for 1 year while waiting for the reimbursement of the 6 months ... I go back to the insurer, at the court of 2018 to find out where my refund, first time you have to wait 6 months, second time C 'is 9 months now"&amp;" !!!! March 2019 I receive the forfeiture opinion for this year ... Still not refund, I go back to my insurer, this time is a bug !!!! And finally I receive an email from Axa:
""I allow myself to return to you concerning the request for reimbursement c"&amp;"oncerning last year's offer,
Indeed to be able to benefit from this offer, the payment method had to be in direct debit,
Outside your collection mode is direct, we are sorry to teach you that you do not enter the eligibility criteria ... ""
My agent AX"&amp;"A never does not have these payment criteria, I trusted him ... Conclusion to pay no problem no criteria, but to be reimbursed !!!!!!!
 ")</f>
        <v>Beginning of 2018 I took a car insurance at AXA, I am offered an offer if I take home insurance + car I would have 6 months free for housing ... so I subscribe to 2 insurance, I Pay my home insurance for 1 year while waiting for the reimbursement of the 6 months ... I go back to the insurer, at the court of 2018 to find out where my refund, first time you have to wait 6 months, second time C 'is 9 months now !!!! March 2019 I receive the forfeiture opinion for this year ... Still not refund, I go back to my insurer, this time is a bug !!!! And finally I receive an email from Axa:
"I allow myself to return to you concerning the request for reimbursement concerning last year's offer,
Indeed to be able to benefit from this offer, the payment method had to be in direct debit,
Outside your collection mode is direct, we are sorry to teach you that you do not enter the eligibility criteria ... "
My agent AXA never does not have these payment criteria, I trusted him ... Conclusion to pay no problem no criteria, but to be reimbursed !!!!!!! It's cool at Axadébut of the year 2018 I took auto insurance at AXA, I am offered an offer if I take home insurance + auto I would have 6 months free for the house ... so I subscribe At the 2 insurance, I pay my home insurance for 1 year while waiting for the 6 -month reimbursement ... I go back to the insurer, at the court of 2018 to find out where my reimbursement is, first time you have to wait 6 month, second time is 9 months now !!!! March 2019 I receive the forfeiture opinion for this year ... Still not refund, I go back to my insurer, this time is a bug !!!! And finally I receive an email from Axa:
"I allow myself to return to you concerning the request for reimbursement concerning last year's offer,
Indeed to be able to benefit from this offer, the payment method had to be in direct debit,
Outside your collection mode is direct, we are sorry to teach you that you do not enter the eligibility criteria ... "
My agent AXA never does not have these payment criteria, I trusted him ... Conclusion to pay no problem no criteria, but to be reimbursed !!!!!!!
Beginning of 2018 I took a car insurance at AXA, I am offered an offer if I take home insurance + car I would have 6 months free for housing ... so I subscribe to 2 insurance, I Pay my home insurance for 1 year while waiting for the reimbursement of the 6 months ... I go back to the insurer, at the court of 2018 to find out where my refund, first time you have to wait 6 months, second time C 'is 9 months now !!!! March 2019 I receive the forfeiture opinion for this year ... Still not refund, I go back to my insurer, this time is a bug !!!! And finally I receive an email from Axa:
"I allow myself to return to you concerning the request for reimbursement concerning last year's offer,
Indeed to be able to benefit from this offer, the payment method had to be in direct debit,
Outside your collection mode is direct, we are sorry to teach you that you do not enter the eligibility criteria ... "
My agent AXA never does not have these payment criteria, I trusted him ... Conclusion to pay no problem no criteria, but to be reimbursed !!!!!!!
 </v>
      </c>
    </row>
    <row r="632" ht="15.75" customHeight="1">
      <c r="A632" s="2">
        <v>1.0</v>
      </c>
      <c r="B632" s="2" t="s">
        <v>1829</v>
      </c>
      <c r="C632" s="2" t="s">
        <v>1830</v>
      </c>
      <c r="D632" s="2" t="s">
        <v>455</v>
      </c>
      <c r="E632" s="2" t="s">
        <v>76</v>
      </c>
      <c r="F632" s="2" t="s">
        <v>15</v>
      </c>
      <c r="G632" s="2" t="s">
        <v>1831</v>
      </c>
      <c r="H632" s="2" t="s">
        <v>206</v>
      </c>
      <c r="I632" s="2" t="str">
        <f>IFERROR(__xludf.DUMMYFUNCTION("GOOGLETRANSLATE(C632,""fr"",""en"")"),"Hello, After a request for information on care, I am answered total management. But on € 69 My mutual refund was only € 7. 3 successive complaints, 2 in lines and one written. I am answered online completely off topic and in writing not back. The mutual i"&amp;"nsurance does not assume its error of poor information, on the contrary, they answer ""consistent reimbursement"". Inadmissible. And of course, no return following my complaint in writing. A group of this size must respond to complaints to its members wit"&amp;"h discernment and especially with compliance with consistency with the member's request. I do not recommend.")</f>
        <v>Hello, After a request for information on care, I am answered total management. But on € 69 My mutual refund was only € 7. 3 successive complaints, 2 in lines and one written. I am answered online completely off topic and in writing not back. The mutual insurance does not assume its error of poor information, on the contrary, they answer "consistent reimbursement". Inadmissible. And of course, no return following my complaint in writing. A group of this size must respond to complaints to its members with discernment and especially with compliance with consistency with the member's request. I do not recommend.</v>
      </c>
    </row>
    <row r="633" ht="15.75" customHeight="1">
      <c r="A633" s="2">
        <v>3.0</v>
      </c>
      <c r="B633" s="2" t="s">
        <v>1832</v>
      </c>
      <c r="C633" s="2" t="s">
        <v>1833</v>
      </c>
      <c r="D633" s="2" t="s">
        <v>134</v>
      </c>
      <c r="E633" s="2" t="s">
        <v>27</v>
      </c>
      <c r="F633" s="2" t="s">
        <v>15</v>
      </c>
      <c r="G633" s="2" t="s">
        <v>1834</v>
      </c>
      <c r="H633" s="2" t="s">
        <v>131</v>
      </c>
      <c r="I633" s="2" t="str">
        <f>IFERROR(__xludf.DUMMYFUNCTION("GOOGLETRANSLATE(C633,""fr"",""en"")"),"Customer service easy to reach but the prices are expensive especially for the car although I have been a customer for many years and that I have 4 contracts at GMF.")</f>
        <v>Customer service easy to reach but the prices are expensive especially for the car although I have been a customer for many years and that I have 4 contracts at GMF.</v>
      </c>
    </row>
    <row r="634" ht="15.75" customHeight="1">
      <c r="A634" s="2">
        <v>3.0</v>
      </c>
      <c r="B634" s="2" t="s">
        <v>1835</v>
      </c>
      <c r="C634" s="2" t="s">
        <v>1836</v>
      </c>
      <c r="D634" s="2" t="s">
        <v>44</v>
      </c>
      <c r="E634" s="2" t="s">
        <v>27</v>
      </c>
      <c r="F634" s="2" t="s">
        <v>15</v>
      </c>
      <c r="G634" s="2" t="s">
        <v>579</v>
      </c>
      <c r="H634" s="2" t="s">
        <v>23</v>
      </c>
      <c r="I634" s="2" t="str">
        <f>IFERROR(__xludf.DUMMYFUNCTION("GOOGLETRANSLATE(C634,""fr"",""en"")"),"Hello
Just the regret of not being able to transfer my existing account being already a customer
But perfect for the rest
Thank you....................
Cordially")</f>
        <v>Hello
Just the regret of not being able to transfer my existing account being already a customer
But perfect for the rest
Thank you....................
Cordially</v>
      </c>
    </row>
    <row r="635" ht="15.75" customHeight="1">
      <c r="A635" s="2">
        <v>3.0</v>
      </c>
      <c r="B635" s="2" t="s">
        <v>1837</v>
      </c>
      <c r="C635" s="2" t="s">
        <v>1838</v>
      </c>
      <c r="D635" s="2" t="s">
        <v>44</v>
      </c>
      <c r="E635" s="2" t="s">
        <v>27</v>
      </c>
      <c r="F635" s="2" t="s">
        <v>15</v>
      </c>
      <c r="G635" s="2" t="s">
        <v>921</v>
      </c>
      <c r="H635" s="2" t="s">
        <v>922</v>
      </c>
      <c r="I635" s="2" t="str">
        <f>IFERROR(__xludf.DUMMYFUNCTION("GOOGLETRANSLATE(C635,""fr"",""en"")"),"Hanging: the opponent refuses to fill out the observation.
Direct Insurance sends 2 letters to his insurance in 2 months and if no answers, everything is my responsibility: we are not the police: no registered mail, no formal notice: Dismerce")</f>
        <v>Hanging: the opponent refuses to fill out the observation.
Direct Insurance sends 2 letters to his insurance in 2 months and if no answers, everything is my responsibility: we are not the police: no registered mail, no formal notice: Dismerce</v>
      </c>
    </row>
    <row r="636" ht="15.75" customHeight="1">
      <c r="A636" s="2">
        <v>4.0</v>
      </c>
      <c r="B636" s="2" t="s">
        <v>1839</v>
      </c>
      <c r="C636" s="2" t="s">
        <v>1840</v>
      </c>
      <c r="D636" s="2" t="s">
        <v>134</v>
      </c>
      <c r="E636" s="2" t="s">
        <v>27</v>
      </c>
      <c r="F636" s="2" t="s">
        <v>15</v>
      </c>
      <c r="G636" s="2" t="s">
        <v>412</v>
      </c>
      <c r="H636" s="2" t="s">
        <v>29</v>
      </c>
      <c r="I636" s="2" t="str">
        <f>IFERROR(__xludf.DUMMYFUNCTION("GOOGLETRANSLATE(C636,""fr"",""en"")"),"No problem to date, answer to quick and meet my expectations. Very good customer service, competent. Services with very good value for money")</f>
        <v>No problem to date, answer to quick and meet my expectations. Very good customer service, competent. Services with very good value for money</v>
      </c>
    </row>
    <row r="637" ht="15.75" customHeight="1">
      <c r="A637" s="2">
        <v>2.0</v>
      </c>
      <c r="B637" s="2" t="s">
        <v>1841</v>
      </c>
      <c r="C637" s="2" t="s">
        <v>1842</v>
      </c>
      <c r="D637" s="2" t="s">
        <v>252</v>
      </c>
      <c r="E637" s="2" t="s">
        <v>21</v>
      </c>
      <c r="F637" s="2" t="s">
        <v>15</v>
      </c>
      <c r="G637" s="2" t="s">
        <v>1843</v>
      </c>
      <c r="H637" s="2" t="s">
        <v>102</v>
      </c>
      <c r="I637" s="2" t="str">
        <f>IFERROR(__xludf.DUMMYFUNCTION("GOOGLETRANSLATE(C637,""fr"",""en"")"),"Good price, but the slightest problem, no one, knowing that for my part, they are the ones who caused the problem, me it finished at Que Choisir, emission of Julien Courbet and my lawyer")</f>
        <v>Good price, but the slightest problem, no one, knowing that for my part, they are the ones who caused the problem, me it finished at Que Choisir, emission of Julien Courbet and my lawyer</v>
      </c>
    </row>
    <row r="638" ht="15.75" customHeight="1">
      <c r="A638" s="2">
        <v>2.0</v>
      </c>
      <c r="B638" s="2" t="s">
        <v>1844</v>
      </c>
      <c r="C638" s="2" t="s">
        <v>1845</v>
      </c>
      <c r="D638" s="2" t="s">
        <v>44</v>
      </c>
      <c r="E638" s="2" t="s">
        <v>27</v>
      </c>
      <c r="F638" s="2" t="s">
        <v>15</v>
      </c>
      <c r="G638" s="2" t="s">
        <v>1019</v>
      </c>
      <c r="H638" s="2" t="s">
        <v>159</v>
      </c>
      <c r="I638" s="2" t="str">
        <f>IFERROR(__xludf.DUMMYFUNCTION("GOOGLETRANSLATE(C638,""fr"",""en"")"),"I am moderately satisfied, I would hope to have a more advantageous price than the others since I have already assured at home, especially since the prices increased in 10 minutes of time, those offered intially were cheaper I refreshed the page And price"&amp;"s have increased")</f>
        <v>I am moderately satisfied, I would hope to have a more advantageous price than the others since I have already assured at home, especially since the prices increased in 10 minutes of time, those offered intially were cheaper I refreshed the page And prices have increased</v>
      </c>
    </row>
    <row r="639" ht="15.75" customHeight="1">
      <c r="A639" s="2">
        <v>5.0</v>
      </c>
      <c r="B639" s="2" t="s">
        <v>1846</v>
      </c>
      <c r="C639" s="2" t="s">
        <v>1847</v>
      </c>
      <c r="D639" s="2" t="s">
        <v>26</v>
      </c>
      <c r="E639" s="2" t="s">
        <v>27</v>
      </c>
      <c r="F639" s="2" t="s">
        <v>15</v>
      </c>
      <c r="G639" s="2" t="s">
        <v>1848</v>
      </c>
      <c r="H639" s="2" t="s">
        <v>29</v>
      </c>
      <c r="I639" s="2" t="str">
        <f>IFERROR(__xludf.DUMMYFUNCTION("GOOGLETRANSLATE(C639,""fr"",""en"")"),"I am satisfied with the service The prices are very reasonable I thank the olive assurances for their advice and their good humor spend a pleasant day")</f>
        <v>I am satisfied with the service The prices are very reasonable I thank the olive assurances for their advice and their good humor spend a pleasant day</v>
      </c>
    </row>
    <row r="640" ht="15.75" customHeight="1">
      <c r="A640" s="2">
        <v>3.0</v>
      </c>
      <c r="B640" s="2" t="s">
        <v>1849</v>
      </c>
      <c r="C640" s="2" t="s">
        <v>1850</v>
      </c>
      <c r="D640" s="2" t="s">
        <v>1275</v>
      </c>
      <c r="E640" s="2" t="s">
        <v>460</v>
      </c>
      <c r="F640" s="2" t="s">
        <v>15</v>
      </c>
      <c r="G640" s="2" t="s">
        <v>1851</v>
      </c>
      <c r="H640" s="2" t="s">
        <v>214</v>
      </c>
      <c r="I640" s="2" t="str">
        <f>IFERROR(__xludf.DUMMYFUNCTION("GOOGLETRANSLATE(C640,""fr"",""en"")"),"Hello, I have been fighting today for 2 months and Demis to recover my capital of 4000 euros. After a letter for the total buyout I had to say the touch after 3 weeks and when I call all the interlocutors answer me well we do not know why. I no longer hav"&amp;"e any feedback because I went through the manager etc. I could not buy gifts for my children and I have to leave my apartment for non -payment of my rent for 3 months following the sale of my restaurant no longer having any resources because of them of my"&amp;" money that we want Not to go! It is unacceptable I hate this false assurance we are carried out by boat all the time and we play with our money by leaving people well in the panade !!!!! I am ashamed for them !!!! And the icing on the cake I receive a te"&amp;"xt for a happy new year !!!")</f>
        <v>Hello, I have been fighting today for 2 months and Demis to recover my capital of 4000 euros. After a letter for the total buyout I had to say the touch after 3 weeks and when I call all the interlocutors answer me well we do not know why. I no longer have any feedback because I went through the manager etc. I could not buy gifts for my children and I have to leave my apartment for non -payment of my rent for 3 months following the sale of my restaurant no longer having any resources because of them of my money that we want Not to go! It is unacceptable I hate this false assurance we are carried out by boat all the time and we play with our money by leaving people well in the panade !!!!! I am ashamed for them !!!! And the icing on the cake I receive a text for a happy new year !!!</v>
      </c>
    </row>
    <row r="641" ht="15.75" customHeight="1">
      <c r="A641" s="2">
        <v>2.0</v>
      </c>
      <c r="B641" s="2" t="s">
        <v>1852</v>
      </c>
      <c r="C641" s="2" t="s">
        <v>1853</v>
      </c>
      <c r="D641" s="2" t="s">
        <v>44</v>
      </c>
      <c r="E641" s="2" t="s">
        <v>27</v>
      </c>
      <c r="F641" s="2" t="s">
        <v>15</v>
      </c>
      <c r="G641" s="2" t="s">
        <v>1096</v>
      </c>
      <c r="H641" s="2" t="s">
        <v>111</v>
      </c>
      <c r="I641" s="2" t="str">
        <f>IFERROR(__xludf.DUMMYFUNCTION("GOOGLETRANSLATE(C641,""fr"",""en"")"),"Would like to have a discount since it is my 3 vehicle that I will provide at home.
Simple service
Satisfied overall.
I hope to have a commercial gesture on your part")</f>
        <v>Would like to have a discount since it is my 3 vehicle that I will provide at home.
Simple service
Satisfied overall.
I hope to have a commercial gesture on your part</v>
      </c>
    </row>
    <row r="642" ht="15.75" customHeight="1">
      <c r="A642" s="2">
        <v>1.0</v>
      </c>
      <c r="B642" s="2" t="s">
        <v>1854</v>
      </c>
      <c r="C642" s="2" t="s">
        <v>1855</v>
      </c>
      <c r="D642" s="2" t="s">
        <v>459</v>
      </c>
      <c r="E642" s="2" t="s">
        <v>21</v>
      </c>
      <c r="F642" s="2" t="s">
        <v>15</v>
      </c>
      <c r="G642" s="2" t="s">
        <v>872</v>
      </c>
      <c r="H642" s="2" t="s">
        <v>593</v>
      </c>
      <c r="I642" s="2" t="str">
        <f>IFERROR(__xludf.DUMMYFUNCTION("GOOGLETRANSLATE(C642,""fr"",""en"")"),"In reachable whether by email or by phone. Compulsory permanent reminders to hope for the payment of services.")</f>
        <v>In reachable whether by email or by phone. Compulsory permanent reminders to hope for the payment of services.</v>
      </c>
    </row>
    <row r="643" ht="15.75" customHeight="1">
      <c r="A643" s="2">
        <v>1.0</v>
      </c>
      <c r="B643" s="2" t="s">
        <v>1856</v>
      </c>
      <c r="C643" s="2" t="s">
        <v>1857</v>
      </c>
      <c r="D643" s="2" t="s">
        <v>134</v>
      </c>
      <c r="E643" s="2" t="s">
        <v>33</v>
      </c>
      <c r="F643" s="2" t="s">
        <v>15</v>
      </c>
      <c r="G643" s="2" t="s">
        <v>159</v>
      </c>
      <c r="H643" s="2" t="s">
        <v>159</v>
      </c>
      <c r="I643" s="2" t="str">
        <f>IFERROR(__xludf.DUMMYFUNCTION("GOOGLETRANSLATE(C643,""fr"",""en"")"),"Champion insurance of bad faith !!!!!
In dispute with them following a disaster caused by one of their insured and 100% responsible
January accident managed by Groupama still not compensate!
they always miss a document to close the case
We will have t"&amp;"o go through a lawyer
40 euros pants are too expensive for them
And yet insurance is one of those who enrich themselves following the COVVI
I would never go to them
")</f>
        <v>Champion insurance of bad faith !!!!!
In dispute with them following a disaster caused by one of their insured and 100% responsible
January accident managed by Groupama still not compensate!
they always miss a document to close the case
We will have to go through a lawyer
40 euros pants are too expensive for them
And yet insurance is one of those who enrich themselves following the COVVI
I would never go to them
</v>
      </c>
    </row>
    <row r="644" ht="15.75" customHeight="1">
      <c r="A644" s="2">
        <v>3.0</v>
      </c>
      <c r="B644" s="2" t="s">
        <v>1858</v>
      </c>
      <c r="C644" s="2" t="s">
        <v>1859</v>
      </c>
      <c r="D644" s="2" t="s">
        <v>44</v>
      </c>
      <c r="E644" s="2" t="s">
        <v>27</v>
      </c>
      <c r="F644" s="2" t="s">
        <v>15</v>
      </c>
      <c r="G644" s="2" t="s">
        <v>1860</v>
      </c>
      <c r="H644" s="2" t="s">
        <v>111</v>
      </c>
      <c r="I644" s="2" t="str">
        <f>IFERROR(__xludf.DUMMYFUNCTION("GOOGLETRANSLATE(C644,""fr"",""en"")"),"I am satisfied with the website it is fluid and easy to understand.
Not bad to see after subscription I would like to have a person in such
Cordially
Mickaël")</f>
        <v>I am satisfied with the website it is fluid and easy to understand.
Not bad to see after subscription I would like to have a person in such
Cordially
Mickaël</v>
      </c>
    </row>
    <row r="645" ht="15.75" customHeight="1">
      <c r="A645" s="2">
        <v>1.0</v>
      </c>
      <c r="B645" s="2" t="s">
        <v>1861</v>
      </c>
      <c r="C645" s="2" t="s">
        <v>1862</v>
      </c>
      <c r="D645" s="2" t="s">
        <v>148</v>
      </c>
      <c r="E645" s="2" t="s">
        <v>33</v>
      </c>
      <c r="F645" s="2" t="s">
        <v>15</v>
      </c>
      <c r="G645" s="2" t="s">
        <v>114</v>
      </c>
      <c r="H645" s="2" t="s">
        <v>29</v>
      </c>
      <c r="I645" s="2" t="str">
        <f>IFERROR(__xludf.DUMMYFUNCTION("GOOGLETRANSLATE(C645,""fr"",""en"")"),"A good rupture of the Achilles tendon. Insured MAIF for years (25 years) with all possible contracts (confirmed one day by an advisor)… .And no care. An accident in life (rupture of a tendon without a sign before runner) is not taken care of by the accide"&amp;"nt of life accident contract.
FYI, I called the GMF to find out if in my case, I would have been accompanied. Well, yeah ….
I therefore leave MAIF by closing all contracts including life insurance and mortgage loan insurance.
By chatting with friends, "&amp;"I am not the only one to find that Maif has changed…. From solidarity we went to solitaire….")</f>
        <v>A good rupture of the Achilles tendon. Insured MAIF for years (25 years) with all possible contracts (confirmed one day by an advisor)… .And no care. An accident in life (rupture of a tendon without a sign before runner) is not taken care of by the accident of life accident contract.
FYI, I called the GMF to find out if in my case, I would have been accompanied. Well, yeah ….
I therefore leave MAIF by closing all contracts including life insurance and mortgage loan insurance.
By chatting with friends, I am not the only one to find that Maif has changed…. From solidarity we went to solitaire….</v>
      </c>
    </row>
    <row r="646" ht="15.75" customHeight="1">
      <c r="A646" s="2">
        <v>4.0</v>
      </c>
      <c r="B646" s="2" t="s">
        <v>1863</v>
      </c>
      <c r="C646" s="2" t="s">
        <v>1864</v>
      </c>
      <c r="D646" s="2" t="s">
        <v>44</v>
      </c>
      <c r="E646" s="2" t="s">
        <v>27</v>
      </c>
      <c r="F646" s="2" t="s">
        <v>15</v>
      </c>
      <c r="G646" s="2" t="s">
        <v>832</v>
      </c>
      <c r="H646" s="2" t="s">
        <v>29</v>
      </c>
      <c r="I646" s="2" t="str">
        <f>IFERROR(__xludf.DUMMYFUNCTION("GOOGLETRANSLATE(C646,""fr"",""en"")"),"Simple, and fast, practical, good price ...
However, I regret having to enter all the details again for a second vehicle when I already have an account ...")</f>
        <v>Simple, and fast, practical, good price ...
However, I regret having to enter all the details again for a second vehicle when I already have an account ...</v>
      </c>
    </row>
    <row r="647" ht="15.75" customHeight="1">
      <c r="A647" s="2">
        <v>4.0</v>
      </c>
      <c r="B647" s="2" t="s">
        <v>1865</v>
      </c>
      <c r="C647" s="2" t="s">
        <v>1866</v>
      </c>
      <c r="D647" s="2" t="s">
        <v>26</v>
      </c>
      <c r="E647" s="2" t="s">
        <v>27</v>
      </c>
      <c r="F647" s="2" t="s">
        <v>15</v>
      </c>
      <c r="G647" s="2" t="s">
        <v>1867</v>
      </c>
      <c r="H647" s="2" t="s">
        <v>57</v>
      </c>
      <c r="I647" s="2" t="str">
        <f>IFERROR(__xludf.DUMMYFUNCTION("GOOGLETRANSLATE(C647,""fr"",""en"")"),"I am satisfied at the moment, you have been fast and efficient. If the contributions do not increase, next year, I will stay with you!")</f>
        <v>I am satisfied at the moment, you have been fast and efficient. If the contributions do not increase, next year, I will stay with you!</v>
      </c>
    </row>
    <row r="648" ht="15.75" customHeight="1">
      <c r="A648" s="2">
        <v>2.0</v>
      </c>
      <c r="B648" s="2" t="s">
        <v>1868</v>
      </c>
      <c r="C648" s="2" t="s">
        <v>1869</v>
      </c>
      <c r="D648" s="2" t="s">
        <v>84</v>
      </c>
      <c r="E648" s="2" t="s">
        <v>27</v>
      </c>
      <c r="F648" s="2" t="s">
        <v>15</v>
      </c>
      <c r="G648" s="2" t="s">
        <v>1870</v>
      </c>
      <c r="H648" s="2" t="s">
        <v>78</v>
      </c>
      <c r="I648" s="2" t="str">
        <f>IFERROR(__xludf.DUMMYFUNCTION("GOOGLETRANSLATE(C648,""fr"",""en"")"),"I took an AXA auto contract for my new car and I did not receive the green macaroon so I terminate less than 14 days after the signing of the contract. He still asks me for paid")</f>
        <v>I took an AXA auto contract for my new car and I did not receive the green macaroon so I terminate less than 14 days after the signing of the contract. He still asks me for paid</v>
      </c>
    </row>
    <row r="649" ht="15.75" customHeight="1">
      <c r="A649" s="2">
        <v>5.0</v>
      </c>
      <c r="B649" s="2" t="s">
        <v>1871</v>
      </c>
      <c r="C649" s="2" t="s">
        <v>1872</v>
      </c>
      <c r="D649" s="2" t="s">
        <v>204</v>
      </c>
      <c r="E649" s="2" t="s">
        <v>27</v>
      </c>
      <c r="F649" s="2" t="s">
        <v>15</v>
      </c>
      <c r="G649" s="2" t="s">
        <v>57</v>
      </c>
      <c r="H649" s="2" t="s">
        <v>57</v>
      </c>
      <c r="I649" s="2" t="str">
        <f>IFERROR(__xludf.DUMMYFUNCTION("GOOGLETRANSLATE(C649,""fr"",""en"")"),"Ecxellent insurer, I was at the post before and I do not regret having changed for Allianz for a lower price and better protections, at least they have them as a result of the phone, the staff are kind, and the files sinister are treated quickly")</f>
        <v>Ecxellent insurer, I was at the post before and I do not regret having changed for Allianz for a lower price and better protections, at least they have them as a result of the phone, the staff are kind, and the files sinister are treated quickly</v>
      </c>
    </row>
    <row r="650" ht="15.75" customHeight="1">
      <c r="A650" s="2">
        <v>1.0</v>
      </c>
      <c r="B650" s="2" t="s">
        <v>1873</v>
      </c>
      <c r="C650" s="2" t="s">
        <v>1874</v>
      </c>
      <c r="D650" s="2" t="s">
        <v>148</v>
      </c>
      <c r="E650" s="2" t="s">
        <v>27</v>
      </c>
      <c r="F650" s="2" t="s">
        <v>15</v>
      </c>
      <c r="G650" s="2" t="s">
        <v>1444</v>
      </c>
      <c r="H650" s="2" t="s">
        <v>62</v>
      </c>
      <c r="I650" s="2" t="str">
        <f>IFERROR(__xludf.DUMMYFUNCTION("GOOGLETRANSLATE(C650,""fr"",""en"")"),"I have been in Maif for 20 years I have never asked them anything. I lost my keys last week I just wanted to make insurance work. Obviously it is the only insurer who does not reimburse the intervention of a locksmith. It has been 20 years since I heard t"&amp;"hat my RAQVAM contract is it better on the market that I would be wrong to leave. I have the feeling of rolling into the flour that I have been lied to and which presents itself as a mutual in any way I recommend this insurer")</f>
        <v>I have been in Maif for 20 years I have never asked them anything. I lost my keys last week I just wanted to make insurance work. Obviously it is the only insurer who does not reimburse the intervention of a locksmith. It has been 20 years since I heard that my RAQVAM contract is it better on the market that I would be wrong to leave. I have the feeling of rolling into the flour that I have been lied to and which presents itself as a mutual in any way I recommend this insurer</v>
      </c>
    </row>
    <row r="651" ht="15.75" customHeight="1">
      <c r="A651" s="2">
        <v>3.0</v>
      </c>
      <c r="B651" s="2" t="s">
        <v>1875</v>
      </c>
      <c r="C651" s="2" t="s">
        <v>1876</v>
      </c>
      <c r="D651" s="2" t="s">
        <v>44</v>
      </c>
      <c r="E651" s="2" t="s">
        <v>27</v>
      </c>
      <c r="F651" s="2" t="s">
        <v>15</v>
      </c>
      <c r="G651" s="2" t="s">
        <v>705</v>
      </c>
      <c r="H651" s="2" t="s">
        <v>46</v>
      </c>
      <c r="I651" s="2" t="str">
        <f>IFERROR(__xludf.DUMMYFUNCTION("GOOGLETRANSLATE(C651,""fr"",""en"")"),"I am satisfied with the service, simple and quick.
Efficient and fast, thank you.
We know about the rest of the procedures to follow")</f>
        <v>I am satisfied with the service, simple and quick.
Efficient and fast, thank you.
We know about the rest of the procedures to follow</v>
      </c>
    </row>
    <row r="652" ht="15.75" customHeight="1">
      <c r="A652" s="2">
        <v>2.0</v>
      </c>
      <c r="B652" s="2" t="s">
        <v>1877</v>
      </c>
      <c r="C652" s="2" t="s">
        <v>1878</v>
      </c>
      <c r="D652" s="2" t="s">
        <v>44</v>
      </c>
      <c r="E652" s="2" t="s">
        <v>27</v>
      </c>
      <c r="F652" s="2" t="s">
        <v>15</v>
      </c>
      <c r="G652" s="2" t="s">
        <v>1583</v>
      </c>
      <c r="H652" s="2" t="s">
        <v>922</v>
      </c>
      <c r="I652" s="2" t="str">
        <f>IFERROR(__xludf.DUMMYFUNCTION("GOOGLETRANSLATE(C652,""fr"",""en"")"),"Following a claim, Direct Insurance turned me to a partner garage which is definitively closed. I've been trying to call the sinister service for 15 days by the application without result and my emails are not treated. Very angry !!!")</f>
        <v>Following a claim, Direct Insurance turned me to a partner garage which is definitively closed. I've been trying to call the sinister service for 15 days by the application without result and my emails are not treated. Very angry !!!</v>
      </c>
    </row>
    <row r="653" ht="15.75" customHeight="1">
      <c r="A653" s="2">
        <v>1.0</v>
      </c>
      <c r="B653" s="2" t="s">
        <v>1879</v>
      </c>
      <c r="C653" s="2" t="s">
        <v>1880</v>
      </c>
      <c r="D653" s="2" t="s">
        <v>32</v>
      </c>
      <c r="E653" s="2" t="s">
        <v>33</v>
      </c>
      <c r="F653" s="2" t="s">
        <v>15</v>
      </c>
      <c r="G653" s="2" t="s">
        <v>1881</v>
      </c>
      <c r="H653" s="2" t="s">
        <v>230</v>
      </c>
      <c r="I653" s="2" t="str">
        <f>IFERROR(__xludf.DUMMYFUNCTION("GOOGLETRANSLATE(C653,""fr"",""en"")"),"Insured for a few years, house, car (any risk and in more bonus), children (civil). In July, unimportant water damage (power cut due to thunderstorms, stopped refrigerator = water damage). The expert passes and notes that the value my furniture is more im"&amp;"portant than on my contract and that my fair is great therefore one more room on my contract. The Macif tackles the costs but threatens me by mail that the next time I would not be reimbursed because my contract was not correct. With regard to a construct"&amp;"ion, it is obvious that 4 years earlier my furniture has been bought and that the value has therefore increased and when the contract is developed, they require the number of parts and the number of square meters Total house. Second point: my car insured "&amp;"any risk was vandalized in December 2017, all over the left side. I am announced 500 euros in franchise and file a complaint at the police station. Done. Police do it with the car and find that the right side has also been affected. They report it in the "&amp;"minutes. The expert passes, does not take into account the police report. Just notes that the Macif took during my first phone call. That is to say, on the left side point bar! So I paid 500 euros for a scratch on the left front wing, and the two doors on"&amp;" the left side ... They did not even go to the left rear wing. The right side therefore remained scratched ... Third thing: a month ago, my 13 year old son was out of the college while running and to shake up a girl. She dropped her laptop and the latter "&amp;"is broken. I called the Macif immediately. He announces that civil insurance does not take into account this kind of incident because it happened in front of the college and not in it. Very surprised, I ask questions and do not find this normal since each"&amp;" year, the Macif sends school insurance certificates. Well to top it all, they announced to me that I had extra-curricular insurance for my children at 0.70 cents per month per child but that I called the Macif to stop it. I tell them no, they insist. I t"&amp;"herefore ask them for the dates of my ""so -called"" contract. Well, I am so stupid ""in their eyes"" that I took insurance in August 2014 and that I did not renew in 2015 so an office stop. Just for information, my children were born in 2000 and 2004. If"&amp;" I had had to take extra-curricular, I would have taken it in the 1st year of kindergarten from each of my boys. Especially for the airy center, school outings, summer camps. And not at the age of 14 and 10. In addition, according to judgment of 2007, I n"&amp;"ever had my children in August because they are on vacation with their father. So I have something to do in August than call my insurance to take out any contract. In short, I am very disappointed and this week, if all this is not regularized, I change in"&amp;"surer. Have a good day
")</f>
        <v>Insured for a few years, house, car (any risk and in more bonus), children (civil). In July, unimportant water damage (power cut due to thunderstorms, stopped refrigerator = water damage). The expert passes and notes that the value my furniture is more important than on my contract and that my fair is great therefore one more room on my contract. The Macif tackles the costs but threatens me by mail that the next time I would not be reimbursed because my contract was not correct. With regard to a construction, it is obvious that 4 years earlier my furniture has been bought and that the value has therefore increased and when the contract is developed, they require the number of parts and the number of square meters Total house. Second point: my car insured any risk was vandalized in December 2017, all over the left side. I am announced 500 euros in franchise and file a complaint at the police station. Done. Police do it with the car and find that the right side has also been affected. They report it in the minutes. The expert passes, does not take into account the police report. Just notes that the Macif took during my first phone call. That is to say, on the left side point bar! So I paid 500 euros for a scratch on the left front wing, and the two doors on the left side ... They did not even go to the left rear wing. The right side therefore remained scratched ... Third thing: a month ago, my 13 year old son was out of the college while running and to shake up a girl. She dropped her laptop and the latter is broken. I called the Macif immediately. He announces that civil insurance does not take into account this kind of incident because it happened in front of the college and not in it. Very surprised, I ask questions and do not find this normal since each year, the Macif sends school insurance certificates. Well to top it all, they announced to me that I had extra-curricular insurance for my children at 0.70 cents per month per child but that I called the Macif to stop it. I tell them no, they insist. I therefore ask them for the dates of my "so -called" contract. Well, I am so stupid "in their eyes" that I took insurance in August 2014 and that I did not renew in 2015 so an office stop. Just for information, my children were born in 2000 and 2004. If I had had to take extra-curricular, I would have taken it in the 1st year of kindergarten from each of my boys. Especially for the airy center, school outings, summer camps. And not at the age of 14 and 10. In addition, according to judgment of 2007, I never had my children in August because they are on vacation with their father. So I have something to do in August than call my insurance to take out any contract. In short, I am very disappointed and this week, if all this is not regularized, I change insurer. Have a good day
</v>
      </c>
    </row>
    <row r="654" ht="15.75" customHeight="1">
      <c r="A654" s="2">
        <v>3.0</v>
      </c>
      <c r="B654" s="2" t="s">
        <v>1882</v>
      </c>
      <c r="C654" s="2" t="s">
        <v>1883</v>
      </c>
      <c r="D654" s="2" t="s">
        <v>165</v>
      </c>
      <c r="E654" s="2" t="s">
        <v>27</v>
      </c>
      <c r="F654" s="2" t="s">
        <v>15</v>
      </c>
      <c r="G654" s="2" t="s">
        <v>1884</v>
      </c>
      <c r="H654" s="2" t="s">
        <v>767</v>
      </c>
      <c r="I654" s="2" t="str">
        <f>IFERROR(__xludf.DUMMYFUNCTION("GOOGLETRANSLATE(C654,""fr"",""en"")"),"Do not subscribe to this company")</f>
        <v>Do not subscribe to this company</v>
      </c>
    </row>
    <row r="655" ht="15.75" customHeight="1">
      <c r="A655" s="2">
        <v>4.0</v>
      </c>
      <c r="B655" s="2" t="s">
        <v>1885</v>
      </c>
      <c r="C655" s="2" t="s">
        <v>1886</v>
      </c>
      <c r="D655" s="2" t="s">
        <v>44</v>
      </c>
      <c r="E655" s="2" t="s">
        <v>27</v>
      </c>
      <c r="F655" s="2" t="s">
        <v>15</v>
      </c>
      <c r="G655" s="2" t="s">
        <v>444</v>
      </c>
      <c r="H655" s="2" t="s">
        <v>41</v>
      </c>
      <c r="I655" s="2" t="str">
        <f>IFERROR(__xludf.DUMMYFUNCTION("GOOGLETRANSLATE(C655,""fr"",""en"")"),"Satisfied with the service and the price everything is simple and quick no headache we are quickly put into service and no blabla for nothing super happy")</f>
        <v>Satisfied with the service and the price everything is simple and quick no headache we are quickly put into service and no blabla for nothing super happy</v>
      </c>
    </row>
    <row r="656" ht="15.75" customHeight="1">
      <c r="A656" s="2">
        <v>4.0</v>
      </c>
      <c r="B656" s="2" t="s">
        <v>1887</v>
      </c>
      <c r="C656" s="2" t="s">
        <v>1888</v>
      </c>
      <c r="D656" s="2" t="s">
        <v>44</v>
      </c>
      <c r="E656" s="2" t="s">
        <v>27</v>
      </c>
      <c r="F656" s="2" t="s">
        <v>15</v>
      </c>
      <c r="G656" s="2" t="s">
        <v>1889</v>
      </c>
      <c r="H656" s="2" t="s">
        <v>23</v>
      </c>
      <c r="I656" s="2" t="str">
        <f>IFERROR(__xludf.DUMMYFUNCTION("GOOGLETRANSLATE(C656,""fr"",""en"")"),"To give the information it is very long to fill out but it is quite simple towards the end and the price is interesting thank you very cordially")</f>
        <v>To give the information it is very long to fill out but it is quite simple towards the end and the price is interesting thank you very cordially</v>
      </c>
    </row>
    <row r="657" ht="15.75" customHeight="1">
      <c r="A657" s="2">
        <v>2.0</v>
      </c>
      <c r="B657" s="2" t="s">
        <v>1890</v>
      </c>
      <c r="C657" s="2" t="s">
        <v>1891</v>
      </c>
      <c r="D657" s="2" t="s">
        <v>26</v>
      </c>
      <c r="E657" s="2" t="s">
        <v>27</v>
      </c>
      <c r="F657" s="2" t="s">
        <v>15</v>
      </c>
      <c r="G657" s="2" t="s">
        <v>853</v>
      </c>
      <c r="H657" s="2" t="s">
        <v>23</v>
      </c>
      <c r="I657" s="2" t="str">
        <f>IFERROR(__xludf.DUMMYFUNCTION("GOOGLETRANSLATE(C657,""fr"",""en"")"),"Good service good person but the price too raising for a sort but not the choice if the price would be less student I advise you but near")</f>
        <v>Good service good person but the price too raising for a sort but not the choice if the price would be less student I advise you but near</v>
      </c>
    </row>
    <row r="658" ht="15.75" customHeight="1">
      <c r="A658" s="2">
        <v>1.0</v>
      </c>
      <c r="B658" s="2" t="s">
        <v>1892</v>
      </c>
      <c r="C658" s="2" t="s">
        <v>1893</v>
      </c>
      <c r="D658" s="2" t="s">
        <v>44</v>
      </c>
      <c r="E658" s="2" t="s">
        <v>27</v>
      </c>
      <c r="F658" s="2" t="s">
        <v>15</v>
      </c>
      <c r="G658" s="2" t="s">
        <v>1217</v>
      </c>
      <c r="H658" s="2" t="s">
        <v>41</v>
      </c>
      <c r="I658" s="2" t="str">
        <f>IFERROR(__xludf.DUMMYFUNCTION("GOOGLETRANSLATE(C658,""fr"",""en"")"),"Direct Insurance is not attentive or at the service of its customers. You have to do the work of Direct Insurance to be compensated for your rights.
No help to resolve a disaster, the answer is: it is the insurance code/")</f>
        <v>Direct Insurance is not attentive or at the service of its customers. You have to do the work of Direct Insurance to be compensated for your rights.
No help to resolve a disaster, the answer is: it is the insurance code/</v>
      </c>
    </row>
    <row r="659" ht="15.75" customHeight="1">
      <c r="A659" s="2">
        <v>4.0</v>
      </c>
      <c r="B659" s="2" t="s">
        <v>1894</v>
      </c>
      <c r="C659" s="2" t="s">
        <v>1895</v>
      </c>
      <c r="D659" s="2" t="s">
        <v>117</v>
      </c>
      <c r="E659" s="2" t="s">
        <v>33</v>
      </c>
      <c r="F659" s="2" t="s">
        <v>15</v>
      </c>
      <c r="G659" s="2" t="s">
        <v>1896</v>
      </c>
      <c r="H659" s="2" t="s">
        <v>372</v>
      </c>
      <c r="I659" s="2" t="str">
        <f>IFERROR(__xludf.DUMMYFUNCTION("GOOGLETRANSLATE(C659,""fr"",""en"")"),"No disappointment high -end service listening to the top I had a disaster and I received the transfer the next day")</f>
        <v>No disappointment high -end service listening to the top I had a disaster and I received the transfer the next day</v>
      </c>
    </row>
    <row r="660" ht="15.75" customHeight="1">
      <c r="A660" s="2">
        <v>1.0</v>
      </c>
      <c r="B660" s="2" t="s">
        <v>1897</v>
      </c>
      <c r="C660" s="2" t="s">
        <v>1898</v>
      </c>
      <c r="D660" s="2" t="s">
        <v>55</v>
      </c>
      <c r="E660" s="2" t="s">
        <v>14</v>
      </c>
      <c r="F660" s="2" t="s">
        <v>15</v>
      </c>
      <c r="G660" s="2" t="s">
        <v>774</v>
      </c>
      <c r="H660" s="2" t="s">
        <v>23</v>
      </c>
      <c r="I660" s="2" t="str">
        <f>IFERROR(__xludf.DUMMYFUNCTION("GOOGLETRANSLATE(C660,""fr"",""en"")"),"The reimbursements are very very long either they did not receive the documents for the reimbursements? Their tactics are which have no document on the reimbursement requested so either the dismissals or by the post or by internet even in recommended with"&amp;" AR they will be able to tell you that they do not have the social security documents reimburses fairly quickly (48 hours) But they are 48 days to see more and still I wonder if they reimburse only once a month ??? I have only one desire is to leave this "&amp;"mutual unfortunately I am obliged to wait for the end of the first year of the contract. Leu benefit must be important !!!!! On the back of customers")</f>
        <v>The reimbursements are very very long either they did not receive the documents for the reimbursements? Their tactics are which have no document on the reimbursement requested so either the dismissals or by the post or by internet even in recommended with AR they will be able to tell you that they do not have the social security documents reimburses fairly quickly (48 hours) But they are 48 days to see more and still I wonder if they reimburse only once a month ??? I have only one desire is to leave this mutual unfortunately I am obliged to wait for the end of the first year of the contract. Leu benefit must be important !!!!! On the back of customers</v>
      </c>
    </row>
    <row r="661" ht="15.75" customHeight="1">
      <c r="A661" s="2">
        <v>1.0</v>
      </c>
      <c r="B661" s="2" t="s">
        <v>1899</v>
      </c>
      <c r="C661" s="2" t="s">
        <v>1900</v>
      </c>
      <c r="D661" s="2" t="s">
        <v>204</v>
      </c>
      <c r="E661" s="2" t="s">
        <v>27</v>
      </c>
      <c r="F661" s="2" t="s">
        <v>15</v>
      </c>
      <c r="G661" s="2" t="s">
        <v>1901</v>
      </c>
      <c r="H661" s="2" t="s">
        <v>448</v>
      </c>
      <c r="I661" s="2" t="str">
        <f>IFERROR(__xludf.DUMMYFUNCTION("GOOGLETRANSLATE(C661,""fr"",""en"")"),"I had my first contract with Allianz for a change of car on 06/26/2014! The first year the service was correct the second year my price increased during my request for information replied that this was normal! Everything slipped from the moment I was the "&amp;"victim of two shocks on my parking vehicle whose Second or there was aquatre vehicle in question! So I was not responsible for this arriving for me a 31/12/2016 at 8:30 am therefore Towed vehicle! Declared irreparable economically! So slowness to be compe"&amp;"nsated despite having followed the Allianz protocol for partner garage! So I replace the vehicle on 01/17/2017 so a contract endorsement with new price since I take care of an individual garage for security and three months after Allianz makes me an amend"&amp;"ment of contract without warning it with an increase in tariff 262 euros for the year without increasing the guarantee! So having not been able to have an answer from them that this is at the level of the general agent that of Customer Service Allianz in "&amp;"Paris do not respond to emails and or by postal post! So according to the Hamon law I terminated my contract! I have never encountered a communication difficulty with an insurer in 27 years of insurance!")</f>
        <v>I had my first contract with Allianz for a change of car on 06/26/2014! The first year the service was correct the second year my price increased during my request for information replied that this was normal! Everything slipped from the moment I was the victim of two shocks on my parking vehicle whose Second or there was aquatre vehicle in question! So I was not responsible for this arriving for me a 31/12/2016 at 8:30 am therefore Towed vehicle! Declared irreparable economically! So slowness to be compensated despite having followed the Allianz protocol for partner garage! So I replace the vehicle on 01/17/2017 so a contract endorsement with new price since I take care of an individual garage for security and three months after Allianz makes me an amendment of contract without warning it with an increase in tariff 262 euros for the year without increasing the guarantee! So having not been able to have an answer from them that this is at the level of the general agent that of Customer Service Allianz in Paris do not respond to emails and or by postal post! So according to the Hamon law I terminated my contract! I have never encountered a communication difficulty with an insurer in 27 years of insurance!</v>
      </c>
    </row>
    <row r="662" ht="15.75" customHeight="1">
      <c r="A662" s="2">
        <v>5.0</v>
      </c>
      <c r="B662" s="2" t="s">
        <v>1902</v>
      </c>
      <c r="C662" s="2" t="s">
        <v>1903</v>
      </c>
      <c r="D662" s="2" t="s">
        <v>55</v>
      </c>
      <c r="E662" s="2" t="s">
        <v>14</v>
      </c>
      <c r="F662" s="2" t="s">
        <v>15</v>
      </c>
      <c r="G662" s="2" t="s">
        <v>565</v>
      </c>
      <c r="H662" s="2" t="s">
        <v>177</v>
      </c>
      <c r="I662" s="2" t="str">
        <f>IFERROR(__xludf.DUMMYFUNCTION("GOOGLETRANSLATE(C662,""fr"",""en"")"),"The steps to take out this insurance was fully done by phone and email. A technological service at the cutting edge and a very appreciable responsiveness from the various services concerned. I send my requests by email and at the same time I call my regul"&amp;"ar advice which confirms the reception of email and that I will have an answer in 2 days And it is always the case well done and thank you!")</f>
        <v>The steps to take out this insurance was fully done by phone and email. A technological service at the cutting edge and a very appreciable responsiveness from the various services concerned. I send my requests by email and at the same time I call my regular advice which confirms the reception of email and that I will have an answer in 2 days And it is always the case well done and thank you!</v>
      </c>
    </row>
    <row r="663" ht="15.75" customHeight="1">
      <c r="A663" s="2">
        <v>5.0</v>
      </c>
      <c r="B663" s="2" t="s">
        <v>1904</v>
      </c>
      <c r="C663" s="2" t="s">
        <v>1905</v>
      </c>
      <c r="D663" s="2" t="s">
        <v>55</v>
      </c>
      <c r="E663" s="2" t="s">
        <v>14</v>
      </c>
      <c r="F663" s="2" t="s">
        <v>15</v>
      </c>
      <c r="G663" s="2" t="s">
        <v>1906</v>
      </c>
      <c r="H663" s="2" t="s">
        <v>234</v>
      </c>
      <c r="I663" s="2" t="str">
        <f>IFERROR(__xludf.DUMMYFUNCTION("GOOGLETRANSLATE(C663,""fr"",""en"")"),"Very surprised with lactius and really satisfied for the moment a lady advised me a formula that I did not know and I am fine")</f>
        <v>Very surprised with lactius and really satisfied for the moment a lady advised me a formula that I did not know and I am fine</v>
      </c>
    </row>
    <row r="664" ht="15.75" customHeight="1">
      <c r="A664" s="2">
        <v>5.0</v>
      </c>
      <c r="B664" s="2" t="s">
        <v>1907</v>
      </c>
      <c r="C664" s="2" t="s">
        <v>1908</v>
      </c>
      <c r="D664" s="2" t="s">
        <v>26</v>
      </c>
      <c r="E664" s="2" t="s">
        <v>27</v>
      </c>
      <c r="F664" s="2" t="s">
        <v>15</v>
      </c>
      <c r="G664" s="2" t="s">
        <v>774</v>
      </c>
      <c r="H664" s="2" t="s">
        <v>23</v>
      </c>
      <c r="I664" s="2" t="str">
        <f>IFERROR(__xludf.DUMMYFUNCTION("GOOGLETRANSLATE(C664,""fr"",""en"")"),"Satisfied with insurance and prices, very good communications with my interlocutor, this is my second contract and I think that the next vehicles will be insured at the Olivier Insurance")</f>
        <v>Satisfied with insurance and prices, very good communications with my interlocutor, this is my second contract and I think that the next vehicles will be insured at the Olivier Insurance</v>
      </c>
    </row>
    <row r="665" ht="15.75" customHeight="1">
      <c r="A665" s="2">
        <v>5.0</v>
      </c>
      <c r="B665" s="2" t="s">
        <v>1909</v>
      </c>
      <c r="C665" s="2" t="s">
        <v>1910</v>
      </c>
      <c r="D665" s="2" t="s">
        <v>26</v>
      </c>
      <c r="E665" s="2" t="s">
        <v>27</v>
      </c>
      <c r="F665" s="2" t="s">
        <v>15</v>
      </c>
      <c r="G665" s="2" t="s">
        <v>62</v>
      </c>
      <c r="H665" s="2" t="s">
        <v>62</v>
      </c>
      <c r="I665" s="2" t="str">
        <f>IFERROR(__xludf.DUMMYFUNCTION("GOOGLETRANSLATE(C665,""fr"",""en"")"),"Simple, fast, I think I received good advice while listening to my husband who insisted that I contact you. It remains to complete the latest documents.")</f>
        <v>Simple, fast, I think I received good advice while listening to my husband who insisted that I contact you. It remains to complete the latest documents.</v>
      </c>
    </row>
    <row r="666" ht="15.75" customHeight="1">
      <c r="A666" s="2">
        <v>3.0</v>
      </c>
      <c r="B666" s="2" t="s">
        <v>1911</v>
      </c>
      <c r="C666" s="2" t="s">
        <v>1912</v>
      </c>
      <c r="D666" s="2" t="s">
        <v>44</v>
      </c>
      <c r="E666" s="2" t="s">
        <v>27</v>
      </c>
      <c r="F666" s="2" t="s">
        <v>15</v>
      </c>
      <c r="G666" s="2" t="s">
        <v>138</v>
      </c>
      <c r="H666" s="2" t="s">
        <v>46</v>
      </c>
      <c r="I666" s="2" t="str">
        <f>IFERROR(__xludf.DUMMYFUNCTION("GOOGLETRANSLATE(C666,""fr"",""en"")"),"1st adhesion .. awaiting info on monthly payment. After long waiting phone, abandonment, therefore desktop advice to see later.")</f>
        <v>1st adhesion .. awaiting info on monthly payment. After long waiting phone, abandonment, therefore desktop advice to see later.</v>
      </c>
    </row>
    <row r="667" ht="15.75" customHeight="1">
      <c r="A667" s="2">
        <v>5.0</v>
      </c>
      <c r="B667" s="2" t="s">
        <v>1913</v>
      </c>
      <c r="C667" s="2" t="s">
        <v>1914</v>
      </c>
      <c r="D667" s="2" t="s">
        <v>44</v>
      </c>
      <c r="E667" s="2" t="s">
        <v>27</v>
      </c>
      <c r="F667" s="2" t="s">
        <v>15</v>
      </c>
      <c r="G667" s="2" t="s">
        <v>81</v>
      </c>
      <c r="H667" s="2" t="s">
        <v>29</v>
      </c>
      <c r="I667" s="2" t="str">
        <f>IFERROR(__xludf.DUMMYFUNCTION("GOOGLETRANSLATE(C667,""fr"",""en"")"),"Satisfied with second contract at Direct Insurance
Satisfied with second contract at Direct Insurance
Satisfied with second contract at Direct Insurance
")</f>
        <v>Satisfied with second contract at Direct Insurance
Satisfied with second contract at Direct Insurance
Satisfied with second contract at Direct Insurance
</v>
      </c>
    </row>
    <row r="668" ht="15.75" customHeight="1">
      <c r="A668" s="2">
        <v>4.0</v>
      </c>
      <c r="B668" s="2" t="s">
        <v>1915</v>
      </c>
      <c r="C668" s="2" t="s">
        <v>1916</v>
      </c>
      <c r="D668" s="2" t="s">
        <v>26</v>
      </c>
      <c r="E668" s="2" t="s">
        <v>27</v>
      </c>
      <c r="F668" s="2" t="s">
        <v>15</v>
      </c>
      <c r="G668" s="2" t="s">
        <v>385</v>
      </c>
      <c r="H668" s="2" t="s">
        <v>29</v>
      </c>
      <c r="I668" s="2" t="str">
        <f>IFERROR(__xludf.DUMMYFUNCTION("GOOGLETRANSLATE(C668,""fr"",""en"")"),"Advisor to the top!
Understandable, listening, and despite my penalty that takes the time to take stock of the file.
Thank you !")</f>
        <v>Advisor to the top!
Understandable, listening, and despite my penalty that takes the time to take stock of the file.
Thank you !</v>
      </c>
    </row>
    <row r="669" ht="15.75" customHeight="1">
      <c r="A669" s="2">
        <v>5.0</v>
      </c>
      <c r="B669" s="2" t="s">
        <v>1917</v>
      </c>
      <c r="C669" s="2" t="s">
        <v>1918</v>
      </c>
      <c r="D669" s="2" t="s">
        <v>26</v>
      </c>
      <c r="E669" s="2" t="s">
        <v>27</v>
      </c>
      <c r="F669" s="2" t="s">
        <v>15</v>
      </c>
      <c r="G669" s="2" t="s">
        <v>745</v>
      </c>
      <c r="H669" s="2" t="s">
        <v>23</v>
      </c>
      <c r="I669" s="2" t="str">
        <f>IFERROR(__xludf.DUMMYFUNCTION("GOOGLETRANSLATE(C669,""fr"",""en"")"),"Satisfied with the service, attractive prices especially for a new permit. Available and conscientious customer service. Speed ​​of creating the contract and good advice")</f>
        <v>Satisfied with the service, attractive prices especially for a new permit. Available and conscientious customer service. Speed ​​of creating the contract and good advice</v>
      </c>
    </row>
    <row r="670" ht="15.75" customHeight="1">
      <c r="A670" s="2">
        <v>2.0</v>
      </c>
      <c r="B670" s="2" t="s">
        <v>1919</v>
      </c>
      <c r="C670" s="2" t="s">
        <v>1920</v>
      </c>
      <c r="D670" s="2" t="s">
        <v>32</v>
      </c>
      <c r="E670" s="2" t="s">
        <v>33</v>
      </c>
      <c r="F670" s="2" t="s">
        <v>15</v>
      </c>
      <c r="G670" s="2" t="s">
        <v>1921</v>
      </c>
      <c r="H670" s="2" t="s">
        <v>301</v>
      </c>
      <c r="I670" s="2" t="str">
        <f>IFERROR(__xludf.DUMMYFUNCTION("GOOGLETRANSLATE(C670,""fr"",""en"")"),"Following the passage of an expert, insurance requires a corridor as a living room. The Macif cites the insurance code, which indicates that it does not take into account the furniture to define a main room, but the Macif retains that there are furniture "&amp;"to change its nature. The customer advisor to whom I indicate that occasionally we eat in this room blame me for playing on the words !!")</f>
        <v>Following the passage of an expert, insurance requires a corridor as a living room. The Macif cites the insurance code, which indicates that it does not take into account the furniture to define a main room, but the Macif retains that there are furniture to change its nature. The customer advisor to whom I indicate that occasionally we eat in this room blame me for playing on the words !!</v>
      </c>
    </row>
    <row r="671" ht="15.75" customHeight="1">
      <c r="A671" s="2">
        <v>1.0</v>
      </c>
      <c r="B671" s="2" t="s">
        <v>1922</v>
      </c>
      <c r="C671" s="2" t="s">
        <v>1923</v>
      </c>
      <c r="D671" s="2" t="s">
        <v>141</v>
      </c>
      <c r="E671" s="2" t="s">
        <v>27</v>
      </c>
      <c r="F671" s="2" t="s">
        <v>15</v>
      </c>
      <c r="G671" s="2" t="s">
        <v>1924</v>
      </c>
      <c r="H671" s="2" t="s">
        <v>41</v>
      </c>
      <c r="I671" s="2" t="str">
        <f>IFERROR(__xludf.DUMMYFUNCTION("GOOGLETRANSLATE(C671,""fr"",""en"")"),"I have been assured for my vehicle for 42 years immediately after having had my driving license I benefited from the ""good driver"" bonus conditions at 50 very few claims in 42 years and there, bad luck my vehicle looted from its optics Rear in the staff"&amp;" parking lot of my workplace either the CHU in order to avoid reset to vandalize my vehicle I parked it in a less visible place in this parking lot and therefore less easily accessible by bad luck J 'I hit a pillar to maneuver as well as possible therefor"&amp;"e actually two close claims of victim of vandalism, I find myself guilty in the eyes of my insurer. The MAAF does not renew my insurance contract for 2022 I am scandalized .... even the director of the local agency of the Maaf finds this sanction too seve"&amp;"re and supposedly ""irrevocable"" ... I have a deep feeling injustice and maliciousness on the part of the maaf is scandalous
Their files do not take into account the reason of the claims or does not smoothing the frequency of claims on the longevity of "&amp;"the contracts and no difference is made between a large road offender and a serious driver.")</f>
        <v>I have been assured for my vehicle for 42 years immediately after having had my driving license I benefited from the "good driver" bonus conditions at 50 very few claims in 42 years and there, bad luck my vehicle looted from its optics Rear in the staff parking lot of my workplace either the CHU in order to avoid reset to vandalize my vehicle I parked it in a less visible place in this parking lot and therefore less easily accessible by bad luck J 'I hit a pillar to maneuver as well as possible therefore actually two close claims of victim of vandalism, I find myself guilty in the eyes of my insurer. The MAAF does not renew my insurance contract for 2022 I am scandalized .... even the director of the local agency of the Maaf finds this sanction too severe and supposedly "irrevocable" ... I have a deep feeling injustice and maliciousness on the part of the maaf is scandalous
Their files do not take into account the reason of the claims or does not smoothing the frequency of claims on the longevity of the contracts and no difference is made between a large road offender and a serious driver.</v>
      </c>
    </row>
    <row r="672" ht="15.75" customHeight="1">
      <c r="A672" s="2">
        <v>3.0</v>
      </c>
      <c r="B672" s="2" t="s">
        <v>1925</v>
      </c>
      <c r="C672" s="2" t="s">
        <v>1926</v>
      </c>
      <c r="D672" s="2" t="s">
        <v>44</v>
      </c>
      <c r="E672" s="2" t="s">
        <v>27</v>
      </c>
      <c r="F672" s="2" t="s">
        <v>15</v>
      </c>
      <c r="G672" s="2" t="s">
        <v>671</v>
      </c>
      <c r="H672" s="2" t="s">
        <v>41</v>
      </c>
      <c r="I672" s="2" t="str">
        <f>IFERROR(__xludf.DUMMYFUNCTION("GOOGLETRANSLATE(C672,""fr"",""en"")"),"Satisfied with the service but insurance has increased again this year when I had no accident.
Otherwise nothing to report on your services.")</f>
        <v>Satisfied with the service but insurance has increased again this year when I had no accident.
Otherwise nothing to report on your services.</v>
      </c>
    </row>
    <row r="673" ht="15.75" customHeight="1">
      <c r="A673" s="2">
        <v>3.0</v>
      </c>
      <c r="B673" s="2" t="s">
        <v>1927</v>
      </c>
      <c r="C673" s="2" t="s">
        <v>1928</v>
      </c>
      <c r="D673" s="2" t="s">
        <v>44</v>
      </c>
      <c r="E673" s="2" t="s">
        <v>27</v>
      </c>
      <c r="F673" s="2" t="s">
        <v>15</v>
      </c>
      <c r="G673" s="2" t="s">
        <v>1867</v>
      </c>
      <c r="H673" s="2" t="s">
        <v>57</v>
      </c>
      <c r="I673" s="2" t="str">
        <f>IFERROR(__xludf.DUMMYFUNCTION("GOOGLETRANSLATE(C673,""fr"",""en"")"),"Ras
I have not needed your service for now, so I will give a more specific opinion if necessary, if I am satisfied or dissatisfied. I find it a shame that for a change of address we have to find the references of the bank account again. What interest ?")</f>
        <v>Ras
I have not needed your service for now, so I will give a more specific opinion if necessary, if I am satisfied or dissatisfied. I find it a shame that for a change of address we have to find the references of the bank account again. What interest ?</v>
      </c>
    </row>
    <row r="674" ht="15.75" customHeight="1">
      <c r="A674" s="2">
        <v>3.0</v>
      </c>
      <c r="B674" s="2" t="s">
        <v>1929</v>
      </c>
      <c r="C674" s="2" t="s">
        <v>1930</v>
      </c>
      <c r="D674" s="2" t="s">
        <v>134</v>
      </c>
      <c r="E674" s="2" t="s">
        <v>27</v>
      </c>
      <c r="F674" s="2" t="s">
        <v>15</v>
      </c>
      <c r="G674" s="2" t="s">
        <v>1931</v>
      </c>
      <c r="H674" s="2" t="s">
        <v>320</v>
      </c>
      <c r="I674" s="2" t="str">
        <f>IFERROR(__xludf.DUMMYFUNCTION("GOOGLETRANSLATE(C674,""fr"",""en"")"),"Half a dozen contracts for more than 10 years. A responsible hanging with a few hundred euros in body fees. Result the GMF increases my annual auto contribution of € 800?! What is the interest of insurance in this case? I go to competition with auto, hous"&amp;"e, accident/families, etc. contracts and discourage my loved ones from staying at home. In short, a few thousand euros less for them thanks to their pitiful policy")</f>
        <v>Half a dozen contracts for more than 10 years. A responsible hanging with a few hundred euros in body fees. Result the GMF increases my annual auto contribution of € 800?! What is the interest of insurance in this case? I go to competition with auto, house, accident/families, etc. contracts and discourage my loved ones from staying at home. In short, a few thousand euros less for them thanks to their pitiful policy</v>
      </c>
    </row>
    <row r="675" ht="15.75" customHeight="1">
      <c r="A675" s="2">
        <v>5.0</v>
      </c>
      <c r="B675" s="2" t="s">
        <v>1932</v>
      </c>
      <c r="C675" s="2" t="s">
        <v>1933</v>
      </c>
      <c r="D675" s="2" t="s">
        <v>44</v>
      </c>
      <c r="E675" s="2" t="s">
        <v>27</v>
      </c>
      <c r="F675" s="2" t="s">
        <v>15</v>
      </c>
      <c r="G675" s="2" t="s">
        <v>297</v>
      </c>
      <c r="H675" s="2" t="s">
        <v>46</v>
      </c>
      <c r="I675" s="2" t="str">
        <f>IFERROR(__xludf.DUMMYFUNCTION("GOOGLETRANSLATE(C675,""fr"",""en"")"),"Satisfied the price is top I compared with my old insurance and there are 200 euros difference with my old car, and on the new 100 euro difference on quotes, the guarantee is a little higher in the other insurance But the price is the most important")</f>
        <v>Satisfied the price is top I compared with my old insurance and there are 200 euros difference with my old car, and on the new 100 euro difference on quotes, the guarantee is a little higher in the other insurance But the price is the most important</v>
      </c>
    </row>
    <row r="676" ht="15.75" customHeight="1">
      <c r="A676" s="2">
        <v>1.0</v>
      </c>
      <c r="B676" s="2" t="s">
        <v>1934</v>
      </c>
      <c r="C676" s="2" t="s">
        <v>1935</v>
      </c>
      <c r="D676" s="2" t="s">
        <v>540</v>
      </c>
      <c r="E676" s="2" t="s">
        <v>14</v>
      </c>
      <c r="F676" s="2" t="s">
        <v>15</v>
      </c>
      <c r="G676" s="2" t="s">
        <v>187</v>
      </c>
      <c r="H676" s="2" t="s">
        <v>159</v>
      </c>
      <c r="I676" s="2" t="str">
        <f>IFERROR(__xludf.DUMMYFUNCTION("GOOGLETRANSLATE(C676,""fr"",""en"")"),"I think I am paying very dearly for my mutual insurance company with the other with the same benefits except that the death capital for the benefit of my family.
As an option, it would be very desirable to include much healthier comfort drugs for health."&amp;" It is I believe the minimum that I can ask you given the large amount paid each month.")</f>
        <v>I think I am paying very dearly for my mutual insurance company with the other with the same benefits except that the death capital for the benefit of my family.
As an option, it would be very desirable to include much healthier comfort drugs for health. It is I believe the minimum that I can ask you given the large amount paid each month.</v>
      </c>
    </row>
    <row r="677" ht="15.75" customHeight="1">
      <c r="A677" s="2">
        <v>1.0</v>
      </c>
      <c r="B677" s="2" t="s">
        <v>1936</v>
      </c>
      <c r="C677" s="2" t="s">
        <v>1937</v>
      </c>
      <c r="D677" s="2" t="s">
        <v>100</v>
      </c>
      <c r="E677" s="2" t="s">
        <v>14</v>
      </c>
      <c r="F677" s="2" t="s">
        <v>15</v>
      </c>
      <c r="G677" s="2" t="s">
        <v>850</v>
      </c>
      <c r="H677" s="2" t="s">
        <v>278</v>
      </c>
      <c r="I677" s="2" t="str">
        <f>IFERROR(__xludf.DUMMYFUNCTION("GOOGLETRANSLATE(C677,""fr"",""en"")"),"To flee one of the worst health mutual health that exists.
Viassant only reimburses when they are small amounts.
No serious except for samples.
Dear for nothing.
If you read me I do not recommend it very much not to take a mutual.
")</f>
        <v>To flee one of the worst health mutual health that exists.
Viassant only reimburses when they are small amounts.
No serious except for samples.
Dear for nothing.
If you read me I do not recommend it very much not to take a mutual.
</v>
      </c>
    </row>
    <row r="678" ht="15.75" customHeight="1">
      <c r="A678" s="2">
        <v>3.0</v>
      </c>
      <c r="B678" s="2" t="s">
        <v>1938</v>
      </c>
      <c r="C678" s="2" t="s">
        <v>1939</v>
      </c>
      <c r="D678" s="2" t="s">
        <v>1275</v>
      </c>
      <c r="E678" s="2" t="s">
        <v>76</v>
      </c>
      <c r="F678" s="2" t="s">
        <v>15</v>
      </c>
      <c r="G678" s="2" t="s">
        <v>1940</v>
      </c>
      <c r="H678" s="2" t="s">
        <v>554</v>
      </c>
      <c r="I678" s="2" t="str">
        <f>IFERROR(__xludf.DUMMYFUNCTION("GOOGLETRANSLATE(C678,""fr"",""en"")"),"Hello really an insurance to advise against a foresight taken at August 1, 2018 with a deficiency of 3 months now as in all insurance, but to date I am refused any compensation for a word game because I have consulted The specialist in October 2018 and th"&amp;"is was in the 3 months of deficiency. So no planned operation but in May 2019 I have to be operated on and I am refused compensation because I have consulted in the first 3 months. Watching all his comments before this would have determined my choice towa"&amp;"rds a pension. What regret !!! strongly the anniversary date.")</f>
        <v>Hello really an insurance to advise against a foresight taken at August 1, 2018 with a deficiency of 3 months now as in all insurance, but to date I am refused any compensation for a word game because I have consulted The specialist in October 2018 and this was in the 3 months of deficiency. So no planned operation but in May 2019 I have to be operated on and I am refused compensation because I have consulted in the first 3 months. Watching all his comments before this would have determined my choice towards a pension. What regret !!! strongly the anniversary date.</v>
      </c>
    </row>
    <row r="679" ht="15.75" customHeight="1">
      <c r="A679" s="2">
        <v>3.0</v>
      </c>
      <c r="B679" s="2" t="s">
        <v>1941</v>
      </c>
      <c r="C679" s="2" t="s">
        <v>1942</v>
      </c>
      <c r="D679" s="2" t="s">
        <v>44</v>
      </c>
      <c r="E679" s="2" t="s">
        <v>27</v>
      </c>
      <c r="F679" s="2" t="s">
        <v>15</v>
      </c>
      <c r="G679" s="2" t="s">
        <v>297</v>
      </c>
      <c r="H679" s="2" t="s">
        <v>46</v>
      </c>
      <c r="I679" s="2" t="str">
        <f>IFERROR(__xludf.DUMMYFUNCTION("GOOGLETRANSLATE(C679,""fr"",""en"")"),"I am satisfied, I recommend your application to my loved ones it is very well done and very didactic
I recommend you for a future contract or renewal")</f>
        <v>I am satisfied, I recommend your application to my loved ones it is very well done and very didactic
I recommend you for a future contract or renewal</v>
      </c>
    </row>
    <row r="680" ht="15.75" customHeight="1">
      <c r="A680" s="2">
        <v>1.0</v>
      </c>
      <c r="B680" s="2" t="s">
        <v>1943</v>
      </c>
      <c r="C680" s="2" t="s">
        <v>1944</v>
      </c>
      <c r="D680" s="2" t="s">
        <v>1356</v>
      </c>
      <c r="E680" s="2" t="s">
        <v>460</v>
      </c>
      <c r="F680" s="2" t="s">
        <v>15</v>
      </c>
      <c r="G680" s="2" t="s">
        <v>1945</v>
      </c>
      <c r="H680" s="2" t="s">
        <v>94</v>
      </c>
      <c r="I680" s="2" t="str">
        <f>IFERROR(__xludf.DUMMYFUNCTION("GOOGLETRANSLATE(C680,""fr"",""en"")"),"Following the death of my father and the request for supporting documents at 30/09 it was necessary to restart them for the sending of the supporting documents to be provided. The complete file was shipped on 09/30 in AR, non -payment of life insurance ca"&amp;"pital within the legal period of 1 month at 2/12. We go through our consumer defense association the CLCV with sending a letter on 6/12. Here are the articles of law of the insurance code which apply within the framework of life insurance: Art L132-23-1 I"&amp;"nsurance code +Eckert L132-5 law. Legal 6.52 for 2 months, then in triple ... if not paid within the deadlines and capital produces interest from the date of death.")</f>
        <v>Following the death of my father and the request for supporting documents at 30/09 it was necessary to restart them for the sending of the supporting documents to be provided. The complete file was shipped on 09/30 in AR, non -payment of life insurance capital within the legal period of 1 month at 2/12. We go through our consumer defense association the CLCV with sending a letter on 6/12. Here are the articles of law of the insurance code which apply within the framework of life insurance: Art L132-23-1 Insurance code +Eckert L132-5 law. Legal 6.52 for 2 months, then in triple ... if not paid within the deadlines and capital produces interest from the date of death.</v>
      </c>
    </row>
    <row r="681" ht="15.75" customHeight="1">
      <c r="A681" s="2">
        <v>1.0</v>
      </c>
      <c r="B681" s="2" t="s">
        <v>1946</v>
      </c>
      <c r="C681" s="2" t="s">
        <v>1947</v>
      </c>
      <c r="D681" s="2" t="s">
        <v>1948</v>
      </c>
      <c r="E681" s="2" t="s">
        <v>39</v>
      </c>
      <c r="F681" s="2" t="s">
        <v>15</v>
      </c>
      <c r="G681" s="2" t="s">
        <v>892</v>
      </c>
      <c r="H681" s="2" t="s">
        <v>86</v>
      </c>
      <c r="I681" s="2" t="str">
        <f>IFERROR(__xludf.DUMMYFUNCTION("GOOGLETRANSLATE(C681,""fr"",""en"")"),"1 year of contribution paid too much because they do not take into account the transfer certificate ... inadmissible ... We will not take up anymore !! To flee. I do not recommend at all")</f>
        <v>1 year of contribution paid too much because they do not take into account the transfer certificate ... inadmissible ... We will not take up anymore !! To flee. I do not recommend at all</v>
      </c>
    </row>
    <row r="682" ht="15.75" customHeight="1">
      <c r="A682" s="2">
        <v>4.0</v>
      </c>
      <c r="B682" s="2" t="s">
        <v>1949</v>
      </c>
      <c r="C682" s="2" t="s">
        <v>1950</v>
      </c>
      <c r="D682" s="2" t="s">
        <v>55</v>
      </c>
      <c r="E682" s="2" t="s">
        <v>14</v>
      </c>
      <c r="F682" s="2" t="s">
        <v>15</v>
      </c>
      <c r="G682" s="2" t="s">
        <v>1951</v>
      </c>
      <c r="H682" s="2" t="s">
        <v>230</v>
      </c>
      <c r="I682" s="2" t="str">
        <f>IFERROR(__xludf.DUMMYFUNCTION("GOOGLETRANSLATE(C682,""fr"",""en"")"),"Being on the mutual insurance company since 2012 jesuis very sensitive to having been contacted by your SPOUR service an updated RMIS Denmon contract This one being a little obsolete compared to the new conventions and the new rates implemented by you the"&amp;" person who contacted me being very friendly and Comingant I remarried you from your services")</f>
        <v>Being on the mutual insurance company since 2012 jesuis very sensitive to having been contacted by your SPOUR service an updated RMIS Denmon contract This one being a little obsolete compared to the new conventions and the new rates implemented by you the person who contacted me being very friendly and Comingant I remarried you from your services</v>
      </c>
    </row>
    <row r="683" ht="15.75" customHeight="1">
      <c r="A683" s="2">
        <v>4.0</v>
      </c>
      <c r="B683" s="2" t="s">
        <v>1952</v>
      </c>
      <c r="C683" s="2" t="s">
        <v>1953</v>
      </c>
      <c r="D683" s="2" t="s">
        <v>38</v>
      </c>
      <c r="E683" s="2" t="s">
        <v>39</v>
      </c>
      <c r="F683" s="2" t="s">
        <v>15</v>
      </c>
      <c r="G683" s="2" t="s">
        <v>791</v>
      </c>
      <c r="H683" s="2" t="s">
        <v>35</v>
      </c>
      <c r="I683" s="2" t="str">
        <f>IFERROR(__xludf.DUMMYFUNCTION("GOOGLETRANSLATE(C683,""fr"",""en"")"),"Simple and practical use, fast and efficient subscription.
Simplified formality
I recommend online subscription for your scooter insurance.
")</f>
        <v>Simple and practical use, fast and efficient subscription.
Simplified formality
I recommend online subscription for your scooter insurance.
</v>
      </c>
    </row>
    <row r="684" ht="15.75" customHeight="1">
      <c r="A684" s="2">
        <v>5.0</v>
      </c>
      <c r="B684" s="2" t="s">
        <v>1954</v>
      </c>
      <c r="C684" s="2" t="s">
        <v>1955</v>
      </c>
      <c r="D684" s="2" t="s">
        <v>105</v>
      </c>
      <c r="E684" s="2" t="s">
        <v>39</v>
      </c>
      <c r="F684" s="2" t="s">
        <v>15</v>
      </c>
      <c r="G684" s="2" t="s">
        <v>1639</v>
      </c>
      <c r="H684" s="2" t="s">
        <v>46</v>
      </c>
      <c r="I684" s="2" t="str">
        <f>IFERROR(__xludf.DUMMYFUNCTION("GOOGLETRANSLATE(C684,""fr"",""en"")"),"Satisfied with telephone exchanges with customer service.
Little waiting time on the phone.
Pleasant person.
Speed ​​of file management.
Non -abusive price")</f>
        <v>Satisfied with telephone exchanges with customer service.
Little waiting time on the phone.
Pleasant person.
Speed ​​of file management.
Non -abusive price</v>
      </c>
    </row>
    <row r="685" ht="15.75" customHeight="1">
      <c r="A685" s="2">
        <v>5.0</v>
      </c>
      <c r="B685" s="2" t="s">
        <v>1956</v>
      </c>
      <c r="C685" s="2" t="s">
        <v>1957</v>
      </c>
      <c r="D685" s="2" t="s">
        <v>44</v>
      </c>
      <c r="E685" s="2" t="s">
        <v>27</v>
      </c>
      <c r="F685" s="2" t="s">
        <v>15</v>
      </c>
      <c r="G685" s="2" t="s">
        <v>1660</v>
      </c>
      <c r="H685" s="2" t="s">
        <v>46</v>
      </c>
      <c r="I685" s="2" t="str">
        <f>IFERROR(__xludf.DUMMYFUNCTION("GOOGLETRANSLATE(C685,""fr"",""en"")"),"I satisfy quick response and quickly ensure the prices are affordable
And I plan to talk about it around month, please don't accept as a new customer
")</f>
        <v>I satisfy quick response and quickly ensure the prices are affordable
And I plan to talk about it around month, please don't accept as a new customer
</v>
      </c>
    </row>
    <row r="686" ht="15.75" customHeight="1">
      <c r="A686" s="2">
        <v>1.0</v>
      </c>
      <c r="B686" s="2" t="s">
        <v>1958</v>
      </c>
      <c r="C686" s="2" t="s">
        <v>1959</v>
      </c>
      <c r="D686" s="2" t="s">
        <v>117</v>
      </c>
      <c r="E686" s="2" t="s">
        <v>27</v>
      </c>
      <c r="F686" s="2" t="s">
        <v>15</v>
      </c>
      <c r="G686" s="2" t="s">
        <v>81</v>
      </c>
      <c r="H686" s="2" t="s">
        <v>29</v>
      </c>
      <c r="I686" s="2" t="str">
        <f>IFERROR(__xludf.DUMMYFUNCTION("GOOGLETRANSLATE(C686,""fr"",""en"")"),"The after -sinter service really leaves Désiré in view of the monthly contribution amount in all risks ...
I have the feeling that the insurance addresses the file by using each possible bias so as not to pay the amount of repairs, the discussion is not "&amp;"possible. I am a longtime customer very disappointed with how he has been treated and recommends that someone seeking to subscribe to insurance, to move towards a company whose commercial policy is more ""customer"" oriented.
")</f>
        <v>The after -sinter service really leaves Désiré in view of the monthly contribution amount in all risks ...
I have the feeling that the insurance addresses the file by using each possible bias so as not to pay the amount of repairs, the discussion is not possible. I am a longtime customer very disappointed with how he has been treated and recommends that someone seeking to subscribe to insurance, to move towards a company whose commercial policy is more "customer" oriented.
</v>
      </c>
    </row>
    <row r="687" ht="15.75" customHeight="1">
      <c r="A687" s="2">
        <v>4.0</v>
      </c>
      <c r="B687" s="2" t="s">
        <v>1960</v>
      </c>
      <c r="C687" s="2" t="s">
        <v>1961</v>
      </c>
      <c r="D687" s="2" t="s">
        <v>38</v>
      </c>
      <c r="E687" s="2" t="s">
        <v>39</v>
      </c>
      <c r="F687" s="2" t="s">
        <v>15</v>
      </c>
      <c r="G687" s="2" t="s">
        <v>1604</v>
      </c>
      <c r="H687" s="2" t="s">
        <v>29</v>
      </c>
      <c r="I687" s="2" t="str">
        <f>IFERROR(__xludf.DUMMYFUNCTION("GOOGLETRANSLATE(C687,""fr"",""en"")"),"I am satisfied for the price I wait to see how this insurance is in the future to see how customer service behaves if it has an accident or other request")</f>
        <v>I am satisfied for the price I wait to see how this insurance is in the future to see how customer service behaves if it has an accident or other request</v>
      </c>
    </row>
    <row r="688" ht="15.75" customHeight="1">
      <c r="A688" s="2">
        <v>2.0</v>
      </c>
      <c r="B688" s="2" t="s">
        <v>1962</v>
      </c>
      <c r="C688" s="2" t="s">
        <v>1963</v>
      </c>
      <c r="D688" s="2" t="s">
        <v>44</v>
      </c>
      <c r="E688" s="2" t="s">
        <v>27</v>
      </c>
      <c r="F688" s="2" t="s">
        <v>15</v>
      </c>
      <c r="G688" s="2" t="s">
        <v>1964</v>
      </c>
      <c r="H688" s="2" t="s">
        <v>57</v>
      </c>
      <c r="I688" s="2" t="str">
        <f>IFERROR(__xludf.DUMMYFUNCTION("GOOGLETRANSLATE(C688,""fr"",""en"")"),"No ! Commercial contact and zero commercial attitude! I will never recommend direct insurance to anyone! On the contrary! No response to requests made and sending formal notice and threats to court without the customer knowing why! Deplorable!")</f>
        <v>No ! Commercial contact and zero commercial attitude! I will never recommend direct insurance to anyone! On the contrary! No response to requests made and sending formal notice and threats to court without the customer knowing why! Deplorable!</v>
      </c>
    </row>
    <row r="689" ht="15.75" customHeight="1">
      <c r="A689" s="2">
        <v>1.0</v>
      </c>
      <c r="B689" s="2" t="s">
        <v>1965</v>
      </c>
      <c r="C689" s="2" t="s">
        <v>1966</v>
      </c>
      <c r="D689" s="2" t="s">
        <v>26</v>
      </c>
      <c r="E689" s="2" t="s">
        <v>27</v>
      </c>
      <c r="F689" s="2" t="s">
        <v>15</v>
      </c>
      <c r="G689" s="2" t="s">
        <v>152</v>
      </c>
      <c r="H689" s="2" t="s">
        <v>41</v>
      </c>
      <c r="I689" s="2" t="str">
        <f>IFERROR(__xludf.DUMMYFUNCTION("GOOGLETRANSLATE(C689,""fr"",""en"")"),"One hour on the phone to want me to ask me for all my information. And I have to return all my information when you have everything. I had precisely paused my old contract pending a takeover of a car ....")</f>
        <v>One hour on the phone to want me to ask me for all my information. And I have to return all my information when you have everything. I had precisely paused my old contract pending a takeover of a car ....</v>
      </c>
    </row>
    <row r="690" ht="15.75" customHeight="1">
      <c r="A690" s="2">
        <v>1.0</v>
      </c>
      <c r="B690" s="2" t="s">
        <v>1967</v>
      </c>
      <c r="C690" s="2" t="s">
        <v>1968</v>
      </c>
      <c r="D690" s="2" t="s">
        <v>204</v>
      </c>
      <c r="E690" s="2" t="s">
        <v>76</v>
      </c>
      <c r="F690" s="2" t="s">
        <v>15</v>
      </c>
      <c r="G690" s="2" t="s">
        <v>1969</v>
      </c>
      <c r="H690" s="2" t="s">
        <v>278</v>
      </c>
      <c r="I690" s="2" t="str">
        <f>IFERROR(__xludf.DUMMYFUNCTION("GOOGLETRANSLATE(C690,""fr"",""en"")"),"Very very very unhappy with the treatment with the service dependence service autonomy
Very long time, because apparently no one follows or instructs the annuity request file. So under effect, disorganization, or desire not to redistribute the funds coll"&amp;"ected ??? In a national climate of suspicion, nothing like it to add more?
So you have to contact them regularly every 4semates by phone to learn about evolution, which in the end did not advance at all .... it is that we answer you !!!!
Then make the"&amp;"m an email to transcribe the conversation and signify them the dissatisfaction, the feeling of abandonment or disinterest towards their customers, the feeling of their ineffectiveness, or their incompetence? It is not complimentary, it is unpleasant to si"&amp;"gnify this observation to them.
And above all remind them that during this time the samples of the monthly payments continue, while we expect financial aid !!! Yes and that they contribute by their delay and inaction to put you in difficulty. A shame for"&amp;" a cntrat of dependence supposed to help you when the time comes
")</f>
        <v>Very very very unhappy with the treatment with the service dependence service autonomy
Very long time, because apparently no one follows or instructs the annuity request file. So under effect, disorganization, or desire not to redistribute the funds collected ??? In a national climate of suspicion, nothing like it to add more?
So you have to contact them regularly every 4semates by phone to learn about evolution, which in the end did not advance at all .... it is that we answer you !!!!
Then make them an email to transcribe the conversation and signify them the dissatisfaction, the feeling of abandonment or disinterest towards their customers, the feeling of their ineffectiveness, or their incompetence? It is not complimentary, it is unpleasant to signify this observation to them.
And above all remind them that during this time the samples of the monthly payments continue, while we expect financial aid !!! Yes and that they contribute by their delay and inaction to put you in difficulty. A shame for a cntrat of dependence supposed to help you when the time comes
</v>
      </c>
    </row>
    <row r="691" ht="15.75" customHeight="1">
      <c r="A691" s="2">
        <v>5.0</v>
      </c>
      <c r="B691" s="2" t="s">
        <v>1970</v>
      </c>
      <c r="C691" s="2" t="s">
        <v>1971</v>
      </c>
      <c r="D691" s="2" t="s">
        <v>26</v>
      </c>
      <c r="E691" s="2" t="s">
        <v>27</v>
      </c>
      <c r="F691" s="2" t="s">
        <v>15</v>
      </c>
      <c r="G691" s="2" t="s">
        <v>753</v>
      </c>
      <c r="H691" s="2" t="s">
        <v>72</v>
      </c>
      <c r="I691" s="2" t="str">
        <f>IFERROR(__xludf.DUMMYFUNCTION("GOOGLETRANSLATE(C691,""fr"",""en"")"),"Top insurance, super price, super advisers, very satisfied with all services. Reactive insurer!")</f>
        <v>Top insurance, super price, super advisers, very satisfied with all services. Reactive insurer!</v>
      </c>
    </row>
    <row r="692" ht="15.75" customHeight="1">
      <c r="A692" s="2">
        <v>2.0</v>
      </c>
      <c r="B692" s="2" t="s">
        <v>1972</v>
      </c>
      <c r="C692" s="2" t="s">
        <v>1973</v>
      </c>
      <c r="D692" s="2" t="s">
        <v>44</v>
      </c>
      <c r="E692" s="2" t="s">
        <v>27</v>
      </c>
      <c r="F692" s="2" t="s">
        <v>15</v>
      </c>
      <c r="G692" s="2" t="s">
        <v>81</v>
      </c>
      <c r="H692" s="2" t="s">
        <v>29</v>
      </c>
      <c r="I692" s="2" t="str">
        <f>IFERROR(__xludf.DUMMYFUNCTION("GOOGLETRANSLATE(C692,""fr"",""en"")"),"Fortunately, you are offering complementary packs Sunon I would not have subscribed to your contract. I dare to hope that the services will be up to the task if necessary.")</f>
        <v>Fortunately, you are offering complementary packs Sunon I would not have subscribed to your contract. I dare to hope that the services will be up to the task if necessary.</v>
      </c>
    </row>
    <row r="693" ht="15.75" customHeight="1">
      <c r="A693" s="2">
        <v>5.0</v>
      </c>
      <c r="B693" s="2" t="s">
        <v>1974</v>
      </c>
      <c r="C693" s="2" t="s">
        <v>1975</v>
      </c>
      <c r="D693" s="2" t="s">
        <v>1626</v>
      </c>
      <c r="E693" s="2" t="s">
        <v>561</v>
      </c>
      <c r="F693" s="2" t="s">
        <v>15</v>
      </c>
      <c r="G693" s="2" t="s">
        <v>1828</v>
      </c>
      <c r="H693" s="2" t="s">
        <v>529</v>
      </c>
      <c r="I693" s="2" t="str">
        <f>IFERROR(__xludf.DUMMYFUNCTION("GOOGLETRANSLATE(C693,""fr"",""en"")"),"Santévet respects the contract. They never reluctant to repay, very fast reimbursement in 48 and 96 hours, I recommend +++")</f>
        <v>Santévet respects the contract. They never reluctant to repay, very fast reimbursement in 48 and 96 hours, I recommend +++</v>
      </c>
    </row>
    <row r="694" ht="15.75" customHeight="1">
      <c r="A694" s="2">
        <v>3.0</v>
      </c>
      <c r="B694" s="2" t="s">
        <v>1976</v>
      </c>
      <c r="C694" s="2" t="s">
        <v>1977</v>
      </c>
      <c r="D694" s="2" t="s">
        <v>44</v>
      </c>
      <c r="E694" s="2" t="s">
        <v>27</v>
      </c>
      <c r="F694" s="2" t="s">
        <v>15</v>
      </c>
      <c r="G694" s="2" t="s">
        <v>613</v>
      </c>
      <c r="H694" s="2" t="s">
        <v>23</v>
      </c>
      <c r="I694" s="2" t="str">
        <f>IFERROR(__xludf.DUMMYFUNCTION("GOOGLETRANSLATE(C694,""fr"",""en"")"),"I am soon 300 €, in 6 years 70 € of August I find that it is a lot. During contact 2 years ago I was assured that the prices were going to stabilize, I see that this is not the case. Cordially")</f>
        <v>I am soon 300 €, in 6 years 70 € of August I find that it is a lot. During contact 2 years ago I was assured that the prices were going to stabilize, I see that this is not the case. Cordially</v>
      </c>
    </row>
    <row r="695" ht="15.75" customHeight="1">
      <c r="A695" s="2">
        <v>4.0</v>
      </c>
      <c r="B695" s="2" t="s">
        <v>1978</v>
      </c>
      <c r="C695" s="2" t="s">
        <v>1979</v>
      </c>
      <c r="D695" s="2" t="s">
        <v>26</v>
      </c>
      <c r="E695" s="2" t="s">
        <v>27</v>
      </c>
      <c r="F695" s="2" t="s">
        <v>15</v>
      </c>
      <c r="G695" s="2" t="s">
        <v>1980</v>
      </c>
      <c r="H695" s="2" t="s">
        <v>159</v>
      </c>
      <c r="I695" s="2" t="str">
        <f>IFERROR(__xludf.DUMMYFUNCTION("GOOGLETRANSLATE(C695,""fr"",""en"")"),"No problem, easy is quite simple. I have had no problems to fill out the requested documents. Quite fast is quite clear. I will go on my account to see if I can print my insurance. If yes then I will be fully satisfied.")</f>
        <v>No problem, easy is quite simple. I have had no problems to fill out the requested documents. Quite fast is quite clear. I will go on my account to see if I can print my insurance. If yes then I will be fully satisfied.</v>
      </c>
    </row>
    <row r="696" ht="15.75" customHeight="1">
      <c r="A696" s="2">
        <v>1.0</v>
      </c>
      <c r="B696" s="2" t="s">
        <v>1981</v>
      </c>
      <c r="C696" s="2" t="s">
        <v>1982</v>
      </c>
      <c r="D696" s="2" t="s">
        <v>148</v>
      </c>
      <c r="E696" s="2" t="s">
        <v>33</v>
      </c>
      <c r="F696" s="2" t="s">
        <v>15</v>
      </c>
      <c r="G696" s="2" t="s">
        <v>220</v>
      </c>
      <c r="H696" s="2" t="s">
        <v>173</v>
      </c>
      <c r="I696" s="2" t="str">
        <f>IFERROR(__xludf.DUMMYFUNCTION("GOOGLETRANSLATE(C696,""fr"",""en"")"),"Having been in Maif all my life, everything was going well until I need them! Following a thunderstorm accompanied by strong winds, a door slammed very violently in my apartment, destroying itself as well as its amount and the wall itself! Being insured a"&amp;"gainst bad weather, it is normal for MAIF to reimburse me the repairs. Customer service response: I am not insured against air currents! I sent them photos of my wall and newspaper articles on the said ""air current"", and did not get an answer. Today, I "&amp;"leave this insurance which does not respect its customers!")</f>
        <v>Having been in Maif all my life, everything was going well until I need them! Following a thunderstorm accompanied by strong winds, a door slammed very violently in my apartment, destroying itself as well as its amount and the wall itself! Being insured against bad weather, it is normal for MAIF to reimburse me the repairs. Customer service response: I am not insured against air currents! I sent them photos of my wall and newspaper articles on the said "air current", and did not get an answer. Today, I leave this insurance which does not respect its customers!</v>
      </c>
    </row>
    <row r="697" ht="15.75" customHeight="1">
      <c r="A697" s="2">
        <v>1.0</v>
      </c>
      <c r="B697" s="2" t="s">
        <v>1983</v>
      </c>
      <c r="C697" s="2" t="s">
        <v>1984</v>
      </c>
      <c r="D697" s="2" t="s">
        <v>100</v>
      </c>
      <c r="E697" s="2" t="s">
        <v>76</v>
      </c>
      <c r="F697" s="2" t="s">
        <v>15</v>
      </c>
      <c r="G697" s="2" t="s">
        <v>166</v>
      </c>
      <c r="H697" s="2" t="s">
        <v>17</v>
      </c>
      <c r="I697" s="2" t="str">
        <f>IFERROR(__xludf.DUMMYFUNCTION("GOOGLETRANSLATE(C697,""fr"",""en"")"),"Laborous !!
3 1/2 months to hear me say to each of my calls that I have to wait so that my work stoppage is finally treated. No response by email, and on the phone, each time a different info with often coldness and casualness.")</f>
        <v>Laborous !!
3 1/2 months to hear me say to each of my calls that I have to wait so that my work stoppage is finally treated. No response by email, and on the phone, each time a different info with often coldness and casualness.</v>
      </c>
    </row>
    <row r="698" ht="15.75" customHeight="1">
      <c r="A698" s="2">
        <v>2.0</v>
      </c>
      <c r="B698" s="2" t="s">
        <v>1985</v>
      </c>
      <c r="C698" s="2" t="s">
        <v>1986</v>
      </c>
      <c r="D698" s="2" t="s">
        <v>70</v>
      </c>
      <c r="E698" s="2" t="s">
        <v>14</v>
      </c>
      <c r="F698" s="2" t="s">
        <v>15</v>
      </c>
      <c r="G698" s="2" t="s">
        <v>1987</v>
      </c>
      <c r="H698" s="2" t="s">
        <v>159</v>
      </c>
      <c r="I698" s="2" t="str">
        <f>IFERROR(__xludf.DUMMYFUNCTION("GOOGLETRANSLATE(C698,""fr"",""en"")"),"The mutual of my husbands I can already.
Already at the time I send them a quote, they tell me that it is an invoice.
The secretary of my husband's TAFF of their paper or indicated has been a monthly prel and a RIB.
They say payment in 3 times.
Then m"&amp;"y husband calls them 2 times to have a separate separate, me 2 emails via the mutual account no response.
He sends it by email it. And I receive a letter from 04/06 (we are on 06/14) or you have to fill the separate and send a RIB.
I do what I cry or la"&amp;"ugh")</f>
        <v>The mutual of my husbands I can already.
Already at the time I send them a quote, they tell me that it is an invoice.
The secretary of my husband's TAFF of their paper or indicated has been a monthly prel and a RIB.
They say payment in 3 times.
Then my husband calls them 2 times to have a separate separate, me 2 emails via the mutual account no response.
He sends it by email it. And I receive a letter from 04/06 (we are on 06/14) or you have to fill the separate and send a RIB.
I do what I cry or laugh</v>
      </c>
    </row>
    <row r="699" ht="15.75" customHeight="1">
      <c r="A699" s="2">
        <v>1.0</v>
      </c>
      <c r="B699" s="2" t="s">
        <v>1988</v>
      </c>
      <c r="C699" s="2" t="s">
        <v>1989</v>
      </c>
      <c r="D699" s="2" t="s">
        <v>100</v>
      </c>
      <c r="E699" s="2" t="s">
        <v>14</v>
      </c>
      <c r="F699" s="2" t="s">
        <v>15</v>
      </c>
      <c r="G699" s="2" t="s">
        <v>1990</v>
      </c>
      <c r="H699" s="2" t="s">
        <v>119</v>
      </c>
      <c r="I699" s="2" t="str">
        <f>IFERROR(__xludf.DUMMYFUNCTION("GOOGLETRANSLATE(C699,""fr"",""en"")"),"Treatment time for too long file, I have been waiting for my additional salary since February, always a concern in the papers. They are a lot of delay in the dice processing, you have to wait minimum 3 weeks for you to process your file, and if unfortunat"&amp;"ely a document is missing you still have to wait minimum 2 weeks. I have this foresight through my work, but I do not recommend it strongly. How do you want to treat yourself if you are not paid?")</f>
        <v>Treatment time for too long file, I have been waiting for my additional salary since February, always a concern in the papers. They are a lot of delay in the dice processing, you have to wait minimum 3 weeks for you to process your file, and if unfortunately a document is missing you still have to wait minimum 2 weeks. I have this foresight through my work, but I do not recommend it strongly. How do you want to treat yourself if you are not paid?</v>
      </c>
    </row>
    <row r="700" ht="15.75" customHeight="1">
      <c r="A700" s="2">
        <v>4.0</v>
      </c>
      <c r="B700" s="2" t="s">
        <v>1991</v>
      </c>
      <c r="C700" s="2" t="s">
        <v>1992</v>
      </c>
      <c r="D700" s="2" t="s">
        <v>252</v>
      </c>
      <c r="E700" s="2" t="s">
        <v>14</v>
      </c>
      <c r="F700" s="2" t="s">
        <v>15</v>
      </c>
      <c r="G700" s="2" t="s">
        <v>1660</v>
      </c>
      <c r="H700" s="2" t="s">
        <v>46</v>
      </c>
      <c r="I700" s="2" t="str">
        <f>IFERROR(__xludf.DUMMYFUNCTION("GOOGLETRANSLATE(C700,""fr"",""en"")"),"It's a bit expensive but the refund is good
I am a new customer so I cannot say I am really satisfied with the service of your mutual")</f>
        <v>It's a bit expensive but the refund is good
I am a new customer so I cannot say I am really satisfied with the service of your mutual</v>
      </c>
    </row>
    <row r="701" ht="15.75" customHeight="1">
      <c r="A701" s="2">
        <v>3.0</v>
      </c>
      <c r="B701" s="2" t="s">
        <v>1993</v>
      </c>
      <c r="C701" s="2" t="s">
        <v>1994</v>
      </c>
      <c r="D701" s="2" t="s">
        <v>1356</v>
      </c>
      <c r="E701" s="2" t="s">
        <v>460</v>
      </c>
      <c r="F701" s="2" t="s">
        <v>15</v>
      </c>
      <c r="G701" s="2" t="s">
        <v>1995</v>
      </c>
      <c r="H701" s="2" t="s">
        <v>294</v>
      </c>
      <c r="I701" s="2" t="str">
        <f>IFERROR(__xludf.DUMMYFUNCTION("GOOGLETRANSLATE(C701,""fr"",""en"")"),"Very bureaucratic. The brokers do not always transmit customer requests at AFER headquarters. I had asked for a security of gains in July 2018. The broker has just realized that he had not transmitted the document. I am not reassured at all and I no longe"&amp;"r plan to buy account units. I no longer trust the broker. I have been in AFER since 1991 .....")</f>
        <v>Very bureaucratic. The brokers do not always transmit customer requests at AFER headquarters. I had asked for a security of gains in July 2018. The broker has just realized that he had not transmitted the document. I am not reassured at all and I no longer plan to buy account units. I no longer trust the broker. I have been in AFER since 1991 .....</v>
      </c>
    </row>
    <row r="702" ht="15.75" customHeight="1">
      <c r="A702" s="2">
        <v>3.0</v>
      </c>
      <c r="B702" s="2" t="s">
        <v>1996</v>
      </c>
      <c r="C702" s="2" t="s">
        <v>1997</v>
      </c>
      <c r="D702" s="2" t="s">
        <v>32</v>
      </c>
      <c r="E702" s="2" t="s">
        <v>27</v>
      </c>
      <c r="F702" s="2" t="s">
        <v>15</v>
      </c>
      <c r="G702" s="2" t="s">
        <v>1998</v>
      </c>
      <c r="H702" s="2" t="s">
        <v>177</v>
      </c>
      <c r="I702" s="2" t="str">
        <f>IFERROR(__xludf.DUMMYFUNCTION("GOOGLETRANSLATE(C702,""fr"",""en"")"),"relatively not inexpensive, but an impeccable quality of service,
reimbursement of ultra-fast repairs,
Very available and fast contact platform")</f>
        <v>relatively not inexpensive, but an impeccable quality of service,
reimbursement of ultra-fast repairs,
Very available and fast contact platform</v>
      </c>
    </row>
    <row r="703" ht="15.75" customHeight="1">
      <c r="A703" s="2">
        <v>5.0</v>
      </c>
      <c r="B703" s="2" t="s">
        <v>1999</v>
      </c>
      <c r="C703" s="2" t="s">
        <v>2000</v>
      </c>
      <c r="D703" s="2" t="s">
        <v>44</v>
      </c>
      <c r="E703" s="2" t="s">
        <v>27</v>
      </c>
      <c r="F703" s="2" t="s">
        <v>15</v>
      </c>
      <c r="G703" s="2" t="s">
        <v>309</v>
      </c>
      <c r="H703" s="2" t="s">
        <v>29</v>
      </c>
      <c r="I703" s="2" t="str">
        <f>IFERROR(__xludf.DUMMYFUNCTION("GOOGLETRANSLATE(C703,""fr"",""en"")"),"I am satisfied with my request for a quote by phone and by the price ratio price. I will try to talk about this same insurance to my knowledge that will acquire a new vehicle")</f>
        <v>I am satisfied with my request for a quote by phone and by the price ratio price. I will try to talk about this same insurance to my knowledge that will acquire a new vehicle</v>
      </c>
    </row>
    <row r="704" ht="15.75" customHeight="1">
      <c r="A704" s="2">
        <v>5.0</v>
      </c>
      <c r="B704" s="2" t="s">
        <v>2001</v>
      </c>
      <c r="C704" s="2" t="s">
        <v>2002</v>
      </c>
      <c r="D704" s="2" t="s">
        <v>60</v>
      </c>
      <c r="E704" s="2" t="s">
        <v>14</v>
      </c>
      <c r="F704" s="2" t="s">
        <v>15</v>
      </c>
      <c r="G704" s="2" t="s">
        <v>2003</v>
      </c>
      <c r="H704" s="2" t="s">
        <v>72</v>
      </c>
      <c r="I704" s="2" t="str">
        <f>IFERROR(__xludf.DUMMYFUNCTION("GOOGLETRANSLATE(C704,""fr"",""en"")"),"Hello I had a concern to create my account I came across a person whose first name is Gwendal is a very pleasant person who knows his profession entirely and who was able to intervene so that I can access my account at the level of the mutual and I thank "&amp;"her again it is a very good person cordially miss succo")</f>
        <v>Hello I had a concern to create my account I came across a person whose first name is Gwendal is a very pleasant person who knows his profession entirely and who was able to intervene so that I can access my account at the level of the mutual and I thank her again it is a very good person cordially miss succo</v>
      </c>
    </row>
    <row r="705" ht="15.75" customHeight="1">
      <c r="A705" s="2">
        <v>2.0</v>
      </c>
      <c r="B705" s="2" t="s">
        <v>2004</v>
      </c>
      <c r="C705" s="2" t="s">
        <v>2005</v>
      </c>
      <c r="D705" s="2" t="s">
        <v>204</v>
      </c>
      <c r="E705" s="2" t="s">
        <v>76</v>
      </c>
      <c r="F705" s="2" t="s">
        <v>15</v>
      </c>
      <c r="G705" s="2" t="s">
        <v>2006</v>
      </c>
      <c r="H705" s="2" t="s">
        <v>90</v>
      </c>
      <c r="I705" s="2" t="str">
        <f>IFERROR(__xludf.DUMMYFUNCTION("GOOGLETRANSLATE(C705,""fr"",""en"")"),"Following a violent fall during my privacy, in 2015 I was appraised by a doctor advice from Allianz and result no compensation. Today in 2019 Social Security ranked me invalid level 2. The more difficult for me it is to have worked for many years for this"&amp;" company and to have sold this product to my customers who trusted me.")</f>
        <v>Following a violent fall during my privacy, in 2015 I was appraised by a doctor advice from Allianz and result no compensation. Today in 2019 Social Security ranked me invalid level 2. The more difficult for me it is to have worked for many years for this company and to have sold this product to my customers who trusted me.</v>
      </c>
    </row>
    <row r="706" ht="15.75" customHeight="1">
      <c r="A706" s="2">
        <v>3.0</v>
      </c>
      <c r="B706" s="2" t="s">
        <v>2007</v>
      </c>
      <c r="C706" s="2" t="s">
        <v>2008</v>
      </c>
      <c r="D706" s="2" t="s">
        <v>38</v>
      </c>
      <c r="E706" s="2" t="s">
        <v>39</v>
      </c>
      <c r="F706" s="2" t="s">
        <v>15</v>
      </c>
      <c r="G706" s="2" t="s">
        <v>1135</v>
      </c>
      <c r="H706" s="2" t="s">
        <v>159</v>
      </c>
      <c r="I706" s="2" t="str">
        <f>IFERROR(__xludf.DUMMYFUNCTION("GOOGLETRANSLATE(C706,""fr"",""en"")"),"Satisfied with telephone contacts with a single understanding and competent person.")</f>
        <v>Satisfied with telephone contacts with a single understanding and competent person.</v>
      </c>
    </row>
    <row r="707" ht="15.75" customHeight="1">
      <c r="A707" s="2">
        <v>1.0</v>
      </c>
      <c r="B707" s="2" t="s">
        <v>2009</v>
      </c>
      <c r="C707" s="2" t="s">
        <v>2010</v>
      </c>
      <c r="D707" s="2" t="s">
        <v>616</v>
      </c>
      <c r="E707" s="2" t="s">
        <v>14</v>
      </c>
      <c r="F707" s="2" t="s">
        <v>15</v>
      </c>
      <c r="G707" s="2" t="s">
        <v>1615</v>
      </c>
      <c r="H707" s="2" t="s">
        <v>184</v>
      </c>
      <c r="I707" s="2" t="str">
        <f>IFERROR(__xludf.DUMMYFUNCTION("GOOGLETRANSLATE(C707,""fr"",""en"")"),"Insurance to avoid! After telephone contact or by email, they very quickly adhere to a health contract with electronic signature! In this health contract, they include other additional contracts which they are careful not to tell you, namely accident and "&amp;"hospitalization! When you ask to terminate, the answer is of course waiting (even by registered letter with AR) and if they end up terminating the health contract, we continue to take abusive ways of the corresponding sums of the two accident and hospital"&amp;"ization contracts ! And Lorque you ask the termination, you are informed that the deadline is 1 month! I therefore denounce the sales methods used by generation Cocoon insurance, as well as the lack of information on these additional contracts that we ski"&amp;"llfully slip and that we continue to take you! These are abusive and unworthy practices against which we must fight with fierceness!")</f>
        <v>Insurance to avoid! After telephone contact or by email, they very quickly adhere to a health contract with electronic signature! In this health contract, they include other additional contracts which they are careful not to tell you, namely accident and hospitalization! When you ask to terminate, the answer is of course waiting (even by registered letter with AR) and if they end up terminating the health contract, we continue to take abusive ways of the corresponding sums of the two accident and hospitalization contracts ! And Lorque you ask the termination, you are informed that the deadline is 1 month! I therefore denounce the sales methods used by generation Cocoon insurance, as well as the lack of information on these additional contracts that we skillfully slip and that we continue to take you! These are abusive and unworthy practices against which we must fight with fierceness!</v>
      </c>
    </row>
    <row r="708" ht="15.75" customHeight="1">
      <c r="A708" s="2">
        <v>1.0</v>
      </c>
      <c r="B708" s="2" t="s">
        <v>2011</v>
      </c>
      <c r="C708" s="2" t="s">
        <v>2012</v>
      </c>
      <c r="D708" s="2" t="s">
        <v>84</v>
      </c>
      <c r="E708" s="2" t="s">
        <v>33</v>
      </c>
      <c r="F708" s="2" t="s">
        <v>15</v>
      </c>
      <c r="G708" s="2" t="s">
        <v>1065</v>
      </c>
      <c r="H708" s="2" t="s">
        <v>452</v>
      </c>
      <c r="I708" s="2" t="str">
        <f>IFERROR(__xludf.DUMMYFUNCTION("GOOGLETRANSLATE(C708,""fr"",""en"")"),"I put 1 star for customer service quality and satisfaction because I cannot put less. Flee this insurer, he deceives his clients on the contract ends by giving poor information on how to terminate and does not close the contracts. Result your file is foun"&amp;"d at Huissier and you have no way to pay by paying. There are more competent and honest insurers on the market.")</f>
        <v>I put 1 star for customer service quality and satisfaction because I cannot put less. Flee this insurer, he deceives his clients on the contract ends by giving poor information on how to terminate and does not close the contracts. Result your file is found at Huissier and you have no way to pay by paying. There are more competent and honest insurers on the market.</v>
      </c>
    </row>
    <row r="709" ht="15.75" customHeight="1">
      <c r="A709" s="2">
        <v>4.0</v>
      </c>
      <c r="B709" s="2" t="s">
        <v>2013</v>
      </c>
      <c r="C709" s="2" t="s">
        <v>2014</v>
      </c>
      <c r="D709" s="2" t="s">
        <v>60</v>
      </c>
      <c r="E709" s="2" t="s">
        <v>14</v>
      </c>
      <c r="F709" s="2" t="s">
        <v>15</v>
      </c>
      <c r="G709" s="2" t="s">
        <v>159</v>
      </c>
      <c r="H709" s="2" t="s">
        <v>159</v>
      </c>
      <c r="I709" s="2" t="str">
        <f>IFERROR(__xludf.DUMMYFUNCTION("GOOGLETRANSLATE(C709,""fr"",""en"")"),"Telephone tale with the sales assistant Maria, for monitoring a request. Warm welcome, good understanding of my questions and answers adapted for the resolution of one of the problems (activation of the service space). On the other hand, a posteriori, par"&amp;"tially inaccurate or incomplete information on the possibility of making the online simulation of an addition of beneficiary. In the complex, satisfactory")</f>
        <v>Telephone tale with the sales assistant Maria, for monitoring a request. Warm welcome, good understanding of my questions and answers adapted for the resolution of one of the problems (activation of the service space). On the other hand, a posteriori, partially inaccurate or incomplete information on the possibility of making the online simulation of an addition of beneficiary. In the complex, satisfactory</v>
      </c>
    </row>
    <row r="710" ht="15.75" customHeight="1">
      <c r="A710" s="2">
        <v>1.0</v>
      </c>
      <c r="B710" s="2" t="s">
        <v>2015</v>
      </c>
      <c r="C710" s="2" t="s">
        <v>2016</v>
      </c>
      <c r="D710" s="2" t="s">
        <v>70</v>
      </c>
      <c r="E710" s="2" t="s">
        <v>14</v>
      </c>
      <c r="F710" s="2" t="s">
        <v>15</v>
      </c>
      <c r="G710" s="2" t="s">
        <v>2017</v>
      </c>
      <c r="H710" s="2" t="s">
        <v>131</v>
      </c>
      <c r="I710" s="2" t="str">
        <f>IFERROR(__xludf.DUMMYFUNCTION("GOOGLETRANSLATE(C710,""fr"",""en"")"),"I strongly advise against this mutual. The deadlines are very long and faults of the faults are made. If I could it would be 0 star ... it's a mutual to flee. Mutual compulsory at work, if I could I will change.")</f>
        <v>I strongly advise against this mutual. The deadlines are very long and faults of the faults are made. If I could it would be 0 star ... it's a mutual to flee. Mutual compulsory at work, if I could I will change.</v>
      </c>
    </row>
    <row r="711" ht="15.75" customHeight="1">
      <c r="A711" s="2">
        <v>3.0</v>
      </c>
      <c r="B711" s="2" t="s">
        <v>2018</v>
      </c>
      <c r="C711" s="2" t="s">
        <v>2019</v>
      </c>
      <c r="D711" s="2" t="s">
        <v>148</v>
      </c>
      <c r="E711" s="2" t="s">
        <v>33</v>
      </c>
      <c r="F711" s="2" t="s">
        <v>15</v>
      </c>
      <c r="G711" s="2" t="s">
        <v>723</v>
      </c>
      <c r="H711" s="2" t="s">
        <v>301</v>
      </c>
      <c r="I711" s="2" t="str">
        <f>IFERROR(__xludf.DUMMYFUNCTION("GOOGLETRANSLATE(C711,""fr"",""en"")"),"Good evening I was a customer at the maif suite at degats of waters he terminated my contra housing and car my home was recognized as uninhabitable in July 2017 since more news from the maif despite more contrasts than Inais pray it my lodge me and My chi"&amp;"ldren in a hotel hanging 7 days after nothing I beat for the renbours of my jbai all furniture lost in this water degats I beat for 1 month so that the HLM company relong me I live in apartment with a precarious lease when all Jenoeu finds me dehort with "&amp;"my children my apartment and not me must means insurance my always compensated we are sleeping the floor with my children so a tour no new j Apel la maif my. Really only for the rich")</f>
        <v>Good evening I was a customer at the maif suite at degats of waters he terminated my contra housing and car my home was recognized as uninhabitable in July 2017 since more news from the maif despite more contrasts than Inais pray it my lodge me and My children in a hotel hanging 7 days after nothing I beat for the renbours of my jbai all furniture lost in this water degats I beat for 1 month so that the HLM company relong me I live in apartment with a precarious lease when all Jenoeu finds me dehort with my children my apartment and not me must means insurance my always compensated we are sleeping the floor with my children so a tour no new j Apel la maif my. Really only for the rich</v>
      </c>
    </row>
    <row r="712" ht="15.75" customHeight="1">
      <c r="A712" s="2">
        <v>5.0</v>
      </c>
      <c r="B712" s="2" t="s">
        <v>2020</v>
      </c>
      <c r="C712" s="2" t="s">
        <v>2021</v>
      </c>
      <c r="D712" s="2" t="s">
        <v>332</v>
      </c>
      <c r="E712" s="2" t="s">
        <v>21</v>
      </c>
      <c r="F712" s="2" t="s">
        <v>15</v>
      </c>
      <c r="G712" s="2" t="s">
        <v>2022</v>
      </c>
      <c r="H712" s="2" t="s">
        <v>35</v>
      </c>
      <c r="I712" s="2" t="str">
        <f>IFERROR(__xludf.DUMMYFUNCTION("GOOGLETRANSLATE(C712,""fr"",""en"")"),"It's simple and practical.
A small point, to climb the postal code 80100 of the bank it did not appear in the list
Note: I have not seen the start date of the insurance contract appear")</f>
        <v>It's simple and practical.
A small point, to climb the postal code 80100 of the bank it did not appear in the list
Note: I have not seen the start date of the insurance contract appear</v>
      </c>
    </row>
    <row r="713" ht="15.75" customHeight="1">
      <c r="A713" s="2">
        <v>1.0</v>
      </c>
      <c r="B713" s="2" t="s">
        <v>2023</v>
      </c>
      <c r="C713" s="2" t="s">
        <v>2024</v>
      </c>
      <c r="D713" s="2" t="s">
        <v>540</v>
      </c>
      <c r="E713" s="2" t="s">
        <v>14</v>
      </c>
      <c r="F713" s="2" t="s">
        <v>15</v>
      </c>
      <c r="G713" s="2" t="s">
        <v>2025</v>
      </c>
      <c r="H713" s="2" t="s">
        <v>72</v>
      </c>
      <c r="I713" s="2" t="str">
        <f>IFERROR(__xludf.DUMMYFUNCTION("GOOGLETRANSLATE(C713,""fr"",""en"")"),"For my son's othodontics, the MGP advises me to increase the guarantees that is around 40 euros more per month. For a 14 -year -old child to pay more than 65 euros per month it's already hard but hey, it's for his property. However, nice surprise on the r"&amp;"eimbursement. In summary I paid an increase of around 480 euros per year for a care of ... 400 euros by the mutual. We would almost approach the ESCR. . .
Because yes, the MGP had the quote so the council which was made to me was knowingly. But obviously"&amp;" the MGP had lied to me on the reimbursement of the security and the care on their part. Indeed I had to pay nothing but today I have 80 euros at the expense. I would have been winning ultimately to put 40 euros on the side per month ... In short, you wil"&amp;"l therefore understand that I do not recommend it.")</f>
        <v>For my son's othodontics, the MGP advises me to increase the guarantees that is around 40 euros more per month. For a 14 -year -old child to pay more than 65 euros per month it's already hard but hey, it's for his property. However, nice surprise on the reimbursement. In summary I paid an increase of around 480 euros per year for a care of ... 400 euros by the mutual. We would almost approach the ESCR. . .
Because yes, the MGP had the quote so the council which was made to me was knowingly. But obviously the MGP had lied to me on the reimbursement of the security and the care on their part. Indeed I had to pay nothing but today I have 80 euros at the expense. I would have been winning ultimately to put 40 euros on the side per month ... In short, you will therefore understand that I do not recommend it.</v>
      </c>
    </row>
    <row r="714" ht="15.75" customHeight="1">
      <c r="A714" s="2">
        <v>1.0</v>
      </c>
      <c r="B714" s="2" t="s">
        <v>2026</v>
      </c>
      <c r="C714" s="2" t="s">
        <v>2027</v>
      </c>
      <c r="D714" s="2" t="s">
        <v>65</v>
      </c>
      <c r="E714" s="2" t="s">
        <v>39</v>
      </c>
      <c r="F714" s="2" t="s">
        <v>15</v>
      </c>
      <c r="G714" s="2" t="s">
        <v>2028</v>
      </c>
      <c r="H714" s="2" t="s">
        <v>119</v>
      </c>
      <c r="I714" s="2" t="str">
        <f>IFERROR(__xludf.DUMMYFUNCTION("GOOGLETRANSLATE(C714,""fr"",""en"")"),"HELLO. I would not have preferred to have an accident and penalty all my life ... alas the accident without third party has arrived. I call insurance .. we tell me that I am not compensated but I am well insured")</f>
        <v>HELLO. I would not have preferred to have an accident and penalty all my life ... alas the accident without third party has arrived. I call insurance .. we tell me that I am not compensated but I am well insured</v>
      </c>
    </row>
    <row r="715" ht="15.75" customHeight="1">
      <c r="A715" s="2">
        <v>3.0</v>
      </c>
      <c r="B715" s="2" t="s">
        <v>2029</v>
      </c>
      <c r="C715" s="2" t="s">
        <v>2030</v>
      </c>
      <c r="D715" s="2" t="s">
        <v>60</v>
      </c>
      <c r="E715" s="2" t="s">
        <v>14</v>
      </c>
      <c r="F715" s="2" t="s">
        <v>15</v>
      </c>
      <c r="G715" s="2" t="s">
        <v>2031</v>
      </c>
      <c r="H715" s="2" t="s">
        <v>192</v>
      </c>
      <c r="I715" s="2" t="str">
        <f>IFERROR(__xludf.DUMMYFUNCTION("GOOGLETRANSLATE(C715,""fr"",""en"")"),"Gwendal, an effective and precise interlocutor in on the explanations of the remote transmission. Which is not the case with other mutuals")</f>
        <v>Gwendal, an effective and precise interlocutor in on the explanations of the remote transmission. Which is not the case with other mutuals</v>
      </c>
    </row>
    <row r="716" ht="15.75" customHeight="1">
      <c r="A716" s="2">
        <v>4.0</v>
      </c>
      <c r="B716" s="2" t="s">
        <v>2032</v>
      </c>
      <c r="C716" s="2" t="s">
        <v>2033</v>
      </c>
      <c r="D716" s="2" t="s">
        <v>60</v>
      </c>
      <c r="E716" s="2" t="s">
        <v>14</v>
      </c>
      <c r="F716" s="2" t="s">
        <v>15</v>
      </c>
      <c r="G716" s="2" t="s">
        <v>2034</v>
      </c>
      <c r="H716" s="2" t="s">
        <v>230</v>
      </c>
      <c r="I716" s="2" t="str">
        <f>IFERROR(__xludf.DUMMYFUNCTION("GOOGLETRANSLATE(C716,""fr"",""en"")"),"Good information well detaIes politeSes your Impeccable Hostess")</f>
        <v>Good information well detaIes politeSes your Impeccable Hostess</v>
      </c>
    </row>
    <row r="717" ht="15.75" customHeight="1">
      <c r="A717" s="2">
        <v>1.0</v>
      </c>
      <c r="B717" s="2" t="s">
        <v>2035</v>
      </c>
      <c r="C717" s="2" t="s">
        <v>2036</v>
      </c>
      <c r="D717" s="2" t="s">
        <v>134</v>
      </c>
      <c r="E717" s="2" t="s">
        <v>33</v>
      </c>
      <c r="F717" s="2" t="s">
        <v>15</v>
      </c>
      <c r="G717" s="2" t="s">
        <v>2037</v>
      </c>
      <c r="H717" s="2" t="s">
        <v>1100</v>
      </c>
      <c r="I717" s="2" t="str">
        <f>IFERROR(__xludf.DUMMYFUNCTION("GOOGLETRANSLATE(C717,""fr"",""en"")"),"Hello,
The GMF is the worst insurance I was dealing with. Our house for rent was burnt down (electrical defect linked to the owner) on November 24, 2020. We are on February 12, 2021 and despite constant reminders we are still not compensated. We are a "&amp;"family of 6 people including 4 young children.
 The sinister service is at best incompetent and useless and at worst haughty and disrespectful. To flee !!!")</f>
        <v>Hello,
The GMF is the worst insurance I was dealing with. Our house for rent was burnt down (electrical defect linked to the owner) on November 24, 2020. We are on February 12, 2021 and despite constant reminders we are still not compensated. We are a family of 6 people including 4 young children.
 The sinister service is at best incompetent and useless and at worst haughty and disrespectful. To flee !!!</v>
      </c>
    </row>
    <row r="718" ht="15.75" customHeight="1">
      <c r="A718" s="2">
        <v>1.0</v>
      </c>
      <c r="B718" s="2" t="s">
        <v>2038</v>
      </c>
      <c r="C718" s="2" t="s">
        <v>2039</v>
      </c>
      <c r="D718" s="2" t="s">
        <v>75</v>
      </c>
      <c r="E718" s="2" t="s">
        <v>76</v>
      </c>
      <c r="F718" s="2" t="s">
        <v>15</v>
      </c>
      <c r="G718" s="2" t="s">
        <v>2040</v>
      </c>
      <c r="H718" s="2" t="s">
        <v>67</v>
      </c>
      <c r="I718" s="2" t="str">
        <f>IFERROR(__xludf.DUMMYFUNCTION("GOOGLETRANSLATE(C718,""fr"",""en"")"),"The CNP does everything to slow down or even cancel my request for life insurance buyout (contracted with the postal banking)! Their customer service is incompetent and their treatment deadlines are scandalous!")</f>
        <v>The CNP does everything to slow down or even cancel my request for life insurance buyout (contracted with the postal banking)! Their customer service is incompetent and their treatment deadlines are scandalous!</v>
      </c>
    </row>
    <row r="719" ht="15.75" customHeight="1">
      <c r="A719" s="2">
        <v>1.0</v>
      </c>
      <c r="B719" s="2" t="s">
        <v>2041</v>
      </c>
      <c r="C719" s="2" t="s">
        <v>2042</v>
      </c>
      <c r="D719" s="2" t="s">
        <v>237</v>
      </c>
      <c r="E719" s="2" t="s">
        <v>14</v>
      </c>
      <c r="F719" s="2" t="s">
        <v>15</v>
      </c>
      <c r="G719" s="2" t="s">
        <v>2043</v>
      </c>
      <c r="H719" s="2" t="s">
        <v>320</v>
      </c>
      <c r="I719" s="2" t="str">
        <f>IFERROR(__xludf.DUMMYFUNCTION("GOOGLETRANSLATE(C719,""fr"",""en"")"),"430th not reimbursed by Mercer supposedly already settled and yet nothing on the account, when they are asked for proof of payment they make the deaths no response for more than a malrigerated month our reminders.
Too bad we cannot put the stars in negat"&amp;"ive one is still too much")</f>
        <v>430th not reimbursed by Mercer supposedly already settled and yet nothing on the account, when they are asked for proof of payment they make the deaths no response for more than a malrigerated month our reminders.
Too bad we cannot put the stars in negative one is still too much</v>
      </c>
    </row>
    <row r="720" ht="15.75" customHeight="1">
      <c r="A720" s="2">
        <v>1.0</v>
      </c>
      <c r="B720" s="2" t="s">
        <v>2044</v>
      </c>
      <c r="C720" s="2" t="s">
        <v>2045</v>
      </c>
      <c r="D720" s="2" t="s">
        <v>134</v>
      </c>
      <c r="E720" s="2" t="s">
        <v>27</v>
      </c>
      <c r="F720" s="2" t="s">
        <v>15</v>
      </c>
      <c r="G720" s="2" t="s">
        <v>1497</v>
      </c>
      <c r="H720" s="2" t="s">
        <v>46</v>
      </c>
      <c r="I720" s="2" t="str">
        <f>IFERROR(__xludf.DUMMYFUNCTION("GOOGLETRANSLATE(C720,""fr"",""en"")"),"It appears that academic insurance does not comply with school obligations (on personal protection) to be more registered ...
I find it ubiquitous
")</f>
        <v>It appears that academic insurance does not comply with school obligations (on personal protection) to be more registered ...
I find it ubiquitous
</v>
      </c>
    </row>
    <row r="721" ht="15.75" customHeight="1">
      <c r="A721" s="2">
        <v>4.0</v>
      </c>
      <c r="B721" s="2" t="s">
        <v>2046</v>
      </c>
      <c r="C721" s="2" t="s">
        <v>2047</v>
      </c>
      <c r="D721" s="2" t="s">
        <v>44</v>
      </c>
      <c r="E721" s="2" t="s">
        <v>27</v>
      </c>
      <c r="F721" s="2" t="s">
        <v>15</v>
      </c>
      <c r="G721" s="2" t="s">
        <v>264</v>
      </c>
      <c r="H721" s="2" t="s">
        <v>23</v>
      </c>
      <c r="I721" s="2" t="str">
        <f>IFERROR(__xludf.DUMMYFUNCTION("GOOGLETRANSLATE(C721,""fr"",""en"")"),"Satisfied overall for both prices and questionnaire services a can long for my taste but necessary I think to have a service as accurately as possible")</f>
        <v>Satisfied overall for both prices and questionnaire services a can long for my taste but necessary I think to have a service as accurately as possible</v>
      </c>
    </row>
    <row r="722" ht="15.75" customHeight="1">
      <c r="A722" s="2">
        <v>4.0</v>
      </c>
      <c r="B722" s="2" t="s">
        <v>2048</v>
      </c>
      <c r="C722" s="2" t="s">
        <v>2049</v>
      </c>
      <c r="D722" s="2" t="s">
        <v>44</v>
      </c>
      <c r="E722" s="2" t="s">
        <v>27</v>
      </c>
      <c r="F722" s="2" t="s">
        <v>15</v>
      </c>
      <c r="G722" s="2" t="s">
        <v>708</v>
      </c>
      <c r="H722" s="2" t="s">
        <v>35</v>
      </c>
      <c r="I722" s="2" t="str">
        <f>IFERROR(__xludf.DUMMYFUNCTION("GOOGLETRANSLATE(C722,""fr"",""en"")"),"My first experience with Direct Insurance was with the phone advisor. This exchange went very well, very helpful and available, despite all my questions.")</f>
        <v>My first experience with Direct Insurance was with the phone advisor. This exchange went very well, very helpful and available, despite all my questions.</v>
      </c>
    </row>
    <row r="723" ht="15.75" customHeight="1">
      <c r="A723" s="2">
        <v>2.0</v>
      </c>
      <c r="B723" s="2" t="s">
        <v>2050</v>
      </c>
      <c r="C723" s="2" t="s">
        <v>2051</v>
      </c>
      <c r="D723" s="2" t="s">
        <v>134</v>
      </c>
      <c r="E723" s="2" t="s">
        <v>27</v>
      </c>
      <c r="F723" s="2" t="s">
        <v>15</v>
      </c>
      <c r="G723" s="2" t="s">
        <v>2052</v>
      </c>
      <c r="H723" s="2" t="s">
        <v>324</v>
      </c>
      <c r="I723" s="2" t="str">
        <f>IFERROR(__xludf.DUMMYFUNCTION("GOOGLETRANSLATE(C723,""fr"",""en"")"),"In 5 years of insurance: 2 non -responsible accidents + 1 responsible accident. Fired without care. Proposed solution: new insurance 2 times + dear.
I think GMF gets rid of customers at a certain age (I am 67 years old).
No possible conciliation ... the"&amp;"y drag things to provide you with their replacement insurance. Flee this indelicate insurer !!!!!!")</f>
        <v>In 5 years of insurance: 2 non -responsible accidents + 1 responsible accident. Fired without care. Proposed solution: new insurance 2 times + dear.
I think GMF gets rid of customers at a certain age (I am 67 years old).
No possible conciliation ... they drag things to provide you with their replacement insurance. Flee this indelicate insurer !!!!!!</v>
      </c>
    </row>
    <row r="724" ht="15.75" customHeight="1">
      <c r="A724" s="2">
        <v>4.0</v>
      </c>
      <c r="B724" s="2" t="s">
        <v>2053</v>
      </c>
      <c r="C724" s="2" t="s">
        <v>2054</v>
      </c>
      <c r="D724" s="2" t="s">
        <v>616</v>
      </c>
      <c r="E724" s="2" t="s">
        <v>14</v>
      </c>
      <c r="F724" s="2" t="s">
        <v>15</v>
      </c>
      <c r="G724" s="2" t="s">
        <v>500</v>
      </c>
      <c r="H724" s="2" t="s">
        <v>177</v>
      </c>
      <c r="I724" s="2" t="str">
        <f>IFERROR(__xludf.DUMMYFUNCTION("GOOGLETRANSLATE(C724,""fr"",""en"")"),"I just had a generation person on the phone for hospital care:
Quick response
Very good listening
Very good customer service")</f>
        <v>I just had a generation person on the phone for hospital care:
Quick response
Very good listening
Very good customer service</v>
      </c>
    </row>
    <row r="725" ht="15.75" customHeight="1">
      <c r="A725" s="2">
        <v>3.0</v>
      </c>
      <c r="B725" s="2" t="s">
        <v>2055</v>
      </c>
      <c r="C725" s="2" t="s">
        <v>2056</v>
      </c>
      <c r="D725" s="2" t="s">
        <v>44</v>
      </c>
      <c r="E725" s="2" t="s">
        <v>27</v>
      </c>
      <c r="F725" s="2" t="s">
        <v>15</v>
      </c>
      <c r="G725" s="2" t="s">
        <v>2057</v>
      </c>
      <c r="H725" s="2" t="s">
        <v>35</v>
      </c>
      <c r="I725" s="2" t="str">
        <f>IFERROR(__xludf.DUMMYFUNCTION("GOOGLETRANSLATE(C725,""fr"",""en"")"),"I have been a customer for a long time, I do not think I have to give more explanations! However, I regret not being able to ensure my home for the moment at home.")</f>
        <v>I have been a customer for a long time, I do not think I have to give more explanations! However, I regret not being able to ensure my home for the moment at home.</v>
      </c>
    </row>
    <row r="726" ht="15.75" customHeight="1">
      <c r="A726" s="2">
        <v>2.0</v>
      </c>
      <c r="B726" s="2" t="s">
        <v>2058</v>
      </c>
      <c r="C726" s="2" t="s">
        <v>2059</v>
      </c>
      <c r="D726" s="2" t="s">
        <v>1472</v>
      </c>
      <c r="E726" s="2" t="s">
        <v>33</v>
      </c>
      <c r="F726" s="2" t="s">
        <v>15</v>
      </c>
      <c r="G726" s="2" t="s">
        <v>1439</v>
      </c>
      <c r="H726" s="2" t="s">
        <v>339</v>
      </c>
      <c r="I726" s="2" t="str">
        <f>IFERROR(__xludf.DUMMYFUNCTION("GOOGLETRANSLATE(C726,""fr"",""en"")"),"Hi there
For the moment I am still a customer at Crédit Mutuel and this for over 30 years with coral 3000 home insurance without deductible; Only here I declare 3 successive small claims, broken glasses quotes more than 350 euros invoice for 140 euros; A"&amp;"larm central value more than 1000 euros to change everything found the power station for 120 euros and camera around 1000 euros found for 635 euros so I did so that insurance reimburses as little as possible. All the pain that I gave myself to reduce the "&amp;"amounts I am imposed on me a deductible of 150 euros is that the thanks another person would not have taken the trouble to do so.
")</f>
        <v>Hi there
For the moment I am still a customer at Crédit Mutuel and this for over 30 years with coral 3000 home insurance without deductible; Only here I declare 3 successive small claims, broken glasses quotes more than 350 euros invoice for 140 euros; Alarm central value more than 1000 euros to change everything found the power station for 120 euros and camera around 1000 euros found for 635 euros so I did so that insurance reimburses as little as possible. All the pain that I gave myself to reduce the amounts I am imposed on me a deductible of 150 euros is that the thanks another person would not have taken the trouble to do so.
</v>
      </c>
    </row>
    <row r="727" ht="15.75" customHeight="1">
      <c r="A727" s="2">
        <v>1.0</v>
      </c>
      <c r="B727" s="2" t="s">
        <v>2060</v>
      </c>
      <c r="C727" s="2" t="s">
        <v>2061</v>
      </c>
      <c r="D727" s="2" t="s">
        <v>204</v>
      </c>
      <c r="E727" s="2" t="s">
        <v>27</v>
      </c>
      <c r="F727" s="2" t="s">
        <v>15</v>
      </c>
      <c r="G727" s="2" t="s">
        <v>23</v>
      </c>
      <c r="H727" s="2" t="s">
        <v>23</v>
      </c>
      <c r="I727" s="2" t="str">
        <f>IFERROR(__xludf.DUMMYFUNCTION("GOOGLETRANSLATE(C727,""fr"",""en"")"),"TO FLEE ! Two possibilities: either Allianz does not need new customers, or their online insurance system is not at all. In both cases, you might as well close the online subscription form because it is useless except to punctuate us 137 euros for a month"&amp;" of insurance.
I take out auto insurance on the Allianz website on 04/06/2021 and I receive a temporary contract of one month, while waiting to be able to send them all the supporting documents, including the gray card of the vehicle that I have just bou"&amp;"ght , to obtain my annual contract. So far everything is normal. I send all the documents on 06/11/2021. A week later, no news, but a reminder message, this time asking me to send my documents to another email address than the first (!! ??) good, a techni"&amp;"cal problem, it happens, I do . On 25/06, still no news from Allianz, while my temporary contract ends on 04/07. It becomes worrying. Online messaging gives nothing. I contact them on the Twitter social network, an advisor transmits my message to customer"&amp;" service. Magic, I immediately receive my annual contract ... with an error! I point it out to them by return to email. They make the dead again. A few days later, I therefore contact the Twitter advisor, who tells me that she re-transmits my request. The"&amp;" following days, still nothing. I therefore phone the number indicated on their site: I have an advisor at the end of the line that can do nothing but write a reminder email to customer service; Impossible to reach them by myself! 24 hours later, still no"&amp;"thing. I therefore re-contact them on Twitter. We are 01/07, I only have three days left before I was no longer insured and to be illegal because of the incompetence of Allianz. I threaten this time to cancel my contract with Allianz if I do not receive t"&amp;"he document during the day. I am told that we understand my dismay and that the situation will be released. End of the day, I still haven't received my contract.
To believe that at Allianz, we don't want new customers! You who are looking for an insurer,"&amp;" ready to send all your personal documents and sign a direct debit mandate, no need to contact Allianz, they will ignore you royally. So much the better for their competitors!")</f>
        <v>TO FLEE ! Two possibilities: either Allianz does not need new customers, or their online insurance system is not at all. In both cases, you might as well close the online subscription form because it is useless except to punctuate us 137 euros for a month of insurance.
I take out auto insurance on the Allianz website on 04/06/2021 and I receive a temporary contract of one month, while waiting to be able to send them all the supporting documents, including the gray card of the vehicle that I have just bought , to obtain my annual contract. So far everything is normal. I send all the documents on 06/11/2021. A week later, no news, but a reminder message, this time asking me to send my documents to another email address than the first (!! ??) good, a technical problem, it happens, I do . On 25/06, still no news from Allianz, while my temporary contract ends on 04/07. It becomes worrying. Online messaging gives nothing. I contact them on the Twitter social network, an advisor transmits my message to customer service. Magic, I immediately receive my annual contract ... with an error! I point it out to them by return to email. They make the dead again. A few days later, I therefore contact the Twitter advisor, who tells me that she re-transmits my request. The following days, still nothing. I therefore phone the number indicated on their site: I have an advisor at the end of the line that can do nothing but write a reminder email to customer service; Impossible to reach them by myself! 24 hours later, still nothing. I therefore re-contact them on Twitter. We are 01/07, I only have three days left before I was no longer insured and to be illegal because of the incompetence of Allianz. I threaten this time to cancel my contract with Allianz if I do not receive the document during the day. I am told that we understand my dismay and that the situation will be released. End of the day, I still haven't received my contract.
To believe that at Allianz, we don't want new customers! You who are looking for an insurer, ready to send all your personal documents and sign a direct debit mandate, no need to contact Allianz, they will ignore you royally. So much the better for their competitors!</v>
      </c>
    </row>
    <row r="728" ht="15.75" customHeight="1">
      <c r="A728" s="2">
        <v>5.0</v>
      </c>
      <c r="B728" s="2" t="s">
        <v>2062</v>
      </c>
      <c r="C728" s="2" t="s">
        <v>2063</v>
      </c>
      <c r="D728" s="2" t="s">
        <v>44</v>
      </c>
      <c r="E728" s="2" t="s">
        <v>27</v>
      </c>
      <c r="F728" s="2" t="s">
        <v>15</v>
      </c>
      <c r="G728" s="2" t="s">
        <v>2064</v>
      </c>
      <c r="H728" s="2" t="s">
        <v>57</v>
      </c>
      <c r="I728" s="2" t="str">
        <f>IFERROR(__xludf.DUMMYFUNCTION("GOOGLETRANSLATE(C728,""fr"",""en"")"),"I am sitting on the good price and fast service in the service
amicable customer relationship
Quick telephone contact with cleric and simple explanation")</f>
        <v>I am sitting on the good price and fast service in the service
amicable customer relationship
Quick telephone contact with cleric and simple explanation</v>
      </c>
    </row>
    <row r="729" ht="15.75" customHeight="1">
      <c r="A729" s="2">
        <v>4.0</v>
      </c>
      <c r="B729" s="2" t="s">
        <v>2065</v>
      </c>
      <c r="C729" s="2" t="s">
        <v>2066</v>
      </c>
      <c r="D729" s="2" t="s">
        <v>32</v>
      </c>
      <c r="E729" s="2" t="s">
        <v>39</v>
      </c>
      <c r="F729" s="2" t="s">
        <v>15</v>
      </c>
      <c r="G729" s="2" t="s">
        <v>2067</v>
      </c>
      <c r="H729" s="2" t="s">
        <v>324</v>
      </c>
      <c r="I729" s="2" t="str">
        <f>IFERROR(__xludf.DUMMYFUNCTION("GOOGLETRANSLATE(C729,""fr"",""en"")"),"fast and efficient service. They agreed to transfer my car bonus (without being a main driver) for motorcycle subscription. at the end of the call I had the temporary sticker (for 1 month) by email")</f>
        <v>fast and efficient service. They agreed to transfer my car bonus (without being a main driver) for motorcycle subscription. at the end of the call I had the temporary sticker (for 1 month) by email</v>
      </c>
    </row>
    <row r="730" ht="15.75" customHeight="1">
      <c r="A730" s="2">
        <v>1.0</v>
      </c>
      <c r="B730" s="2" t="s">
        <v>2068</v>
      </c>
      <c r="C730" s="2" t="s">
        <v>2069</v>
      </c>
      <c r="D730" s="2" t="s">
        <v>26</v>
      </c>
      <c r="E730" s="2" t="s">
        <v>27</v>
      </c>
      <c r="F730" s="2" t="s">
        <v>15</v>
      </c>
      <c r="G730" s="2" t="s">
        <v>223</v>
      </c>
      <c r="H730" s="2" t="s">
        <v>57</v>
      </c>
      <c r="I730" s="2" t="str">
        <f>IFERROR(__xludf.DUMMYFUNCTION("GOOGLETRANSLATE(C730,""fr"",""en"")"),"Scandalous!
After taking out a contract, I asked to be able to terminate the latter via the withdrawal faculty which is possible according to the general conditions within the imparted time.
The Olivier Insurance reimbursed me that half of the amount "&amp;"(€ 50 out of 100 €) and no longer responds to my emails or my calls.
I do not recommend this insurer at all!
To flee !
Raphael")</f>
        <v>Scandalous!
After taking out a contract, I asked to be able to terminate the latter via the withdrawal faculty which is possible according to the general conditions within the imparted time.
The Olivier Insurance reimbursed me that half of the amount (€ 50 out of 100 €) and no longer responds to my emails or my calls.
I do not recommend this insurer at all!
To flee !
Raphael</v>
      </c>
    </row>
    <row r="731" ht="15.75" customHeight="1">
      <c r="A731" s="2">
        <v>4.0</v>
      </c>
      <c r="B731" s="2" t="s">
        <v>2070</v>
      </c>
      <c r="C731" s="2" t="s">
        <v>2071</v>
      </c>
      <c r="D731" s="2" t="s">
        <v>26</v>
      </c>
      <c r="E731" s="2" t="s">
        <v>27</v>
      </c>
      <c r="F731" s="2" t="s">
        <v>15</v>
      </c>
      <c r="G731" s="2" t="s">
        <v>2072</v>
      </c>
      <c r="H731" s="2" t="s">
        <v>62</v>
      </c>
      <c r="I731" s="2" t="str">
        <f>IFERROR(__xludf.DUMMYFUNCTION("GOOGLETRANSLATE(C731,""fr"",""en"")"),"Insurance always listening and finds solutions each time. I broke down on the highway for a weekend and I saw the big hassle! They were great for the management of the problem from start to finish. A big thank you to your team")</f>
        <v>Insurance always listening and finds solutions each time. I broke down on the highway for a weekend and I saw the big hassle! They were great for the management of the problem from start to finish. A big thank you to your team</v>
      </c>
    </row>
    <row r="732" ht="15.75" customHeight="1">
      <c r="A732" s="2">
        <v>4.0</v>
      </c>
      <c r="B732" s="2" t="s">
        <v>2073</v>
      </c>
      <c r="C732" s="2" t="s">
        <v>2074</v>
      </c>
      <c r="D732" s="2" t="s">
        <v>44</v>
      </c>
      <c r="E732" s="2" t="s">
        <v>27</v>
      </c>
      <c r="F732" s="2" t="s">
        <v>15</v>
      </c>
      <c r="G732" s="2" t="s">
        <v>1500</v>
      </c>
      <c r="H732" s="2" t="s">
        <v>46</v>
      </c>
      <c r="I732" s="2" t="str">
        <f>IFERROR(__xludf.DUMMYFUNCTION("GOOGLETRANSLATE(C732,""fr"",""en"")"),"I am satisfied with the company and the price of this contract. I recommend the partner to my family and friends. The management of service staff is pleasant and satisfactory.
Thank you")</f>
        <v>I am satisfied with the company and the price of this contract. I recommend the partner to my family and friends. The management of service staff is pleasant and satisfactory.
Thank you</v>
      </c>
    </row>
    <row r="733" ht="15.75" customHeight="1">
      <c r="A733" s="2">
        <v>2.0</v>
      </c>
      <c r="B733" s="2" t="s">
        <v>2075</v>
      </c>
      <c r="C733" s="2" t="s">
        <v>2076</v>
      </c>
      <c r="D733" s="2" t="s">
        <v>44</v>
      </c>
      <c r="E733" s="2" t="s">
        <v>27</v>
      </c>
      <c r="F733" s="2" t="s">
        <v>15</v>
      </c>
      <c r="G733" s="2" t="s">
        <v>1003</v>
      </c>
      <c r="H733" s="2" t="s">
        <v>57</v>
      </c>
      <c r="I733" s="2" t="str">
        <f>IFERROR(__xludf.DUMMYFUNCTION("GOOGLETRANSLATE(C733,""fr"",""en"")"),"A claim that costs € 300 repair I have to pay a deductible of € 400 ....
However, I took a ""all risk"" formula that I pay € 2000 for the year but again direct insurance turns out to be useless because it is still for me to pay during a disaster.")</f>
        <v>A claim that costs € 300 repair I have to pay a deductible of € 400 ....
However, I took a "all risk" formula that I pay € 2000 for the year but again direct insurance turns out to be useless because it is still for me to pay during a disaster.</v>
      </c>
    </row>
    <row r="734" ht="15.75" customHeight="1">
      <c r="A734" s="2">
        <v>5.0</v>
      </c>
      <c r="B734" s="2" t="s">
        <v>2077</v>
      </c>
      <c r="C734" s="2" t="s">
        <v>2078</v>
      </c>
      <c r="D734" s="2" t="s">
        <v>134</v>
      </c>
      <c r="E734" s="2" t="s">
        <v>27</v>
      </c>
      <c r="F734" s="2" t="s">
        <v>15</v>
      </c>
      <c r="G734" s="2" t="s">
        <v>883</v>
      </c>
      <c r="H734" s="2" t="s">
        <v>159</v>
      </c>
      <c r="I734" s="2" t="str">
        <f>IFERROR(__xludf.DUMMYFUNCTION("GOOGLETRANSLATE(C734,""fr"",""en"")"),"I am satisfied with services, quality of reception and listening as well as prices. We are a long -standing member and intend to stay it for as long as possible.")</f>
        <v>I am satisfied with services, quality of reception and listening as well as prices. We are a long -standing member and intend to stay it for as long as possible.</v>
      </c>
    </row>
    <row r="735" ht="15.75" customHeight="1">
      <c r="A735" s="2">
        <v>4.0</v>
      </c>
      <c r="B735" s="2" t="s">
        <v>2079</v>
      </c>
      <c r="C735" s="2" t="s">
        <v>2080</v>
      </c>
      <c r="D735" s="2" t="s">
        <v>26</v>
      </c>
      <c r="E735" s="2" t="s">
        <v>27</v>
      </c>
      <c r="F735" s="2" t="s">
        <v>15</v>
      </c>
      <c r="G735" s="2" t="s">
        <v>1003</v>
      </c>
      <c r="H735" s="2" t="s">
        <v>57</v>
      </c>
      <c r="I735" s="2" t="str">
        <f>IFERROR(__xludf.DUMMYFUNCTION("GOOGLETRANSLATE(C735,""fr"",""en"")"),"I am satisfied with the service, the prices suit me. The site and telephone calls are simple ... fast ... but effective ... and practical ...")</f>
        <v>I am satisfied with the service, the prices suit me. The site and telephone calls are simple ... fast ... but effective ... and practical ...</v>
      </c>
    </row>
    <row r="736" ht="15.75" customHeight="1">
      <c r="A736" s="2">
        <v>4.0</v>
      </c>
      <c r="B736" s="2" t="s">
        <v>2081</v>
      </c>
      <c r="C736" s="2" t="s">
        <v>2082</v>
      </c>
      <c r="D736" s="2" t="s">
        <v>55</v>
      </c>
      <c r="E736" s="2" t="s">
        <v>14</v>
      </c>
      <c r="F736" s="2" t="s">
        <v>15</v>
      </c>
      <c r="G736" s="2" t="s">
        <v>2083</v>
      </c>
      <c r="H736" s="2" t="s">
        <v>119</v>
      </c>
      <c r="I736" s="2" t="str">
        <f>IFERROR(__xludf.DUMMYFUNCTION("GOOGLETRANSLATE(C736,""fr"",""en"")"),"Good customer service very accessible and charming good explanation pleasant contact")</f>
        <v>Good customer service very accessible and charming good explanation pleasant contact</v>
      </c>
    </row>
    <row r="737" ht="15.75" customHeight="1">
      <c r="A737" s="2">
        <v>2.0</v>
      </c>
      <c r="B737" s="2" t="s">
        <v>2084</v>
      </c>
      <c r="C737" s="2" t="s">
        <v>2085</v>
      </c>
      <c r="D737" s="2" t="s">
        <v>44</v>
      </c>
      <c r="E737" s="2" t="s">
        <v>27</v>
      </c>
      <c r="F737" s="2" t="s">
        <v>15</v>
      </c>
      <c r="G737" s="2" t="s">
        <v>122</v>
      </c>
      <c r="H737" s="2" t="s">
        <v>57</v>
      </c>
      <c r="I737" s="2" t="str">
        <f>IFERROR(__xludf.DUMMYFUNCTION("GOOGLETRANSLATE(C737,""fr"",""en"")"),"I find the price high enough for the number of years by being at home when I have never had an accident or any concern, I always wait for a call that was to update my car contract.")</f>
        <v>I find the price high enough for the number of years by being at home when I have never had an accident or any concern, I always wait for a call that was to update my car contract.</v>
      </c>
    </row>
    <row r="738" ht="15.75" customHeight="1">
      <c r="A738" s="2">
        <v>1.0</v>
      </c>
      <c r="B738" s="2" t="s">
        <v>2086</v>
      </c>
      <c r="C738" s="2" t="s">
        <v>2087</v>
      </c>
      <c r="D738" s="2" t="s">
        <v>44</v>
      </c>
      <c r="E738" s="2" t="s">
        <v>27</v>
      </c>
      <c r="F738" s="2" t="s">
        <v>15</v>
      </c>
      <c r="G738" s="2" t="s">
        <v>2003</v>
      </c>
      <c r="H738" s="2" t="s">
        <v>72</v>
      </c>
      <c r="I738" s="2" t="str">
        <f>IFERROR(__xludf.DUMMYFUNCTION("GOOGLETRANSLATE(C738,""fr"",""en"")"),"Deplurable Telephonic Services. As long as you don't need them everything is fine. In the opposite case, to flee !!!!")</f>
        <v>Deplurable Telephonic Services. As long as you don't need them everything is fine. In the opposite case, to flee !!!!</v>
      </c>
    </row>
    <row r="739" ht="15.75" customHeight="1">
      <c r="A739" s="2">
        <v>5.0</v>
      </c>
      <c r="B739" s="2" t="s">
        <v>2088</v>
      </c>
      <c r="C739" s="2" t="s">
        <v>2089</v>
      </c>
      <c r="D739" s="2" t="s">
        <v>26</v>
      </c>
      <c r="E739" s="2" t="s">
        <v>27</v>
      </c>
      <c r="F739" s="2" t="s">
        <v>15</v>
      </c>
      <c r="G739" s="2" t="s">
        <v>1217</v>
      </c>
      <c r="H739" s="2" t="s">
        <v>41</v>
      </c>
      <c r="I739" s="2" t="str">
        <f>IFERROR(__xludf.DUMMYFUNCTION("GOOGLETRANSLATE(C739,""fr"",""en"")"),"I am satisfied with my subscription, the welcome is pleasant, the price is very attractive. I hope that compensation in the event of a claim will be just as much.")</f>
        <v>I am satisfied with my subscription, the welcome is pleasant, the price is very attractive. I hope that compensation in the event of a claim will be just as much.</v>
      </c>
    </row>
    <row r="740" ht="15.75" customHeight="1">
      <c r="A740" s="2">
        <v>1.0</v>
      </c>
      <c r="B740" s="2" t="s">
        <v>2090</v>
      </c>
      <c r="C740" s="2" t="s">
        <v>2091</v>
      </c>
      <c r="D740" s="2" t="s">
        <v>100</v>
      </c>
      <c r="E740" s="2" t="s">
        <v>76</v>
      </c>
      <c r="F740" s="2" t="s">
        <v>15</v>
      </c>
      <c r="G740" s="2" t="s">
        <v>886</v>
      </c>
      <c r="H740" s="2" t="s">
        <v>86</v>
      </c>
      <c r="I740" s="2" t="str">
        <f>IFERROR(__xludf.DUMMYFUNCTION("GOOGLETRANSLATE(C740,""fr"",""en"")"),"Hello,
Temporary, I was on maternity leave from the end of January 2020 until May 2020. To date, I have not received any care which earned me financial concerns and a big stress to manage at the same time Or I welcomed my 1st baby. My spouse is a nurse a"&amp;"nd I understand very well the issues concerning this difficult health period. However, the services expected by the contributors to this insurance are of the order of the survival for some who are already in absolute precariousness.
When I read all the m"&amp;"essages I wonder about the possibility of creating a collective, warning the press, and seizing justice so that the light is made on this organization punctuating the contributions with precision, regularity and rigor without However, fulfilling his share"&amp;" of the contract, that is to say, compensate his contributors. After several mail and telephone reminders I learned that my file had not even been opened in their processing base, but it has been all the documents in their possession for months. I did not"&amp;" have the choice of this complement but if you especially flee it !!!!! My real note ""0"" (not being able to put less than a star on the site)
")</f>
        <v>Hello,
Temporary, I was on maternity leave from the end of January 2020 until May 2020. To date, I have not received any care which earned me financial concerns and a big stress to manage at the same time Or I welcomed my 1st baby. My spouse is a nurse and I understand very well the issues concerning this difficult health period. However, the services expected by the contributors to this insurance are of the order of the survival for some who are already in absolute precariousness.
When I read all the messages I wonder about the possibility of creating a collective, warning the press, and seizing justice so that the light is made on this organization punctuating the contributions with precision, regularity and rigor without However, fulfilling his share of the contract, that is to say, compensate his contributors. After several mail and telephone reminders I learned that my file had not even been opened in their processing base, but it has been all the documents in their possession for months. I did not have the choice of this complement but if you especially flee it !!!!! My real note "0" (not being able to put less than a star on the site)
</v>
      </c>
    </row>
    <row r="741" ht="15.75" customHeight="1">
      <c r="A741" s="2">
        <v>4.0</v>
      </c>
      <c r="B741" s="2" t="s">
        <v>2092</v>
      </c>
      <c r="C741" s="2" t="s">
        <v>2093</v>
      </c>
      <c r="D741" s="2" t="s">
        <v>38</v>
      </c>
      <c r="E741" s="2" t="s">
        <v>39</v>
      </c>
      <c r="F741" s="2" t="s">
        <v>15</v>
      </c>
      <c r="G741" s="2" t="s">
        <v>550</v>
      </c>
      <c r="H741" s="2" t="s">
        <v>159</v>
      </c>
      <c r="I741" s="2" t="str">
        <f>IFERROR(__xludf.DUMMYFUNCTION("GOOGLETRANSLATE(C741,""fr"",""en"")"),"Good service. The prices are correct.
Good telephone service with little waiting when you need them. Listening quickly in the event of an administrative or pecunier problem.")</f>
        <v>Good service. The prices are correct.
Good telephone service with little waiting when you need them. Listening quickly in the event of an administrative or pecunier problem.</v>
      </c>
    </row>
    <row r="742" ht="15.75" customHeight="1">
      <c r="A742" s="2">
        <v>1.0</v>
      </c>
      <c r="B742" s="2" t="s">
        <v>2094</v>
      </c>
      <c r="C742" s="2" t="s">
        <v>2095</v>
      </c>
      <c r="D742" s="2" t="s">
        <v>26</v>
      </c>
      <c r="E742" s="2" t="s">
        <v>27</v>
      </c>
      <c r="F742" s="2" t="s">
        <v>15</v>
      </c>
      <c r="G742" s="2" t="s">
        <v>2096</v>
      </c>
      <c r="H742" s="2" t="s">
        <v>403</v>
      </c>
      <c r="I742" s="2" t="str">
        <f>IFERROR(__xludf.DUMMYFUNCTION("GOOGLETRANSLATE(C742,""fr"",""en"")"),"Abominable advisers and service,
I subscribed to this insurance in December 2016. I was baited by the kindness of the advisor who assured me that she would take care of the termination of my old contract and the request of the statements of Information"&amp;" concerning me and concerning my husband. I therefore transmit the documents she needed (gray card, permit, signed contract, etc.)
A few weeks later, I am asked for these famous RIs that I send immediately. Still a few weeks, I am asked that they are les"&amp;"s than two months old, and it is starting to become heavy but I still refer when I have to call 5 insurance to have those of my husband and mine (for the 36 months) . I await and wait, to be sure that everything ok, I call customer service and I have a ce"&amp;"rtain advisor who barks on the phone that I have to wait like everyone ...
It's been three months since I returned documents that are not treated, I only receive emails from ""this is missing and that"". I have never seen such slow and non -professional "&amp;"insurance.
I asked to terminate and go to competition but to no avail !!!
")</f>
        <v>Abominable advisers and service,
I subscribed to this insurance in December 2016. I was baited by the kindness of the advisor who assured me that she would take care of the termination of my old contract and the request of the statements of Information concerning me and concerning my husband. I therefore transmit the documents she needed (gray card, permit, signed contract, etc.)
A few weeks later, I am asked for these famous RIs that I send immediately. Still a few weeks, I am asked that they are less than two months old, and it is starting to become heavy but I still refer when I have to call 5 insurance to have those of my husband and mine (for the 36 months) . I await and wait, to be sure that everything ok, I call customer service and I have a certain advisor who barks on the phone that I have to wait like everyone ...
It's been three months since I returned documents that are not treated, I only receive emails from "this is missing and that". I have never seen such slow and non -professional insurance.
I asked to terminate and go to competition but to no avail !!!
</v>
      </c>
    </row>
    <row r="743" ht="15.75" customHeight="1">
      <c r="A743" s="2">
        <v>1.0</v>
      </c>
      <c r="B743" s="2" t="s">
        <v>2097</v>
      </c>
      <c r="C743" s="2" t="s">
        <v>2098</v>
      </c>
      <c r="D743" s="2" t="s">
        <v>1472</v>
      </c>
      <c r="E743" s="2" t="s">
        <v>33</v>
      </c>
      <c r="F743" s="2" t="s">
        <v>15</v>
      </c>
      <c r="G743" s="2" t="s">
        <v>2099</v>
      </c>
      <c r="H743" s="2" t="s">
        <v>230</v>
      </c>
      <c r="I743" s="2" t="str">
        <f>IFERROR(__xludf.DUMMYFUNCTION("GOOGLETRANSLATE(C743,""fr"",""en"")"),"Insured since 2009 for a housing for rent with unpaid rent option and legal protection, it was in 2016 during a laborious claims declaration after 1 month of unsuccessful calls to observance we learned that insurance did not work Because real estate is in"&amp;" rental management to a real estate agency. We thought that making our real estate manage does not worsen the risks as stipulated in article L113-2 of the insurance code on the contrary. But unfortunately, it was registered in the new special/general cond"&amp;"itions that we had signed in 2015 but not in those of 2009. Conclusion: Read everything you sign. For us despite 30 years of Crédit Mutuel and several insurances, accounts, credits in various agencies, Crédit Mutuel is under its right. We have paid the co"&amp;"ntributions for several years so that today we have to bear unpaid rents, justice costs, restoration of a downgrade declared unhealthy by a bailiff. This still represents the price of a small car.")</f>
        <v>Insured since 2009 for a housing for rent with unpaid rent option and legal protection, it was in 2016 during a laborious claims declaration after 1 month of unsuccessful calls to observance we learned that insurance did not work Because real estate is in rental management to a real estate agency. We thought that making our real estate manage does not worsen the risks as stipulated in article L113-2 of the insurance code on the contrary. But unfortunately, it was registered in the new special/general conditions that we had signed in 2015 but not in those of 2009. Conclusion: Read everything you sign. For us despite 30 years of Crédit Mutuel and several insurances, accounts, credits in various agencies, Crédit Mutuel is under its right. We have paid the contributions for several years so that today we have to bear unpaid rents, justice costs, restoration of a downgrade declared unhealthy by a bailiff. This still represents the price of a small car.</v>
      </c>
    </row>
    <row r="744" ht="15.75" customHeight="1">
      <c r="A744" s="2">
        <v>3.0</v>
      </c>
      <c r="B744" s="2" t="s">
        <v>2100</v>
      </c>
      <c r="C744" s="2" t="s">
        <v>2101</v>
      </c>
      <c r="D744" s="2" t="s">
        <v>148</v>
      </c>
      <c r="E744" s="2" t="s">
        <v>33</v>
      </c>
      <c r="F744" s="2" t="s">
        <v>15</v>
      </c>
      <c r="G744" s="2" t="s">
        <v>2102</v>
      </c>
      <c r="H744" s="2" t="s">
        <v>214</v>
      </c>
      <c r="I744" s="2" t="str">
        <f>IFERROR(__xludf.DUMMYFUNCTION("GOOGLETRANSLATE(C744,""fr"",""en"")"),"I am very disappointed with the maif, I have sunk the bumper of my C5, or perhaps another vehicle in a parking lot, since I am not aware of having hit a brief wall the maif did not Not wanted to repay this repair although I am ensuring any risk. In short,"&amp;" € 900 repair at my expense. Bravo the maif! We are guaranteed why?
We are customers to pay only!")</f>
        <v>I am very disappointed with the maif, I have sunk the bumper of my C5, or perhaps another vehicle in a parking lot, since I am not aware of having hit a brief wall the maif did not Not wanted to repay this repair although I am ensuring any risk. In short, € 900 repair at my expense. Bravo the maif! We are guaranteed why?
We are customers to pay only!</v>
      </c>
    </row>
    <row r="745" ht="15.75" customHeight="1">
      <c r="A745" s="2">
        <v>4.0</v>
      </c>
      <c r="B745" s="2" t="s">
        <v>2103</v>
      </c>
      <c r="C745" s="2" t="s">
        <v>2104</v>
      </c>
      <c r="D745" s="2" t="s">
        <v>26</v>
      </c>
      <c r="E745" s="2" t="s">
        <v>27</v>
      </c>
      <c r="F745" s="2" t="s">
        <v>15</v>
      </c>
      <c r="G745" s="2" t="s">
        <v>637</v>
      </c>
      <c r="H745" s="2" t="s">
        <v>159</v>
      </c>
      <c r="I745" s="2" t="str">
        <f>IFERROR(__xludf.DUMMYFUNCTION("GOOGLETRANSLATE(C745,""fr"",""en"")"),"I am satisfied with the service and the rates are quite advantageous. Ensure at the minute and provisional green card received and 24 hours thank you to the Olivier Insurance")</f>
        <v>I am satisfied with the service and the rates are quite advantageous. Ensure at the minute and provisional green card received and 24 hours thank you to the Olivier Insurance</v>
      </c>
    </row>
    <row r="746" ht="15.75" customHeight="1">
      <c r="A746" s="2">
        <v>1.0</v>
      </c>
      <c r="B746" s="2" t="s">
        <v>2105</v>
      </c>
      <c r="C746" s="2" t="s">
        <v>2106</v>
      </c>
      <c r="D746" s="2" t="s">
        <v>237</v>
      </c>
      <c r="E746" s="2" t="s">
        <v>14</v>
      </c>
      <c r="F746" s="2" t="s">
        <v>15</v>
      </c>
      <c r="G746" s="2" t="s">
        <v>2107</v>
      </c>
      <c r="H746" s="2" t="s">
        <v>86</v>
      </c>
      <c r="I746" s="2" t="str">
        <f>IFERROR(__xludf.DUMMYFUNCTION("GOOGLETRANSLATE(C746,""fr"",""en"")"),"Really the worst customer mutual customer service just below everything who tells the customer just what they want to hear you have to multiply requests both by registered mail and from their customer area to hope for care !! ! I have been desperately fig"&amp;"hting since December 4 for a care for a service of 1442, € 38. I always wait for my multiple complaints to be answered for other requests, including November when we are on January 15 !!! We end up putting me in relation supposedly with tray managers I am"&amp;" made to believe that the request passes as a priority I am told that I will receive an email confirming the care. The list is really endless it makes me even Believe that we will bring an answer on a Saturday while the service is closed ... An advisor to"&amp;" this just the silence of the poor victims of customers history that the call is finished quickly !!! Your file is supposed to be an emergency but I was made to understand that for a service on December 4 I will not be able to claim a refund before Februa"&amp;"ry 15.
Counts the victims who are customers of this mutual insurance company I encourage them to get closer like me to consume their legal insurance in order to request damage to which one can claim, including the mediator for the delay in contractual re"&amp;"imbursement period not respected period .
Your file has also been transmitted to the program It can happen to you by Julien Courbet. I invite all the customers who suffer the excuses of the COVID to manifest themselves. I nevertheless end up having an ad"&amp;"visor who recognizes that the usual processing period and already excluding contractual deadline is approximately 3 weeks for a refund after receipt and that there is more than a month of care for care, so it is necessary Count minimum one month and a hal"&amp;"f before claiming a reimbursement, however, you are obliged to keep your commitments so that the withdrawals are well validated.
You never know in case a real responsible would like to take care of my request so that I will stop all my judicial understan"&amp;"ding.
And finally I was going to forget we also often come across Portugal which does not master the French language if we scramble your name on four times I know as an answer that we have the right to be wrong ...
Above all, especially do not subscri"&amp;"be to this mutual, it is really pitiful you often have to wait more than 30 minutes to reach an advisor.
Cordially")</f>
        <v>Really the worst customer mutual customer service just below everything who tells the customer just what they want to hear you have to multiply requests both by registered mail and from their customer area to hope for care !! ! I have been desperately fighting since December 4 for a care for a service of 1442, € 38. I always wait for my multiple complaints to be answered for other requests, including November when we are on January 15 !!! We end up putting me in relation supposedly with tray managers I am made to believe that the request passes as a priority I am told that I will receive an email confirming the care. The list is really endless it makes me even Believe that we will bring an answer on a Saturday while the service is closed ... An advisor to this just the silence of the poor victims of customers history that the call is finished quickly !!! Your file is supposed to be an emergency but I was made to understand that for a service on December 4 I will not be able to claim a refund before February 15.
Counts the victims who are customers of this mutual insurance company I encourage them to get closer like me to consume their legal insurance in order to request damage to which one can claim, including the mediator for the delay in contractual reimbursement period not respected period .
Your file has also been transmitted to the program It can happen to you by Julien Courbet. I invite all the customers who suffer the excuses of the COVID to manifest themselves. I nevertheless end up having an advisor who recognizes that the usual processing period and already excluding contractual deadline is approximately 3 weeks for a refund after receipt and that there is more than a month of care for care, so it is necessary Count minimum one month and a half before claiming a reimbursement, however, you are obliged to keep your commitments so that the withdrawals are well validated.
You never know in case a real responsible would like to take care of my request so that I will stop all my judicial understanding.
And finally I was going to forget we also often come across Portugal which does not master the French language if we scramble your name on four times I know as an answer that we have the right to be wrong ...
Above all, especially do not subscribe to this mutual, it is really pitiful you often have to wait more than 30 minutes to reach an advisor.
Cordially</v>
      </c>
    </row>
    <row r="747" ht="15.75" customHeight="1">
      <c r="A747" s="2">
        <v>1.0</v>
      </c>
      <c r="B747" s="2" t="s">
        <v>2108</v>
      </c>
      <c r="C747" s="2" t="s">
        <v>2109</v>
      </c>
      <c r="D747" s="2" t="s">
        <v>129</v>
      </c>
      <c r="E747" s="2" t="s">
        <v>27</v>
      </c>
      <c r="F747" s="2" t="s">
        <v>15</v>
      </c>
      <c r="G747" s="2" t="s">
        <v>1191</v>
      </c>
      <c r="H747" s="2" t="s">
        <v>111</v>
      </c>
      <c r="I747" s="2" t="str">
        <f>IFERROR(__xludf.DUMMYFUNCTION("GOOGLETRANSLATE(C747,""fr"",""en"")"),"Hello, I have been a customer recently but I have seen enough to understand that the cheapest can be very expensive.
Impossible to reach them at 5 p.m. on Thursday! I had already had alerts during my commitment with mediocre processing of the file. I had"&amp;" to send the same documents several times, I have repeated the same procedure several times. I also have an inconsistency on the initial amount paid and the receipts that I find in my space (one of the 2 reasons for my call).
Insured for several years on"&amp;" several insurances and by going to read the other opinions (I should have done it before:-/), it is obvious that it is not chance or the fact of being impatient. Incompetence! Strongly the end of the year by crossing my fingers for not having any worries"&amp;" and I leave to pay more ... it will be long!
Hello and goodbye")</f>
        <v>Hello, I have been a customer recently but I have seen enough to understand that the cheapest can be very expensive.
Impossible to reach them at 5 p.m. on Thursday! I had already had alerts during my commitment with mediocre processing of the file. I had to send the same documents several times, I have repeated the same procedure several times. I also have an inconsistency on the initial amount paid and the receipts that I find in my space (one of the 2 reasons for my call).
Insured for several years on several insurances and by going to read the other opinions (I should have done it before:-/), it is obvious that it is not chance or the fact of being impatient. Incompetence! Strongly the end of the year by crossing my fingers for not having any worries and I leave to pay more ... it will be long!
Hello and goodbye</v>
      </c>
    </row>
    <row r="748" ht="15.75" customHeight="1">
      <c r="A748" s="2">
        <v>5.0</v>
      </c>
      <c r="B748" s="2" t="s">
        <v>2110</v>
      </c>
      <c r="C748" s="2" t="s">
        <v>2111</v>
      </c>
      <c r="D748" s="2" t="s">
        <v>44</v>
      </c>
      <c r="E748" s="2" t="s">
        <v>27</v>
      </c>
      <c r="F748" s="2" t="s">
        <v>15</v>
      </c>
      <c r="G748" s="2" t="s">
        <v>625</v>
      </c>
      <c r="H748" s="2" t="s">
        <v>35</v>
      </c>
      <c r="I748" s="2" t="str">
        <f>IFERROR(__xludf.DUMMYFUNCTION("GOOGLETRANSLATE(C748,""fr"",""en"")"),"I am very satisfied with your services, a very professional service.
Reactive very welcome attentive to the customer, speed of response and execution of administrative tasks")</f>
        <v>I am very satisfied with your services, a very professional service.
Reactive very welcome attentive to the customer, speed of response and execution of administrative tasks</v>
      </c>
    </row>
    <row r="749" ht="15.75" customHeight="1">
      <c r="A749" s="2">
        <v>4.0</v>
      </c>
      <c r="B749" s="2" t="s">
        <v>2112</v>
      </c>
      <c r="C749" s="2" t="s">
        <v>2113</v>
      </c>
      <c r="D749" s="2" t="s">
        <v>26</v>
      </c>
      <c r="E749" s="2" t="s">
        <v>27</v>
      </c>
      <c r="F749" s="2" t="s">
        <v>15</v>
      </c>
      <c r="G749" s="2" t="s">
        <v>97</v>
      </c>
      <c r="H749" s="2" t="s">
        <v>41</v>
      </c>
      <c r="I749" s="2" t="str">
        <f>IFERROR(__xludf.DUMMYFUNCTION("GOOGLETRANSLATE(C749,""fr"",""en"")"),"Satisfied with the proposal and the price proposes, the service and the simplicity of the quote simulator.
Compliant with the proposal, rapid certificate by email")</f>
        <v>Satisfied with the proposal and the price proposes, the service and the simplicity of the quote simulator.
Compliant with the proposal, rapid certificate by email</v>
      </c>
    </row>
    <row r="750" ht="15.75" customHeight="1">
      <c r="A750" s="2">
        <v>1.0</v>
      </c>
      <c r="B750" s="2" t="s">
        <v>2114</v>
      </c>
      <c r="C750" s="2" t="s">
        <v>2115</v>
      </c>
      <c r="D750" s="2" t="s">
        <v>44</v>
      </c>
      <c r="E750" s="2" t="s">
        <v>27</v>
      </c>
      <c r="F750" s="2" t="s">
        <v>15</v>
      </c>
      <c r="G750" s="2" t="s">
        <v>2116</v>
      </c>
      <c r="H750" s="2" t="s">
        <v>320</v>
      </c>
      <c r="I750" s="2" t="str">
        <f>IFERROR(__xludf.DUMMYFUNCTION("GOOGLETRANSLATE(C750,""fr"",""en"")"),"For years client of direct insurance all allais well we answered you on the phone immediately, now it is the galley to have them in 2008 I was terminated with insurance without registered letter without proof now the real galley, at the end of My contract"&amp;"s I will terminate everything I saw by doing other simulation that we could have the same price with a contact interlocutor !!!")</f>
        <v>For years client of direct insurance all allais well we answered you on the phone immediately, now it is the galley to have them in 2008 I was terminated with insurance without registered letter without proof now the real galley, at the end of My contracts I will terminate everything I saw by doing other simulation that we could have the same price with a contact interlocutor !!!</v>
      </c>
    </row>
    <row r="751" ht="15.75" customHeight="1">
      <c r="A751" s="2">
        <v>1.0</v>
      </c>
      <c r="B751" s="2" t="s">
        <v>2117</v>
      </c>
      <c r="C751" s="2" t="s">
        <v>2118</v>
      </c>
      <c r="D751" s="2" t="s">
        <v>32</v>
      </c>
      <c r="E751" s="2" t="s">
        <v>27</v>
      </c>
      <c r="F751" s="2" t="s">
        <v>15</v>
      </c>
      <c r="G751" s="2" t="s">
        <v>1090</v>
      </c>
      <c r="H751" s="2" t="s">
        <v>278</v>
      </c>
      <c r="I751" s="2" t="str">
        <f>IFERROR(__xludf.DUMMYFUNCTION("GOOGLETRANSLATE(C751,""fr"",""en"")"),"Good evening I am not satisfied with my Macif insurer because I have assured at home for 3 years is always the same insurance price during the 3 years is which is not fair.")</f>
        <v>Good evening I am not satisfied with my Macif insurer because I have assured at home for 3 years is always the same insurance price during the 3 years is which is not fair.</v>
      </c>
    </row>
    <row r="752" ht="15.75" customHeight="1">
      <c r="A752" s="2">
        <v>3.0</v>
      </c>
      <c r="B752" s="2" t="s">
        <v>2119</v>
      </c>
      <c r="C752" s="2" t="s">
        <v>2120</v>
      </c>
      <c r="D752" s="2" t="s">
        <v>44</v>
      </c>
      <c r="E752" s="2" t="s">
        <v>27</v>
      </c>
      <c r="F752" s="2" t="s">
        <v>15</v>
      </c>
      <c r="G752" s="2" t="s">
        <v>950</v>
      </c>
      <c r="H752" s="2" t="s">
        <v>29</v>
      </c>
      <c r="I752" s="2" t="str">
        <f>IFERROR(__xludf.DUMMYFUNCTION("GOOGLETRANSLATE(C752,""fr"",""en"")"),"First membership in internet insurance. Good first impression, to see in the future.
Interesting price, see the service and the after -sales service eventually.")</f>
        <v>First membership in internet insurance. Good first impression, to see in the future.
Interesting price, see the service and the after -sales service eventually.</v>
      </c>
    </row>
    <row r="753" ht="15.75" customHeight="1">
      <c r="A753" s="2">
        <v>1.0</v>
      </c>
      <c r="B753" s="2" t="s">
        <v>2121</v>
      </c>
      <c r="C753" s="2" t="s">
        <v>2122</v>
      </c>
      <c r="D753" s="2" t="s">
        <v>32</v>
      </c>
      <c r="E753" s="2" t="s">
        <v>27</v>
      </c>
      <c r="F753" s="2" t="s">
        <v>15</v>
      </c>
      <c r="G753" s="2" t="s">
        <v>2123</v>
      </c>
      <c r="H753" s="2" t="s">
        <v>1100</v>
      </c>
      <c r="I753" s="2" t="str">
        <f>IFERROR(__xludf.DUMMYFUNCTION("GOOGLETRANSLATE(C753,""fr"",""en"")"),"I just contacted them to ask them how it was possible that for three years, contributions from increased car insurance contracts instead of decreasing a little?
It seems logical to me that when we have no accidents or claims and our car discounts our ins"&amp;"urance should drop ...
Well no and the answer is simple !!! If you are not happy ... Go elsewhere !!!!
I find it pitiful to happen to that and I will leave !!!")</f>
        <v>I just contacted them to ask them how it was possible that for three years, contributions from increased car insurance contracts instead of decreasing a little?
It seems logical to me that when we have no accidents or claims and our car discounts our insurance should drop ...
Well no and the answer is simple !!! If you are not happy ... Go elsewhere !!!!
I find it pitiful to happen to that and I will leave !!!</v>
      </c>
    </row>
    <row r="754" ht="15.75" customHeight="1">
      <c r="A754" s="2">
        <v>4.0</v>
      </c>
      <c r="B754" s="2" t="s">
        <v>2124</v>
      </c>
      <c r="C754" s="2" t="s">
        <v>2125</v>
      </c>
      <c r="D754" s="2" t="s">
        <v>44</v>
      </c>
      <c r="E754" s="2" t="s">
        <v>27</v>
      </c>
      <c r="F754" s="2" t="s">
        <v>15</v>
      </c>
      <c r="G754" s="2" t="s">
        <v>2126</v>
      </c>
      <c r="H754" s="2" t="s">
        <v>57</v>
      </c>
      <c r="I754" s="2" t="str">
        <f>IFERROR(__xludf.DUMMYFUNCTION("GOOGLETRANSLATE(C754,""fr"",""en"")"),"top advisor
Perfect welcome
The prices are correct
We call you back when you need it with the schedules that arrang you
The waiting time is almost zero of this
nothing to do direct insurance takes care of everything")</f>
        <v>top advisor
Perfect welcome
The prices are correct
We call you back when you need it with the schedules that arrang you
The waiting time is almost zero of this
nothing to do direct insurance takes care of everything</v>
      </c>
    </row>
    <row r="755" ht="15.75" customHeight="1">
      <c r="A755" s="2">
        <v>3.0</v>
      </c>
      <c r="B755" s="2" t="s">
        <v>2127</v>
      </c>
      <c r="C755" s="2" t="s">
        <v>2128</v>
      </c>
      <c r="D755" s="2" t="s">
        <v>60</v>
      </c>
      <c r="E755" s="2" t="s">
        <v>14</v>
      </c>
      <c r="F755" s="2" t="s">
        <v>15</v>
      </c>
      <c r="G755" s="2" t="s">
        <v>2129</v>
      </c>
      <c r="H755" s="2" t="s">
        <v>72</v>
      </c>
      <c r="I755" s="2" t="str">
        <f>IFERROR(__xludf.DUMMYFUNCTION("GOOGLETRANSLATE(C755,""fr"",""en"")"),"Too many insureds are unaware that the difference of a company, a broker archives all his private contact details and the day he wants to terminate, as if by chance, unwanted and bizarrely samples appear close to the broker
It n '
 is not fun, you can c"&amp;"onsult the internet and the business in court ... edifying")</f>
        <v>Too many insureds are unaware that the difference of a company, a broker archives all his private contact details and the day he wants to terminate, as if by chance, unwanted and bizarrely samples appear close to the broker
It n '
 is not fun, you can consult the internet and the business in court ... edifying</v>
      </c>
    </row>
    <row r="756" ht="15.75" customHeight="1">
      <c r="A756" s="2">
        <v>4.0</v>
      </c>
      <c r="B756" s="2" t="s">
        <v>2130</v>
      </c>
      <c r="C756" s="2" t="s">
        <v>2131</v>
      </c>
      <c r="D756" s="2" t="s">
        <v>44</v>
      </c>
      <c r="E756" s="2" t="s">
        <v>27</v>
      </c>
      <c r="F756" s="2" t="s">
        <v>15</v>
      </c>
      <c r="G756" s="2" t="s">
        <v>1530</v>
      </c>
      <c r="H756" s="2" t="s">
        <v>46</v>
      </c>
      <c r="I756" s="2" t="str">
        <f>IFERROR(__xludf.DUMMYFUNCTION("GOOGLETRANSLATE(C756,""fr"",""en"")"),"Satisfied with the service
Very Competitive Price
Happy customer
I recommend direct insurance
Easy to use
Precise and fast clear quote
Thank you to you direct insurance")</f>
        <v>Satisfied with the service
Very Competitive Price
Happy customer
I recommend direct insurance
Easy to use
Precise and fast clear quote
Thank you to you direct insurance</v>
      </c>
    </row>
    <row r="757" ht="15.75" customHeight="1">
      <c r="A757" s="2">
        <v>4.0</v>
      </c>
      <c r="B757" s="2" t="s">
        <v>2132</v>
      </c>
      <c r="C757" s="2" t="s">
        <v>2133</v>
      </c>
      <c r="D757" s="2" t="s">
        <v>26</v>
      </c>
      <c r="E757" s="2" t="s">
        <v>27</v>
      </c>
      <c r="F757" s="2" t="s">
        <v>15</v>
      </c>
      <c r="G757" s="2" t="s">
        <v>2134</v>
      </c>
      <c r="H757" s="2" t="s">
        <v>583</v>
      </c>
      <c r="I757" s="2" t="str">
        <f>IFERROR(__xludf.DUMMYFUNCTION("GOOGLETRANSLATE(C757,""fr"",""en"")"),"The subscription was very easy to achieve. My interlocutor clearly explained to me the guarantees for which I have subscribed.")</f>
        <v>The subscription was very easy to achieve. My interlocutor clearly explained to me the guarantees for which I have subscribed.</v>
      </c>
    </row>
    <row r="758" ht="15.75" customHeight="1">
      <c r="A758" s="2">
        <v>4.0</v>
      </c>
      <c r="B758" s="2" t="s">
        <v>2135</v>
      </c>
      <c r="C758" s="2" t="s">
        <v>2136</v>
      </c>
      <c r="D758" s="2" t="s">
        <v>26</v>
      </c>
      <c r="E758" s="2" t="s">
        <v>27</v>
      </c>
      <c r="F758" s="2" t="s">
        <v>15</v>
      </c>
      <c r="G758" s="2" t="s">
        <v>56</v>
      </c>
      <c r="H758" s="2" t="s">
        <v>57</v>
      </c>
      <c r="I758" s="2" t="str">
        <f>IFERROR(__xludf.DUMMYFUNCTION("GOOGLETRANSLATE(C758,""fr"",""en"")"),"satisfied with the service but the price in particular the deposit seems excessive to me on the first month")</f>
        <v>satisfied with the service but the price in particular the deposit seems excessive to me on the first month</v>
      </c>
    </row>
    <row r="759" ht="15.75" customHeight="1">
      <c r="A759" s="2">
        <v>3.0</v>
      </c>
      <c r="B759" s="2" t="s">
        <v>2137</v>
      </c>
      <c r="C759" s="2" t="s">
        <v>2138</v>
      </c>
      <c r="D759" s="2" t="s">
        <v>44</v>
      </c>
      <c r="E759" s="2" t="s">
        <v>27</v>
      </c>
      <c r="F759" s="2" t="s">
        <v>15</v>
      </c>
      <c r="G759" s="2" t="s">
        <v>2139</v>
      </c>
      <c r="H759" s="2" t="s">
        <v>23</v>
      </c>
      <c r="I759" s="2" t="str">
        <f>IFERROR(__xludf.DUMMYFUNCTION("GOOGLETRANSLATE(C759,""fr"",""en"")"),"The information provided on guarantees lacks clarity in the summary phase, a reminder of all guarantees and exclusions
Best regards")</f>
        <v>The information provided on guarantees lacks clarity in the summary phase, a reminder of all guarantees and exclusions
Best regards</v>
      </c>
    </row>
    <row r="760" ht="15.75" customHeight="1">
      <c r="A760" s="2">
        <v>2.0</v>
      </c>
      <c r="B760" s="2" t="s">
        <v>2140</v>
      </c>
      <c r="C760" s="2" t="s">
        <v>2141</v>
      </c>
      <c r="D760" s="2" t="s">
        <v>55</v>
      </c>
      <c r="E760" s="2" t="s">
        <v>14</v>
      </c>
      <c r="F760" s="2" t="s">
        <v>15</v>
      </c>
      <c r="G760" s="2" t="s">
        <v>1815</v>
      </c>
      <c r="H760" s="2" t="s">
        <v>422</v>
      </c>
      <c r="I760" s="2" t="str">
        <f>IFERROR(__xludf.DUMMYFUNCTION("GOOGLETRANSLATE(C760,""fr"",""en"")"),"Impossible to have a person on the phone (you ask you to hang up after 10 minutes of waiting), answers emails two or three weeks later and again after several reminders ... I am still waiting for a refund while I have sent everything since a month...")</f>
        <v>Impossible to have a person on the phone (you ask you to hang up after 10 minutes of waiting), answers emails two or three weeks later and again after several reminders ... I am still waiting for a refund while I have sent everything since a month...</v>
      </c>
    </row>
    <row r="761" ht="15.75" customHeight="1">
      <c r="A761" s="2">
        <v>3.0</v>
      </c>
      <c r="B761" s="2" t="s">
        <v>2142</v>
      </c>
      <c r="C761" s="2" t="s">
        <v>2143</v>
      </c>
      <c r="D761" s="2" t="s">
        <v>598</v>
      </c>
      <c r="E761" s="2" t="s">
        <v>460</v>
      </c>
      <c r="F761" s="2" t="s">
        <v>15</v>
      </c>
      <c r="G761" s="2" t="s">
        <v>553</v>
      </c>
      <c r="H761" s="2" t="s">
        <v>554</v>
      </c>
      <c r="I761" s="2" t="str">
        <f>IFERROR(__xludf.DUMMYFUNCTION("GOOGLETRANSLATE(C761,""fr"",""en"")"),"My mother who died 6 months ago had a general life insurance contract: or Generali does not find the contract yet every year she received a state of her savings on the Generali header what to do")</f>
        <v>My mother who died 6 months ago had a general life insurance contract: or Generali does not find the contract yet every year she received a state of her savings on the Generali header what to do</v>
      </c>
    </row>
    <row r="762" ht="15.75" customHeight="1">
      <c r="A762" s="2">
        <v>2.0</v>
      </c>
      <c r="B762" s="2" t="s">
        <v>2144</v>
      </c>
      <c r="C762" s="2" t="s">
        <v>2145</v>
      </c>
      <c r="D762" s="2" t="s">
        <v>55</v>
      </c>
      <c r="E762" s="2" t="s">
        <v>14</v>
      </c>
      <c r="F762" s="2" t="s">
        <v>15</v>
      </c>
      <c r="G762" s="2" t="s">
        <v>2146</v>
      </c>
      <c r="H762" s="2" t="s">
        <v>192</v>
      </c>
      <c r="I762" s="2" t="str">
        <f>IFERROR(__xludf.DUMMYFUNCTION("GOOGLETRANSLATE(C762,""fr"",""en"")"),"My mother was shot by Balzac and signed a contract. After reflection, she changes her mind and addresses a recommended to Neoliane Nice. Withdrawal within the legal deadlines and acknowledgment of receipt received. Receives the contract anyway, withdrawal"&amp;"s launched on her account (she opposed) and cannot reach anyone, neither Balzac nor Néoliane, whether by email or telephone (connection problem announced for Balzac and interminable telephone platform for Néoliane ).
She opted for another mutual insuranc"&amp;"e company but in the end, none can work, Néoliane having registered with the CPAM. Two mutuals appear on its Ameli account and the Société not knowing who teletransmitted the accounts does not transmit them to anyone. After information from the Société, t"&amp;"he only unreachable Néoliane has the ability to withdraw.")</f>
        <v>My mother was shot by Balzac and signed a contract. After reflection, she changes her mind and addresses a recommended to Neoliane Nice. Withdrawal within the legal deadlines and acknowledgment of receipt received. Receives the contract anyway, withdrawals launched on her account (she opposed) and cannot reach anyone, neither Balzac nor Néoliane, whether by email or telephone (connection problem announced for Balzac and interminable telephone platform for Néoliane ).
She opted for another mutual insurance company but in the end, none can work, Néoliane having registered with the CPAM. Two mutuals appear on its Ameli account and the Société not knowing who teletransmitted the accounts does not transmit them to anyone. After information from the Société, the only unreachable Néoliane has the ability to withdraw.</v>
      </c>
    </row>
    <row r="763" ht="15.75" customHeight="1">
      <c r="A763" s="2">
        <v>1.0</v>
      </c>
      <c r="B763" s="2" t="s">
        <v>2147</v>
      </c>
      <c r="C763" s="2" t="s">
        <v>2148</v>
      </c>
      <c r="D763" s="2" t="s">
        <v>13</v>
      </c>
      <c r="E763" s="2" t="s">
        <v>14</v>
      </c>
      <c r="F763" s="2" t="s">
        <v>15</v>
      </c>
      <c r="G763" s="2" t="s">
        <v>2149</v>
      </c>
      <c r="H763" s="2" t="s">
        <v>294</v>
      </c>
      <c r="I763" s="2" t="str">
        <f>IFERROR(__xludf.DUMMYFUNCTION("GOOGLETRANSLATE(C763,""fr"",""en"")"),"Dissatisfied")</f>
        <v>Dissatisfied</v>
      </c>
    </row>
    <row r="764" ht="15.75" customHeight="1">
      <c r="A764" s="2">
        <v>3.0</v>
      </c>
      <c r="B764" s="2" t="s">
        <v>2150</v>
      </c>
      <c r="C764" s="2" t="s">
        <v>2151</v>
      </c>
      <c r="D764" s="2" t="s">
        <v>44</v>
      </c>
      <c r="E764" s="2" t="s">
        <v>27</v>
      </c>
      <c r="F764" s="2" t="s">
        <v>15</v>
      </c>
      <c r="G764" s="2" t="s">
        <v>2152</v>
      </c>
      <c r="H764" s="2" t="s">
        <v>57</v>
      </c>
      <c r="I764" s="2" t="str">
        <f>IFERROR(__xludf.DUMMYFUNCTION("GOOGLETRANSLATE(C764,""fr"",""en"")"),"Nothing to report in particular, I took a LOA and wished to terminate my because we favored the assurance of my partner which is more advantageous")</f>
        <v>Nothing to report in particular, I took a LOA and wished to terminate my because we favored the assurance of my partner which is more advantageous</v>
      </c>
    </row>
    <row r="765" ht="15.75" customHeight="1">
      <c r="A765" s="2">
        <v>2.0</v>
      </c>
      <c r="B765" s="2" t="s">
        <v>2153</v>
      </c>
      <c r="C765" s="2" t="s">
        <v>2154</v>
      </c>
      <c r="D765" s="2" t="s">
        <v>26</v>
      </c>
      <c r="E765" s="2" t="s">
        <v>27</v>
      </c>
      <c r="F765" s="2" t="s">
        <v>15</v>
      </c>
      <c r="G765" s="2" t="s">
        <v>2155</v>
      </c>
      <c r="H765" s="2" t="s">
        <v>432</v>
      </c>
      <c r="I765" s="2" t="str">
        <f>IFERROR(__xludf.DUMMYFUNCTION("GOOGLETRANSLATE(C765,""fr"",""en"")"),"Customer since March, I am really not satisfied with customer service. I sponsored a friend and my godson had her sponsorship check, not me ... Still nothing received to this day, customer service walks me ...
A blow the payment was deferred by mistake a"&amp;"fter I must have it within 4 days and we have moved to a deadline for more than a week. I will call on the competent authorities to help me receive my sponsorship.
No response to emails, you have to call hoping not to wait more than 10 min each time.
Th"&amp;"e price of guarantees and correct, concerning the guarantee service I did not need it but in view of treatment for a sponsorship I remain on the reserve on seriousness and the right treatment.
One thing is on I will result in maturity, and will no longer"&amp;" advertise this company.")</f>
        <v>Customer since March, I am really not satisfied with customer service. I sponsored a friend and my godson had her sponsorship check, not me ... Still nothing received to this day, customer service walks me ...
A blow the payment was deferred by mistake after I must have it within 4 days and we have moved to a deadline for more than a week. I will call on the competent authorities to help me receive my sponsorship.
No response to emails, you have to call hoping not to wait more than 10 min each time.
The price of guarantees and correct, concerning the guarantee service I did not need it but in view of treatment for a sponsorship I remain on the reserve on seriousness and the right treatment.
One thing is on I will result in maturity, and will no longer advertise this company.</v>
      </c>
    </row>
    <row r="766" ht="15.75" customHeight="1">
      <c r="A766" s="2">
        <v>2.0</v>
      </c>
      <c r="B766" s="2" t="s">
        <v>2156</v>
      </c>
      <c r="C766" s="2" t="s">
        <v>2157</v>
      </c>
      <c r="D766" s="2" t="s">
        <v>141</v>
      </c>
      <c r="E766" s="2" t="s">
        <v>27</v>
      </c>
      <c r="F766" s="2" t="s">
        <v>15</v>
      </c>
      <c r="G766" s="2" t="s">
        <v>2158</v>
      </c>
      <c r="H766" s="2" t="s">
        <v>86</v>
      </c>
      <c r="I766" s="2" t="str">
        <f>IFERROR(__xludf.DUMMYFUNCTION("GOOGLETRANSLATE(C766,""fr"",""en"")"),"Insurance to flee, as long as you have no claim everything is fine. I just suffered a water damage and I had the unhappy surprise to learn that the maaf does not take into account wet glass wool, the Electric sheaths filled with water, the task plastering"&amp;", the ceiling plugs and spots rusty by the water leak, in short nothing at all and it's been 20 years without disaster that I am at home. They can advertise on TV But here I terminate all my contracts")</f>
        <v>Insurance to flee, as long as you have no claim everything is fine. I just suffered a water damage and I had the unhappy surprise to learn that the maaf does not take into account wet glass wool, the Electric sheaths filled with water, the task plastering, the ceiling plugs and spots rusty by the water leak, in short nothing at all and it's been 20 years without disaster that I am at home. They can advertise on TV But here I terminate all my contracts</v>
      </c>
    </row>
    <row r="767" ht="15.75" customHeight="1">
      <c r="A767" s="2">
        <v>1.0</v>
      </c>
      <c r="B767" s="2" t="s">
        <v>2159</v>
      </c>
      <c r="C767" s="2" t="s">
        <v>2160</v>
      </c>
      <c r="D767" s="2" t="s">
        <v>32</v>
      </c>
      <c r="E767" s="2" t="s">
        <v>460</v>
      </c>
      <c r="F767" s="2" t="s">
        <v>15</v>
      </c>
      <c r="G767" s="2" t="s">
        <v>294</v>
      </c>
      <c r="H767" s="2" t="s">
        <v>294</v>
      </c>
      <c r="I767" s="2" t="str">
        <f>IFERROR(__xludf.DUMMYFUNCTION("GOOGLETRANSLATE(C767,""fr"",""en"")"),"Non -judicious placement proposed by a life insurance advisor Loss money despite 50 euro placed each month since August 2018 thank you for the losses made I am not satisfied with the services offered")</f>
        <v>Non -judicious placement proposed by a life insurance advisor Loss money despite 50 euro placed each month since August 2018 thank you for the losses made I am not satisfied with the services offered</v>
      </c>
    </row>
    <row r="768" ht="15.75" customHeight="1">
      <c r="A768" s="2">
        <v>1.0</v>
      </c>
      <c r="B768" s="2" t="s">
        <v>2161</v>
      </c>
      <c r="C768" s="2" t="s">
        <v>2162</v>
      </c>
      <c r="D768" s="2" t="s">
        <v>117</v>
      </c>
      <c r="E768" s="2" t="s">
        <v>27</v>
      </c>
      <c r="F768" s="2" t="s">
        <v>15</v>
      </c>
      <c r="G768" s="2" t="s">
        <v>1132</v>
      </c>
      <c r="H768" s="2" t="s">
        <v>278</v>
      </c>
      <c r="I768" s="2" t="str">
        <f>IFERROR(__xludf.DUMMYFUNCTION("GOOGLETRANSLATE(C768,""fr"",""en"")"),"No customer follow -up, refuse to compensate for a disaster covered by an option of the contract, deadlines very very very long to obtain the slightest answer. Untreated registered registration complaint after more than a month of waiting ... very disappo"&amp;"inted because no support")</f>
        <v>No customer follow -up, refuse to compensate for a disaster covered by an option of the contract, deadlines very very very long to obtain the slightest answer. Untreated registered registration complaint after more than a month of waiting ... very disappointed because no support</v>
      </c>
    </row>
    <row r="769" ht="15.75" customHeight="1">
      <c r="A769" s="2">
        <v>1.0</v>
      </c>
      <c r="B769" s="2" t="s">
        <v>2163</v>
      </c>
      <c r="C769" s="2" t="s">
        <v>2164</v>
      </c>
      <c r="D769" s="2" t="s">
        <v>32</v>
      </c>
      <c r="E769" s="2" t="s">
        <v>33</v>
      </c>
      <c r="F769" s="2" t="s">
        <v>15</v>
      </c>
      <c r="G769" s="2" t="s">
        <v>2165</v>
      </c>
      <c r="H769" s="2" t="s">
        <v>583</v>
      </c>
      <c r="I769" s="2" t="str">
        <f>IFERROR(__xludf.DUMMYFUNCTION("GOOGLETRANSLATE(C769,""fr"",""en"")"),"After 45 years at the Macif and nearly 20,000 euros in contributions (updated) No way to be reimbursed for a very small claim.
Automobile not the most expensive but not the cheapest either?")</f>
        <v>After 45 years at the Macif and nearly 20,000 euros in contributions (updated) No way to be reimbursed for a very small claim.
Automobile not the most expensive but not the cheapest either?</v>
      </c>
    </row>
    <row r="770" ht="15.75" customHeight="1">
      <c r="A770" s="2">
        <v>4.0</v>
      </c>
      <c r="B770" s="2" t="s">
        <v>2166</v>
      </c>
      <c r="C770" s="2" t="s">
        <v>2167</v>
      </c>
      <c r="D770" s="2" t="s">
        <v>105</v>
      </c>
      <c r="E770" s="2" t="s">
        <v>39</v>
      </c>
      <c r="F770" s="2" t="s">
        <v>15</v>
      </c>
      <c r="G770" s="2" t="s">
        <v>281</v>
      </c>
      <c r="H770" s="2" t="s">
        <v>23</v>
      </c>
      <c r="I770" s="2" t="str">
        <f>IFERROR(__xludf.DUMMYFUNCTION("GOOGLETRANSLATE(C770,""fr"",""en"")"),"I am satisfied with the service. I am satisfied with the services and thus the quality service. I recommend AMV for all future subscribers. Efficient and fast.")</f>
        <v>I am satisfied with the service. I am satisfied with the services and thus the quality service. I recommend AMV for all future subscribers. Efficient and fast.</v>
      </c>
    </row>
    <row r="771" ht="15.75" customHeight="1">
      <c r="A771" s="2">
        <v>2.0</v>
      </c>
      <c r="B771" s="2" t="s">
        <v>2168</v>
      </c>
      <c r="C771" s="2" t="s">
        <v>2169</v>
      </c>
      <c r="D771" s="2" t="s">
        <v>60</v>
      </c>
      <c r="E771" s="2" t="s">
        <v>14</v>
      </c>
      <c r="F771" s="2" t="s">
        <v>15</v>
      </c>
      <c r="G771" s="2" t="s">
        <v>2170</v>
      </c>
      <c r="H771" s="2" t="s">
        <v>519</v>
      </c>
      <c r="I771" s="2" t="str">
        <f>IFERROR(__xludf.DUMMYFUNCTION("GOOGLETRANSLATE(C771,""fr"",""en"")"),"A disaster in their management. I changed account 6 months ago and Sentiane continues the refund on a fenced account. I am no longer reimbursed")</f>
        <v>A disaster in their management. I changed account 6 months ago and Sentiane continues the refund on a fenced account. I am no longer reimbursed</v>
      </c>
    </row>
    <row r="772" ht="15.75" customHeight="1">
      <c r="A772" s="2">
        <v>2.0</v>
      </c>
      <c r="B772" s="2" t="s">
        <v>2171</v>
      </c>
      <c r="C772" s="2" t="s">
        <v>2172</v>
      </c>
      <c r="D772" s="2" t="s">
        <v>141</v>
      </c>
      <c r="E772" s="2" t="s">
        <v>27</v>
      </c>
      <c r="F772" s="2" t="s">
        <v>15</v>
      </c>
      <c r="G772" s="2" t="s">
        <v>1068</v>
      </c>
      <c r="H772" s="2" t="s">
        <v>46</v>
      </c>
      <c r="I772" s="2" t="str">
        <f>IFERROR(__xludf.DUMMYFUNCTION("GOOGLETRANSLATE(C772,""fr"",""en"")"),"Maaf is a company where the error is not tolerated! Watch out for immediate radiation
1 responsibility engaged in 2020 for deterioration on my vehicle
1 responsible accident in 2021
And hop the maaf tells you bye bye! Even for a senior with the lifetim"&amp;"e bonus of 0.50
In short I left to see elsewhere and I found a greener herb (less deductible of better guarantees ...)
Thank you the maaf !!!")</f>
        <v>Maaf is a company where the error is not tolerated! Watch out for immediate radiation
1 responsibility engaged in 2020 for deterioration on my vehicle
1 responsible accident in 2021
And hop the maaf tells you bye bye! Even for a senior with the lifetime bonus of 0.50
In short I left to see elsewhere and I found a greener herb (less deductible of better guarantees ...)
Thank you the maaf !!!</v>
      </c>
    </row>
    <row r="773" ht="15.75" customHeight="1">
      <c r="A773" s="2">
        <v>1.0</v>
      </c>
      <c r="B773" s="2" t="s">
        <v>2173</v>
      </c>
      <c r="C773" s="2" t="s">
        <v>2174</v>
      </c>
      <c r="D773" s="2" t="s">
        <v>84</v>
      </c>
      <c r="E773" s="2" t="s">
        <v>33</v>
      </c>
      <c r="F773" s="2" t="s">
        <v>15</v>
      </c>
      <c r="G773" s="2" t="s">
        <v>800</v>
      </c>
      <c r="H773" s="2" t="s">
        <v>29</v>
      </c>
      <c r="I773" s="2" t="str">
        <f>IFERROR(__xludf.DUMMYFUNCTION("GOOGLETRANSLATE(C773,""fr"",""en"")"),"I had a sinister flight of Vendalis The expert made his conclusion in Axa and it's been 2 months since I walk from service to service.
They do not want me to unite the expert tells me that he can do nothing since I remix the expertise you have to see it "&amp;"with them I know who to believe and what I have to do !!!!
Help me if you had the same concern with AXA.
Thank you for your return to all.")</f>
        <v>I had a sinister flight of Vendalis The expert made his conclusion in Axa and it's been 2 months since I walk from service to service.
They do not want me to unite the expert tells me that he can do nothing since I remix the expertise you have to see it with them I know who to believe and what I have to do !!!!
Help me if you had the same concern with AXA.
Thank you for your return to all.</v>
      </c>
    </row>
    <row r="774" ht="15.75" customHeight="1">
      <c r="A774" s="2">
        <v>5.0</v>
      </c>
      <c r="B774" s="2" t="s">
        <v>2175</v>
      </c>
      <c r="C774" s="2" t="s">
        <v>2176</v>
      </c>
      <c r="D774" s="2" t="s">
        <v>32</v>
      </c>
      <c r="E774" s="2" t="s">
        <v>27</v>
      </c>
      <c r="F774" s="2" t="s">
        <v>15</v>
      </c>
      <c r="G774" s="2" t="s">
        <v>2177</v>
      </c>
      <c r="H774" s="2" t="s">
        <v>320</v>
      </c>
      <c r="I774" s="2" t="str">
        <f>IFERROR(__xludf.DUMMYFUNCTION("GOOGLETRANSLATE(C774,""fr"",""en"")"),"It has been almost 30 years now that I have been insured at the Macif and I am very happy. Quality of guarantees, advances in approved garage and reasonable contributions (it is necessary to renegotiate from time to time with quotes from other companies).")</f>
        <v>It has been almost 30 years now that I have been insured at the Macif and I am very happy. Quality of guarantees, advances in approved garage and reasonable contributions (it is necessary to renegotiate from time to time with quotes from other companies).</v>
      </c>
    </row>
    <row r="775" ht="15.75" customHeight="1">
      <c r="A775" s="2">
        <v>4.0</v>
      </c>
      <c r="B775" s="2" t="s">
        <v>2178</v>
      </c>
      <c r="C775" s="2" t="s">
        <v>2179</v>
      </c>
      <c r="D775" s="2" t="s">
        <v>26</v>
      </c>
      <c r="E775" s="2" t="s">
        <v>27</v>
      </c>
      <c r="F775" s="2" t="s">
        <v>15</v>
      </c>
      <c r="G775" s="2" t="s">
        <v>1310</v>
      </c>
      <c r="H775" s="2" t="s">
        <v>418</v>
      </c>
      <c r="I775" s="2" t="str">
        <f>IFERROR(__xludf.DUMMYFUNCTION("GOOGLETRANSLATE(C775,""fr"",""en"")"),"I am satisfied with the service.
To see in the event of a claim, but I hope I don't need it.
attractive price
Internet facility
fast and effective")</f>
        <v>I am satisfied with the service.
To see in the event of a claim, but I hope I don't need it.
attractive price
Internet facility
fast and effective</v>
      </c>
    </row>
    <row r="776" ht="15.75" customHeight="1">
      <c r="A776" s="2">
        <v>3.0</v>
      </c>
      <c r="B776" s="2" t="s">
        <v>2180</v>
      </c>
      <c r="C776" s="2" t="s">
        <v>2181</v>
      </c>
      <c r="D776" s="2" t="s">
        <v>26</v>
      </c>
      <c r="E776" s="2" t="s">
        <v>27</v>
      </c>
      <c r="F776" s="2" t="s">
        <v>15</v>
      </c>
      <c r="G776" s="2" t="s">
        <v>613</v>
      </c>
      <c r="H776" s="2" t="s">
        <v>23</v>
      </c>
      <c r="I776" s="2" t="str">
        <f>IFERROR(__xludf.DUMMYFUNCTION("GOOGLETRANSLATE(C776,""fr"",""en"")"),"I am satisfied with your offer and thank you for your confidence and wish you a good day and see you very soon. I price you apologize for the delay.")</f>
        <v>I am satisfied with your offer and thank you for your confidence and wish you a good day and see you very soon. I price you apologize for the delay.</v>
      </c>
    </row>
    <row r="777" ht="15.75" customHeight="1">
      <c r="A777" s="2">
        <v>4.0</v>
      </c>
      <c r="B777" s="2" t="s">
        <v>2182</v>
      </c>
      <c r="C777" s="2" t="s">
        <v>2183</v>
      </c>
      <c r="D777" s="2" t="s">
        <v>44</v>
      </c>
      <c r="E777" s="2" t="s">
        <v>27</v>
      </c>
      <c r="F777" s="2" t="s">
        <v>15</v>
      </c>
      <c r="G777" s="2" t="s">
        <v>2184</v>
      </c>
      <c r="H777" s="2" t="s">
        <v>111</v>
      </c>
      <c r="I777" s="2" t="str">
        <f>IFERROR(__xludf.DUMMYFUNCTION("GOOGLETRANSLATE(C777,""fr"",""en"")"),"Very simple site and quotes more than reasonable ...
To see in time if the quote reflects the truth and if customer service can be reached in the event of a problem")</f>
        <v>Very simple site and quotes more than reasonable ...
To see in time if the quote reflects the truth and if customer service can be reached in the event of a problem</v>
      </c>
    </row>
    <row r="778" ht="15.75" customHeight="1">
      <c r="A778" s="2">
        <v>1.0</v>
      </c>
      <c r="B778" s="2" t="s">
        <v>2185</v>
      </c>
      <c r="C778" s="2" t="s">
        <v>2186</v>
      </c>
      <c r="D778" s="2" t="s">
        <v>141</v>
      </c>
      <c r="E778" s="2" t="s">
        <v>33</v>
      </c>
      <c r="F778" s="2" t="s">
        <v>15</v>
      </c>
      <c r="G778" s="2" t="s">
        <v>989</v>
      </c>
      <c r="H778" s="2" t="s">
        <v>278</v>
      </c>
      <c r="I778" s="2" t="str">
        <f>IFERROR(__xludf.DUMMYFUNCTION("GOOGLETRANSLATE(C778,""fr"",""en"")"),"Personally, I would not have put any stars! Management more than mediocre by service. Incompetent and disrespectful personnel some give themselves the right to be arrogant and play on words.
Following a break -in at my home, declared on October 24, the W"&amp;"orks department failed to find a craftsman to secure damaged access. FYI, this service is supposed to intervene in an emergency upstream of a refurbishment by the disaster manager. A proposal for a vigil was made to me on the weekend. Proposal that I refu"&amp;"sed because we were there. I am assured that the necessary will be done with the start of the week. But not ""an emergency intervention"" is only possible for Thursday answers me the work service. In this account, while waiting for their intervention in e"&amp;"mergency, I ask for the implementation of the vigil .... and no I am refused because: the vigil is proposed to find a storm for secure access to know Thursday!!! The better I am refused a return by written. What a professionalism !! And then, not being af"&amp;"raid to say it! They are not afraid to take customers for Imbeciles !!
Without a bad word game, the maaf is an open door to abuses on the part of the operators and their omnipotence, which I am sure of the way only with the support and encouragement of t"&amp;"heir manager!
The icing on the cake, on November 2 I have a vocal message from the work service which requires news from the rehabilitation of my damaged window door !!!
Well dear Maaf, once this whole matter is set to brand you will assume your respons"&amp;"ibilities! I will terminate all my contracts at home to turn to more serious insurance. The quotes are already ready!
Personally, I would not have put any stars! Management more than mediocre by service. Incompetent and disrespectful staff some give them"&amp;"selves the right to be arrogant and play on words.
Following a break -in at my home, declared on October 24, the Works department failed to find a craftsman to secure damaged access. FYI, this service is supposed to intervene in an emergency upstream of "&amp;"a refurbishment by the disaster manager. A proposal for a vigil was made to me on the weekend. Proposal that I refused because we were there. I am assured that the necessary will be done with the start of the week. But no ""an emergency intervention"" is "&amp;"only possible for Thursday, the work service is 6 days after the declaration. In this account, while waiting for their intervention, I ask for the establishment of the vigil. Stupor, I am refused because: the vigil is proposed to find a stingy to secure a"&amp;"ccess to know Thursday in my case !!! The better I am refused a return by written. What a professionalism !! And then, let's not be afraid to say it! They are not afraid to take customers for Imbeciles !!
Without a bad pun, the maaf is an open door to ab"&amp;"uses on the part of the operators and their all powers which, I am sure, do so only with the support and encouragement of their manager!
The icing on the cake, on November 2 I have a vocal message from the work service which requires news from the rehabi"&amp;"litation of my damaged window door !!!
Well dear Maaf, once this whole affair is settled, once you have assumed your responsibilities, I will terminate all my contracts at home to turn to more serious insurance. The quotes are already ready!
")</f>
        <v>Personally, I would not have put any stars! Management more than mediocre by service. Incompetent and disrespectful personnel some give themselves the right to be arrogant and play on words.
Following a break -in at my home, declared on October 24, the Works department failed to find a craftsman to secure damaged access. FYI, this service is supposed to intervene in an emergency upstream of a refurbishment by the disaster manager. A proposal for a vigil was made to me on the weekend. Proposal that I refused because we were there. I am assured that the necessary will be done with the start of the week. But not "an emergency intervention" is only possible for Thursday answers me the work service. In this account, while waiting for their intervention in emergency, I ask for the implementation of the vigil .... and no I am refused because: the vigil is proposed to find a storm for secure access to know Thursday!!! The better I am refused a return by written. What a professionalism !! And then, not being afraid to say it! They are not afraid to take customers for Imbeciles !!
Without a bad word game, the maaf is an open door to abuses on the part of the operators and their omnipotence, which I am sure of the way only with the support and encouragement of their manager!
The icing on the cake, on November 2 I have a vocal message from the work service which requires news from the rehabilitation of my damaged window door !!!
Well dear Maaf, once this whole matter is set to brand you will assume your responsibilities! I will terminate all my contracts at home to turn to more serious insurance. The quotes are already ready!
Personally, I would not have put any stars! Management more than mediocre by service. Incompetent and disrespectful staff some give themselves the right to be arrogant and play on words.
Following a break -in at my home, declared on October 24, the Works department failed to find a craftsman to secure damaged access. FYI, this service is supposed to intervene in an emergency upstream of a refurbishment by the disaster manager. A proposal for a vigil was made to me on the weekend. Proposal that I refused because we were there. I am assured that the necessary will be done with the start of the week. But no "an emergency intervention" is only possible for Thursday, the work service is 6 days after the declaration. In this account, while waiting for their intervention, I ask for the establishment of the vigil. Stupor, I am refused because: the vigil is proposed to find a stingy to secure access to know Thursday in my case !!! The better I am refused a return by written. What a professionalism !! And then, let's not be afraid to say it! They are not afraid to take customers for Imbeciles !!
Without a bad pun, the maaf is an open door to abuses on the part of the operators and their all powers which, I am sure, do so only with the support and encouragement of their manager!
The icing on the cake, on November 2 I have a vocal message from the work service which requires news from the rehabilitation of my damaged window door !!!
Well dear Maaf, once this whole affair is settled, once you have assumed your responsibilities, I will terminate all my contracts at home to turn to more serious insurance. The quotes are already ready!
</v>
      </c>
    </row>
    <row r="779" ht="15.75" customHeight="1">
      <c r="A779" s="2">
        <v>2.0</v>
      </c>
      <c r="B779" s="2" t="s">
        <v>2187</v>
      </c>
      <c r="C779" s="2" t="s">
        <v>2188</v>
      </c>
      <c r="D779" s="2" t="s">
        <v>44</v>
      </c>
      <c r="E779" s="2" t="s">
        <v>27</v>
      </c>
      <c r="F779" s="2" t="s">
        <v>15</v>
      </c>
      <c r="G779" s="2" t="s">
        <v>2189</v>
      </c>
      <c r="H779" s="2" t="s">
        <v>680</v>
      </c>
      <c r="I779" s="2" t="str">
        <f>IFERROR(__xludf.DUMMYFUNCTION("GOOGLETRANSLATE(C779,""fr"",""en"")"),"I assured my new car at all risk with the serenity pack and I made it stolen 2 months later. The gendarmes found it calcined. I make me stolen and it is up to me to pay, it is A shame, he does not even reimburse me half of what I paid for him 2 months ago"&amp;" without counting the deductible of 815 euros and in addition I have guard costs to pay from my pocket of 62 euros and some. I did not ask to be robbed and I have to pay when I had taken the insurance all risk. I am disgusted. One thing is on I will not r"&amp;"ecommend this insurance to people I feel like I am ballad and put in the big widths.")</f>
        <v>I assured my new car at all risk with the serenity pack and I made it stolen 2 months later. The gendarmes found it calcined. I make me stolen and it is up to me to pay, it is A shame, he does not even reimburse me half of what I paid for him 2 months ago without counting the deductible of 815 euros and in addition I have guard costs to pay from my pocket of 62 euros and some. I did not ask to be robbed and I have to pay when I had taken the insurance all risk. I am disgusted. One thing is on I will not recommend this insurance to people I feel like I am ballad and put in the big widths.</v>
      </c>
    </row>
    <row r="780" ht="15.75" customHeight="1">
      <c r="A780" s="2">
        <v>1.0</v>
      </c>
      <c r="B780" s="2" t="s">
        <v>2190</v>
      </c>
      <c r="C780" s="2" t="s">
        <v>2191</v>
      </c>
      <c r="D780" s="2" t="s">
        <v>70</v>
      </c>
      <c r="E780" s="2" t="s">
        <v>14</v>
      </c>
      <c r="F780" s="2" t="s">
        <v>15</v>
      </c>
      <c r="G780" s="2" t="s">
        <v>2192</v>
      </c>
      <c r="H780" s="2" t="s">
        <v>339</v>
      </c>
      <c r="I780" s="2" t="str">
        <f>IFERROR(__xludf.DUMMYFUNCTION("GOOGLETRANSLATE(C780,""fr"",""en"")"),"To offer appointments to sell as many insurance as possible, they are very close to their client. On the other hand, when you want to have more information for a termination, it is a puzzle and the ""must"" is that when a termination is sent by LRAR, no c"&amp;"onsideration, no return, C ' is deplorable. The day I create my business and should choose a mutual for my employees, it is certainly not towards a mutual harmony that I would head.")</f>
        <v>To offer appointments to sell as many insurance as possible, they are very close to their client. On the other hand, when you want to have more information for a termination, it is a puzzle and the "must" is that when a termination is sent by LRAR, no consideration, no return, C ' is deplorable. The day I create my business and should choose a mutual for my employees, it is certainly not towards a mutual harmony that I would head.</v>
      </c>
    </row>
    <row r="781" ht="15.75" customHeight="1">
      <c r="A781" s="2">
        <v>4.0</v>
      </c>
      <c r="B781" s="2" t="s">
        <v>2193</v>
      </c>
      <c r="C781" s="2" t="s">
        <v>2194</v>
      </c>
      <c r="D781" s="2" t="s">
        <v>38</v>
      </c>
      <c r="E781" s="2" t="s">
        <v>39</v>
      </c>
      <c r="F781" s="2" t="s">
        <v>15</v>
      </c>
      <c r="G781" s="2" t="s">
        <v>579</v>
      </c>
      <c r="H781" s="2" t="s">
        <v>23</v>
      </c>
      <c r="I781" s="2" t="str">
        <f>IFERROR(__xludf.DUMMYFUNCTION("GOOGLETRANSLATE(C781,""fr"",""en"")"),"I am satisfied for the moment
We will see over time if everything goes well during the established contract
Easy to set up and offer well positions in price")</f>
        <v>I am satisfied for the moment
We will see over time if everything goes well during the established contract
Easy to set up and offer well positions in price</v>
      </c>
    </row>
    <row r="782" ht="15.75" customHeight="1">
      <c r="A782" s="2">
        <v>1.0</v>
      </c>
      <c r="B782" s="2" t="s">
        <v>2195</v>
      </c>
      <c r="C782" s="2" t="s">
        <v>2196</v>
      </c>
      <c r="D782" s="2" t="s">
        <v>1083</v>
      </c>
      <c r="E782" s="2" t="s">
        <v>76</v>
      </c>
      <c r="F782" s="2" t="s">
        <v>15</v>
      </c>
      <c r="G782" s="2" t="s">
        <v>2197</v>
      </c>
      <c r="H782" s="2" t="s">
        <v>234</v>
      </c>
      <c r="I782" s="2" t="str">
        <f>IFERROR(__xludf.DUMMYFUNCTION("GOOGLETRANSLATE(C782,""fr"",""en"")"),"Non -compliance with compensation times. Non -compliance with the contract.")</f>
        <v>Non -compliance with compensation times. Non -compliance with the contract.</v>
      </c>
    </row>
    <row r="783" ht="15.75" customHeight="1">
      <c r="A783" s="2">
        <v>5.0</v>
      </c>
      <c r="B783" s="2" t="s">
        <v>2198</v>
      </c>
      <c r="C783" s="2" t="s">
        <v>2199</v>
      </c>
      <c r="D783" s="2" t="s">
        <v>44</v>
      </c>
      <c r="E783" s="2" t="s">
        <v>27</v>
      </c>
      <c r="F783" s="2" t="s">
        <v>15</v>
      </c>
      <c r="G783" s="2" t="s">
        <v>441</v>
      </c>
      <c r="H783" s="2" t="s">
        <v>57</v>
      </c>
      <c r="I783" s="2" t="str">
        <f>IFERROR(__xludf.DUMMYFUNCTION("GOOGLETRANSLATE(C783,""fr"",""en"")"),"Satisfied with good supereçu good very responsive customer service I quickly receive my green card cordially Madame Lo Presti Madeleine Thank you. .")</f>
        <v>Satisfied with good supereçu good very responsive customer service I quickly receive my green card cordially Madame Lo Presti Madeleine Thank you. .</v>
      </c>
    </row>
    <row r="784" ht="15.75" customHeight="1">
      <c r="A784" s="2">
        <v>1.0</v>
      </c>
      <c r="B784" s="2" t="s">
        <v>2200</v>
      </c>
      <c r="C784" s="2" t="s">
        <v>2201</v>
      </c>
      <c r="D784" s="2" t="s">
        <v>125</v>
      </c>
      <c r="E784" s="2" t="s">
        <v>14</v>
      </c>
      <c r="F784" s="2" t="s">
        <v>15</v>
      </c>
      <c r="G784" s="2" t="s">
        <v>1889</v>
      </c>
      <c r="H784" s="2" t="s">
        <v>23</v>
      </c>
      <c r="I784" s="2" t="str">
        <f>IFERROR(__xludf.DUMMYFUNCTION("GOOGLETRANSLATE(C784,""fr"",""en"")"),"Impossible to have them on the phone on my refund request !!!
""We take care of you quickly"" it's been 3 weeks !!!
And when I have someone I am told that we will get my bill, which is already refunded for the ""Secu"" part to the inspector? Inspector o"&amp;"f what ???? But the samples from my account do not need an inspector !!! They are taken without delay
As I can I can change this mutual ... I was well fooled for 80 € less per month ....")</f>
        <v>Impossible to have them on the phone on my refund request !!!
"We take care of you quickly" it's been 3 weeks !!!
And when I have someone I am told that we will get my bill, which is already refunded for the "Secu" part to the inspector? Inspector of what ???? But the samples from my account do not need an inspector !!! They are taken without delay
As I can I can change this mutual ... I was well fooled for 80 € less per month ....</v>
      </c>
    </row>
    <row r="785" ht="15.75" customHeight="1">
      <c r="A785" s="2">
        <v>2.0</v>
      </c>
      <c r="B785" s="2" t="s">
        <v>2202</v>
      </c>
      <c r="C785" s="2" t="s">
        <v>2203</v>
      </c>
      <c r="D785" s="2" t="s">
        <v>148</v>
      </c>
      <c r="E785" s="2" t="s">
        <v>33</v>
      </c>
      <c r="F785" s="2" t="s">
        <v>15</v>
      </c>
      <c r="G785" s="2" t="s">
        <v>2204</v>
      </c>
      <c r="H785" s="2" t="s">
        <v>519</v>
      </c>
      <c r="I785" s="2" t="str">
        <f>IFERROR(__xludf.DUMMYFUNCTION("GOOGLETRANSLATE(C785,""fr"",""en"")"),"From 2013 to 2016, I put my owner apartment for rent following a professional change. So I had 2 units insured with them (owner rented and tenant on the new city of transfer). They paid me the home insurance for the housing of owner hire as if I lived. Wh"&amp;"en I realized it after 2 and a half years (they had not detailed in the matters of maturity the 2 apartments, I paid an overall amount), they told me that they could not to guess ! Knowing that I had taken the necessary steps with their service and that e"&amp;"very year they provided me with the naked property certificate for the real estate agency which would manage my owner's accommodation and transmit to me the certificate of the amounts to deduce taxes! I have never been reimbursed !!!!!!!")</f>
        <v>From 2013 to 2016, I put my owner apartment for rent following a professional change. So I had 2 units insured with them (owner rented and tenant on the new city of transfer). They paid me the home insurance for the housing of owner hire as if I lived. When I realized it after 2 and a half years (they had not detailed in the matters of maturity the 2 apartments, I paid an overall amount), they told me that they could not to guess ! Knowing that I had taken the necessary steps with their service and that every year they provided me with the naked property certificate for the real estate agency which would manage my owner's accommodation and transmit to me the certificate of the amounts to deduce taxes! I have never been reimbursed !!!!!!!</v>
      </c>
    </row>
    <row r="786" ht="15.75" customHeight="1">
      <c r="A786" s="2">
        <v>3.0</v>
      </c>
      <c r="B786" s="2" t="s">
        <v>2205</v>
      </c>
      <c r="C786" s="2" t="s">
        <v>2206</v>
      </c>
      <c r="D786" s="2" t="s">
        <v>165</v>
      </c>
      <c r="E786" s="2" t="s">
        <v>27</v>
      </c>
      <c r="F786" s="2" t="s">
        <v>15</v>
      </c>
      <c r="G786" s="2" t="s">
        <v>2207</v>
      </c>
      <c r="H786" s="2" t="s">
        <v>67</v>
      </c>
      <c r="I786" s="2" t="str">
        <f>IFERROR(__xludf.DUMMYFUNCTION("GOOGLETRANSLATE(C786,""fr"",""en"")"),"I am quite happy with Eurofil services, but on the other hand I sponsored someone who registered and I had to have a reduction on my subscription that I never had, despite many calls: they do not hold their promise ::")</f>
        <v>I am quite happy with Eurofil services, but on the other hand I sponsored someone who registered and I had to have a reduction on my subscription that I never had, despite many calls: they do not hold their promise ::</v>
      </c>
    </row>
    <row r="787" ht="15.75" customHeight="1">
      <c r="A787" s="2">
        <v>3.0</v>
      </c>
      <c r="B787" s="2" t="s">
        <v>2208</v>
      </c>
      <c r="C787" s="2" t="s">
        <v>2209</v>
      </c>
      <c r="D787" s="2" t="s">
        <v>252</v>
      </c>
      <c r="E787" s="2" t="s">
        <v>14</v>
      </c>
      <c r="F787" s="2" t="s">
        <v>15</v>
      </c>
      <c r="G787" s="2" t="s">
        <v>2210</v>
      </c>
      <c r="H787" s="2" t="s">
        <v>465</v>
      </c>
      <c r="I787" s="2" t="str">
        <f>IFERROR(__xludf.DUMMYFUNCTION("GOOGLETRANSLATE(C787,""fr"",""en"")"),"Simple, automatically linked to the security, completely recommendable!")</f>
        <v>Simple, automatically linked to the security, completely recommendable!</v>
      </c>
    </row>
    <row r="788" ht="15.75" customHeight="1">
      <c r="A788" s="2">
        <v>4.0</v>
      </c>
      <c r="B788" s="2" t="s">
        <v>2211</v>
      </c>
      <c r="C788" s="2" t="s">
        <v>2212</v>
      </c>
      <c r="D788" s="2" t="s">
        <v>26</v>
      </c>
      <c r="E788" s="2" t="s">
        <v>27</v>
      </c>
      <c r="F788" s="2" t="s">
        <v>15</v>
      </c>
      <c r="G788" s="2" t="s">
        <v>803</v>
      </c>
      <c r="H788" s="2" t="s">
        <v>418</v>
      </c>
      <c r="I788" s="2" t="str">
        <f>IFERROR(__xludf.DUMMYFUNCTION("GOOGLETRANSLATE(C788,""fr"",""en"")"),"I am satisfied the prices are very interesting and the service suits me perfectly they are very fast and responsive the agents are very pleasant and courteous and listening")</f>
        <v>I am satisfied the prices are very interesting and the service suits me perfectly they are very fast and responsive the agents are very pleasant and courteous and listening</v>
      </c>
    </row>
    <row r="789" ht="15.75" customHeight="1">
      <c r="A789" s="2">
        <v>1.0</v>
      </c>
      <c r="B789" s="2" t="s">
        <v>2213</v>
      </c>
      <c r="C789" s="2" t="s">
        <v>2214</v>
      </c>
      <c r="D789" s="2" t="s">
        <v>165</v>
      </c>
      <c r="E789" s="2" t="s">
        <v>27</v>
      </c>
      <c r="F789" s="2" t="s">
        <v>15</v>
      </c>
      <c r="G789" s="2" t="s">
        <v>2215</v>
      </c>
      <c r="H789" s="2" t="s">
        <v>372</v>
      </c>
      <c r="I789" s="2" t="str">
        <f>IFERROR(__xludf.DUMMYFUNCTION("GOOGLETRANSLATE(C789,""fr"",""en"")"),"To flee, after more than 5 years with them without any disaster, I unfortunately had 2 non -gravity accidents on my vehicle. It is told that the 1st being a good driver, no maalu applied while the second will see my increased penalty, normal I would say. "&amp;"Following the following fact, the penalty was applied ""to the 2 accidents because I had already had a responsible accident 20 years ago. I find it scandalous and will not stay at home because no speech.")</f>
        <v>To flee, after more than 5 years with them without any disaster, I unfortunately had 2 non -gravity accidents on my vehicle. It is told that the 1st being a good driver, no maalu applied while the second will see my increased penalty, normal I would say. Following the following fact, the penalty was applied "to the 2 accidents because I had already had a responsible accident 20 years ago. I find it scandalous and will not stay at home because no speech.</v>
      </c>
    </row>
    <row r="790" ht="15.75" customHeight="1">
      <c r="A790" s="2">
        <v>2.0</v>
      </c>
      <c r="B790" s="2" t="s">
        <v>2216</v>
      </c>
      <c r="C790" s="2" t="s">
        <v>2217</v>
      </c>
      <c r="D790" s="2" t="s">
        <v>560</v>
      </c>
      <c r="E790" s="2" t="s">
        <v>561</v>
      </c>
      <c r="F790" s="2" t="s">
        <v>15</v>
      </c>
      <c r="G790" s="2" t="s">
        <v>362</v>
      </c>
      <c r="H790" s="2" t="s">
        <v>57</v>
      </c>
      <c r="I790" s="2" t="str">
        <f>IFERROR(__xludf.DUMMYFUNCTION("GOOGLETRANSLATE(C790,""fr"",""en"")"),"To flee at all speeds!
Very long to reimburse and deplorable care not even respecting the contract and they invented the bad time!")</f>
        <v>To flee at all speeds!
Very long to reimburse and deplorable care not even respecting the contract and they invented the bad time!</v>
      </c>
    </row>
    <row r="791" ht="15.75" customHeight="1">
      <c r="A791" s="2">
        <v>1.0</v>
      </c>
      <c r="B791" s="2" t="s">
        <v>2218</v>
      </c>
      <c r="C791" s="2" t="s">
        <v>2219</v>
      </c>
      <c r="D791" s="2" t="s">
        <v>55</v>
      </c>
      <c r="E791" s="2" t="s">
        <v>14</v>
      </c>
      <c r="F791" s="2" t="s">
        <v>15</v>
      </c>
      <c r="G791" s="2" t="s">
        <v>2220</v>
      </c>
      <c r="H791" s="2" t="s">
        <v>771</v>
      </c>
      <c r="I791" s="2" t="str">
        <f>IFERROR(__xludf.DUMMYFUNCTION("GOOGLETRANSLATE(C791,""fr"",""en"")"),"Be careful not to get your hand for ...!
Do not transmit your rib without having signed something .... !!!!
Everything happens by phone and sms, difficult to contact them, etc ...")</f>
        <v>Be careful not to get your hand for ...!
Do not transmit your rib without having signed something .... !!!!
Everything happens by phone and sms, difficult to contact them, etc ...</v>
      </c>
    </row>
    <row r="792" ht="15.75" customHeight="1">
      <c r="A792" s="2">
        <v>4.0</v>
      </c>
      <c r="B792" s="2" t="s">
        <v>2221</v>
      </c>
      <c r="C792" s="2" t="s">
        <v>2222</v>
      </c>
      <c r="D792" s="2" t="s">
        <v>540</v>
      </c>
      <c r="E792" s="2" t="s">
        <v>14</v>
      </c>
      <c r="F792" s="2" t="s">
        <v>15</v>
      </c>
      <c r="G792" s="2" t="s">
        <v>45</v>
      </c>
      <c r="H792" s="2" t="s">
        <v>46</v>
      </c>
      <c r="I792" s="2" t="str">
        <f>IFERROR(__xludf.DUMMYFUNCTION("GOOGLETRANSLATE(C792,""fr"",""en"")"),"Victim of a serious attack, I called the MGP so that they orient me about my rights and contracts.
I was directly listened to carefully and oriented with speed and precision concerning the possible aid and documents immediately sent by email relating to "&amp;"the management of salary losses.
Answers have also been given to me in relation to current dental reimbursements, with precision and politeness.
Mutual quality and attentive, without waiting for weeks for a special request.")</f>
        <v>Victim of a serious attack, I called the MGP so that they orient me about my rights and contracts.
I was directly listened to carefully and oriented with speed and precision concerning the possible aid and documents immediately sent by email relating to the management of salary losses.
Answers have also been given to me in relation to current dental reimbursements, with precision and politeness.
Mutual quality and attentive, without waiting for weeks for a special request.</v>
      </c>
    </row>
    <row r="793" ht="15.75" customHeight="1">
      <c r="A793" s="2">
        <v>4.0</v>
      </c>
      <c r="B793" s="2" t="s">
        <v>2223</v>
      </c>
      <c r="C793" s="2" t="s">
        <v>2224</v>
      </c>
      <c r="D793" s="2" t="s">
        <v>44</v>
      </c>
      <c r="E793" s="2" t="s">
        <v>27</v>
      </c>
      <c r="F793" s="2" t="s">
        <v>15</v>
      </c>
      <c r="G793" s="2" t="s">
        <v>2225</v>
      </c>
      <c r="H793" s="2" t="s">
        <v>57</v>
      </c>
      <c r="I793" s="2" t="str">
        <f>IFERROR(__xludf.DUMMYFUNCTION("GOOGLETRANSLATE(C793,""fr"",""en"")"),"
Satisfied with this contract which, in principle, brings me good coverage at a correct price compared to other insurers. I hope I never have to check if the coverage and the assistance are as good as I think !!!")</f>
        <v>
Satisfied with this contract which, in principle, brings me good coverage at a correct price compared to other insurers. I hope I never have to check if the coverage and the assistance are as good as I think !!!</v>
      </c>
    </row>
    <row r="794" ht="15.75" customHeight="1">
      <c r="A794" s="2">
        <v>2.0</v>
      </c>
      <c r="B794" s="2" t="s">
        <v>2226</v>
      </c>
      <c r="C794" s="2" t="s">
        <v>2227</v>
      </c>
      <c r="D794" s="2" t="s">
        <v>44</v>
      </c>
      <c r="E794" s="2" t="s">
        <v>27</v>
      </c>
      <c r="F794" s="2" t="s">
        <v>15</v>
      </c>
      <c r="G794" s="2" t="s">
        <v>1244</v>
      </c>
      <c r="H794" s="2" t="s">
        <v>35</v>
      </c>
      <c r="I794" s="2" t="str">
        <f>IFERROR(__xludf.DUMMYFUNCTION("GOOGLETRANSLATE(C794,""fr"",""en"")"),"I am very unsatisfactory and I am trying to go to competition. I strongly advise against this insurance which is useless during the declaration of a disaster, the advisers contradict themselves from one phone call to another!")</f>
        <v>I am very unsatisfactory and I am trying to go to competition. I strongly advise against this insurance which is useless during the declaration of a disaster, the advisers contradict themselves from one phone call to another!</v>
      </c>
    </row>
    <row r="795" ht="15.75" customHeight="1">
      <c r="A795" s="2">
        <v>1.0</v>
      </c>
      <c r="B795" s="2" t="s">
        <v>2228</v>
      </c>
      <c r="C795" s="2" t="s">
        <v>2229</v>
      </c>
      <c r="D795" s="2" t="s">
        <v>44</v>
      </c>
      <c r="E795" s="2" t="s">
        <v>27</v>
      </c>
      <c r="F795" s="2" t="s">
        <v>15</v>
      </c>
      <c r="G795" s="2" t="s">
        <v>2064</v>
      </c>
      <c r="H795" s="2" t="s">
        <v>57</v>
      </c>
      <c r="I795" s="2" t="str">
        <f>IFERROR(__xludf.DUMMYFUNCTION("GOOGLETRANSLATE(C795,""fr"",""en"")"),"To validate insurance all salespeople are present and available
To get you online it's a fight especially to have the right person")</f>
        <v>To validate insurance all salespeople are present and available
To get you online it's a fight especially to have the right person</v>
      </c>
    </row>
    <row r="796" ht="15.75" customHeight="1">
      <c r="A796" s="2">
        <v>2.0</v>
      </c>
      <c r="B796" s="2" t="s">
        <v>2230</v>
      </c>
      <c r="C796" s="2" t="s">
        <v>2231</v>
      </c>
      <c r="D796" s="2" t="s">
        <v>44</v>
      </c>
      <c r="E796" s="2" t="s">
        <v>27</v>
      </c>
      <c r="F796" s="2" t="s">
        <v>15</v>
      </c>
      <c r="G796" s="2" t="s">
        <v>1556</v>
      </c>
      <c r="H796" s="2" t="s">
        <v>206</v>
      </c>
      <c r="I796" s="2" t="str">
        <f>IFERROR(__xludf.DUMMYFUNCTION("GOOGLETRANSLATE(C796,""fr"",""en"")"),"I am very unsatisfied with Direct Insurance, which made me contradictory comments and led me by boat for my termination. They try to do customer retention by preventing you from terminating !!! The pretext advisor of false arguments to refuse my terminati"&amp;"on: several reasons in my letter (while Hamon law and model taken on termination.com), the fact that it is me who terminates and not my new insurer (while we can for law Hamon do it yourself), time 30 days. A counselor da m had however assured during my p"&amp;"revious call by oral that I could precisely by doing so and by invoking the Hamon law. According to the advisor, the rule is not the same to prevent you from terminating.
The Hamon law works, do not listen to them if they tell you that no, it is to force"&amp;" you to re-register with them !!!! For my part I will reiterate my request for termination and if it is necessary to continue the mediator, to the ACPR. It is prohibited from refusing a termination of the Hamon law now
In addition the access path to cont"&amp;"act them by email is almost not found (another obligation they have and do not respect)
")</f>
        <v>I am very unsatisfied with Direct Insurance, which made me contradictory comments and led me by boat for my termination. They try to do customer retention by preventing you from terminating !!! The pretext advisor of false arguments to refuse my termination: several reasons in my letter (while Hamon law and model taken on termination.com), the fact that it is me who terminates and not my new insurer (while we can for law Hamon do it yourself), time 30 days. A counselor da m had however assured during my previous call by oral that I could precisely by doing so and by invoking the Hamon law. According to the advisor, the rule is not the same to prevent you from terminating.
The Hamon law works, do not listen to them if they tell you that no, it is to force you to re-register with them !!!! For my part I will reiterate my request for termination and if it is necessary to continue the mediator, to the ACPR. It is prohibited from refusing a termination of the Hamon law now
In addition the access path to contact them by email is almost not found (another obligation they have and do not respect)
</v>
      </c>
    </row>
    <row r="797" ht="15.75" customHeight="1">
      <c r="A797" s="2">
        <v>4.0</v>
      </c>
      <c r="B797" s="2" t="s">
        <v>2232</v>
      </c>
      <c r="C797" s="2" t="s">
        <v>2233</v>
      </c>
      <c r="D797" s="2" t="s">
        <v>38</v>
      </c>
      <c r="E797" s="2" t="s">
        <v>39</v>
      </c>
      <c r="F797" s="2" t="s">
        <v>15</v>
      </c>
      <c r="G797" s="2" t="s">
        <v>1450</v>
      </c>
      <c r="H797" s="2" t="s">
        <v>29</v>
      </c>
      <c r="I797" s="2" t="str">
        <f>IFERROR(__xludf.DUMMYFUNCTION("GOOGLETRANSLATE(C797,""fr"",""en"")"),"I will see, it is the first time that I have used this application. I do not know yet. You will have to see in time. It is not on a subscription that can be checked.")</f>
        <v>I will see, it is the first time that I have used this application. I do not know yet. You will have to see in time. It is not on a subscription that can be checked.</v>
      </c>
    </row>
    <row r="798" ht="15.75" customHeight="1">
      <c r="A798" s="2">
        <v>4.0</v>
      </c>
      <c r="B798" s="2" t="s">
        <v>2234</v>
      </c>
      <c r="C798" s="2" t="s">
        <v>2235</v>
      </c>
      <c r="D798" s="2" t="s">
        <v>105</v>
      </c>
      <c r="E798" s="2" t="s">
        <v>39</v>
      </c>
      <c r="F798" s="2" t="s">
        <v>15</v>
      </c>
      <c r="G798" s="2" t="s">
        <v>1660</v>
      </c>
      <c r="H798" s="2" t="s">
        <v>46</v>
      </c>
      <c r="I798" s="2" t="str">
        <f>IFERROR(__xludf.DUMMYFUNCTION("GOOGLETRANSLATE(C798,""fr"",""en"")"),"Simple and efficient. Nothing to say . Customer service available. Insurance recommended by a friend. After trying when I was in another insurance I pay today cheaper")</f>
        <v>Simple and efficient. Nothing to say . Customer service available. Insurance recommended by a friend. After trying when I was in another insurance I pay today cheaper</v>
      </c>
    </row>
    <row r="799" ht="15.75" customHeight="1">
      <c r="A799" s="2">
        <v>3.0</v>
      </c>
      <c r="B799" s="2" t="s">
        <v>2236</v>
      </c>
      <c r="C799" s="2" t="s">
        <v>2237</v>
      </c>
      <c r="D799" s="2" t="s">
        <v>38</v>
      </c>
      <c r="E799" s="2" t="s">
        <v>39</v>
      </c>
      <c r="F799" s="2" t="s">
        <v>15</v>
      </c>
      <c r="G799" s="2" t="s">
        <v>52</v>
      </c>
      <c r="H799" s="2" t="s">
        <v>41</v>
      </c>
      <c r="I799" s="2" t="str">
        <f>IFERROR(__xludf.DUMMYFUNCTION("GOOGLETRANSLATE(C799,""fr"",""en"")"),"Satisfied in all the services and explanations in general.
IT and transmissions were clear and comprehensible, very well.
Yours faithfully.")</f>
        <v>Satisfied in all the services and explanations in general.
IT and transmissions were clear and comprehensible, very well.
Yours faithfully.</v>
      </c>
    </row>
    <row r="800" ht="15.75" customHeight="1">
      <c r="A800" s="2">
        <v>4.0</v>
      </c>
      <c r="B800" s="2" t="s">
        <v>2238</v>
      </c>
      <c r="C800" s="2" t="s">
        <v>2239</v>
      </c>
      <c r="D800" s="2" t="s">
        <v>26</v>
      </c>
      <c r="E800" s="2" t="s">
        <v>27</v>
      </c>
      <c r="F800" s="2" t="s">
        <v>15</v>
      </c>
      <c r="G800" s="2" t="s">
        <v>1450</v>
      </c>
      <c r="H800" s="2" t="s">
        <v>29</v>
      </c>
      <c r="I800" s="2" t="str">
        <f>IFERROR(__xludf.DUMMYFUNCTION("GOOGLETRANSLATE(C800,""fr"",""en"")"),"Simple and quick, clear and concise, very friendly welcome ... I hope that in case of need, it will be so easy. Good economy on the price ... to see afterwards!")</f>
        <v>Simple and quick, clear and concise, very friendly welcome ... I hope that in case of need, it will be so easy. Good economy on the price ... to see afterwards!</v>
      </c>
    </row>
    <row r="801" ht="15.75" customHeight="1">
      <c r="A801" s="2">
        <v>2.0</v>
      </c>
      <c r="B801" s="2" t="s">
        <v>2240</v>
      </c>
      <c r="C801" s="2" t="s">
        <v>2241</v>
      </c>
      <c r="D801" s="2" t="s">
        <v>165</v>
      </c>
      <c r="E801" s="2" t="s">
        <v>27</v>
      </c>
      <c r="F801" s="2" t="s">
        <v>15</v>
      </c>
      <c r="G801" s="2" t="s">
        <v>1766</v>
      </c>
      <c r="H801" s="2" t="s">
        <v>422</v>
      </c>
      <c r="I801" s="2" t="str">
        <f>IFERROR(__xludf.DUMMYFUNCTION("GOOGLETRANSLATE(C801,""fr"",""en"")"),"to flee !! For more than 10 years, 2 years 2 years on a windfall and 1 parking hook we provide you with more a new car despite bonus of 50 if you have a burst on the windshield do not repair that it breaks it more expensive, And you can have a year more")</f>
        <v>to flee !! For more than 10 years, 2 years 2 years on a windfall and 1 parking hook we provide you with more a new car despite bonus of 50 if you have a burst on the windshield do not repair that it breaks it more expensive, And you can have a year more</v>
      </c>
    </row>
    <row r="802" ht="15.75" customHeight="1">
      <c r="A802" s="2">
        <v>5.0</v>
      </c>
      <c r="B802" s="2" t="s">
        <v>2242</v>
      </c>
      <c r="C802" s="2" t="s">
        <v>2243</v>
      </c>
      <c r="D802" s="2" t="s">
        <v>141</v>
      </c>
      <c r="E802" s="2" t="s">
        <v>27</v>
      </c>
      <c r="F802" s="2" t="s">
        <v>15</v>
      </c>
      <c r="G802" s="2" t="s">
        <v>2244</v>
      </c>
      <c r="H802" s="2" t="s">
        <v>268</v>
      </c>
      <c r="I802" s="2" t="str">
        <f>IFERROR(__xludf.DUMMYFUNCTION("GOOGLETRANSLATE(C802,""fr"",""en"")"),"Following a penalty of a young driver, they offer very competitive insurance despite the driver's past.")</f>
        <v>Following a penalty of a young driver, they offer very competitive insurance despite the driver's past.</v>
      </c>
    </row>
    <row r="803" ht="15.75" customHeight="1">
      <c r="A803" s="2">
        <v>5.0</v>
      </c>
      <c r="B803" s="2" t="s">
        <v>2245</v>
      </c>
      <c r="C803" s="2" t="s">
        <v>2246</v>
      </c>
      <c r="D803" s="2" t="s">
        <v>26</v>
      </c>
      <c r="E803" s="2" t="s">
        <v>27</v>
      </c>
      <c r="F803" s="2" t="s">
        <v>15</v>
      </c>
      <c r="G803" s="2" t="s">
        <v>2247</v>
      </c>
      <c r="H803" s="2" t="s">
        <v>177</v>
      </c>
      <c r="I803" s="2" t="str">
        <f>IFERROR(__xludf.DUMMYFUNCTION("GOOGLETRANSLATE(C803,""fr"",""en"")"),"The team is fast, efficient and more pleasant! Online management of a brilliant simplicity. And an unbeatable price for a particular and difficult situation. I highly recommend the olive assurance!")</f>
        <v>The team is fast, efficient and more pleasant! Online management of a brilliant simplicity. And an unbeatable price for a particular and difficult situation. I highly recommend the olive assurance!</v>
      </c>
    </row>
    <row r="804" ht="15.75" customHeight="1">
      <c r="A804" s="2">
        <v>5.0</v>
      </c>
      <c r="B804" s="2" t="s">
        <v>2248</v>
      </c>
      <c r="C804" s="2" t="s">
        <v>2249</v>
      </c>
      <c r="D804" s="2" t="s">
        <v>32</v>
      </c>
      <c r="E804" s="2" t="s">
        <v>33</v>
      </c>
      <c r="F804" s="2" t="s">
        <v>15</v>
      </c>
      <c r="G804" s="2" t="s">
        <v>2250</v>
      </c>
      <c r="H804" s="2" t="s">
        <v>62</v>
      </c>
      <c r="I804" s="2" t="str">
        <f>IFERROR(__xludf.DUMMYFUNCTION("GOOGLETRANSLATE(C804,""fr"",""en"")"),"For an exterior water degate rupture of a pipe, the Macif has superbly taken its responsibilities by compensating me fairly correctly.
I have you that since I was insured with them I never had to complain
I dare to continue this will continue
Nb c idem"&amp;" concerning my vehicle
")</f>
        <v>For an exterior water degate rupture of a pipe, the Macif has superbly taken its responsibilities by compensating me fairly correctly.
I have you that since I was insured with them I never had to complain
I dare to continue this will continue
Nb c idem concerning my vehicle
</v>
      </c>
    </row>
    <row r="805" ht="15.75" customHeight="1">
      <c r="A805" s="2">
        <v>1.0</v>
      </c>
      <c r="B805" s="2" t="s">
        <v>2251</v>
      </c>
      <c r="C805" s="2" t="s">
        <v>2252</v>
      </c>
      <c r="D805" s="2" t="s">
        <v>55</v>
      </c>
      <c r="E805" s="2" t="s">
        <v>14</v>
      </c>
      <c r="F805" s="2" t="s">
        <v>15</v>
      </c>
      <c r="G805" s="2" t="s">
        <v>2253</v>
      </c>
      <c r="H805" s="2" t="s">
        <v>192</v>
      </c>
      <c r="I805" s="2" t="str">
        <f>IFERROR(__xludf.DUMMYFUNCTION("GOOGLETRANSLATE(C805,""fr"",""en"")"),"Néoliane is the mutual that I subscribed for my dog ​​in 2015 the reimbursements were quite regular until my dog ​​falls ill and caused greater costs from there the reimbursements began to be more problematic with the need for reminders And since the mont"&amp;"h of October 2019 I have no more reimbursements. It was very complicated to have them on the phone (between 30 and 45 minutes of waiting) but we sometimes got there since yesterday the numbers are no longer allocated. No response either on the complaints "&amp;"side. The samples concerning the subscription they continue.")</f>
        <v>Néoliane is the mutual that I subscribed for my dog ​​in 2015 the reimbursements were quite regular until my dog ​​falls ill and caused greater costs from there the reimbursements began to be more problematic with the need for reminders And since the month of October 2019 I have no more reimbursements. It was very complicated to have them on the phone (between 30 and 45 minutes of waiting) but we sometimes got there since yesterday the numbers are no longer allocated. No response either on the complaints side. The samples concerning the subscription they continue.</v>
      </c>
    </row>
    <row r="806" ht="15.75" customHeight="1">
      <c r="A806" s="2">
        <v>5.0</v>
      </c>
      <c r="B806" s="2" t="s">
        <v>2254</v>
      </c>
      <c r="C806" s="2" t="s">
        <v>2255</v>
      </c>
      <c r="D806" s="2" t="s">
        <v>44</v>
      </c>
      <c r="E806" s="2" t="s">
        <v>27</v>
      </c>
      <c r="F806" s="2" t="s">
        <v>15</v>
      </c>
      <c r="G806" s="2" t="s">
        <v>1867</v>
      </c>
      <c r="H806" s="2" t="s">
        <v>57</v>
      </c>
      <c r="I806" s="2" t="str">
        <f>IFERROR(__xludf.DUMMYFUNCTION("GOOGLETRANSLATE(C806,""fr"",""en"")"),"Very satisfied with the residential contract. Very attractive price. It's worth taking a housing contract from Direct Insurance. A very effective service.")</f>
        <v>Very satisfied with the residential contract. Very attractive price. It's worth taking a housing contract from Direct Insurance. A very effective service.</v>
      </c>
    </row>
    <row r="807" ht="15.75" customHeight="1">
      <c r="A807" s="2">
        <v>3.0</v>
      </c>
      <c r="B807" s="2" t="s">
        <v>2256</v>
      </c>
      <c r="C807" s="2" t="s">
        <v>2257</v>
      </c>
      <c r="D807" s="2" t="s">
        <v>141</v>
      </c>
      <c r="E807" s="2" t="s">
        <v>27</v>
      </c>
      <c r="F807" s="2" t="s">
        <v>15</v>
      </c>
      <c r="G807" s="2" t="s">
        <v>2258</v>
      </c>
      <c r="H807" s="2" t="s">
        <v>519</v>
      </c>
      <c r="I807" s="2" t="str">
        <f>IFERROR(__xludf.DUMMYFUNCTION("GOOGLETRANSLATE(C807,""fr"",""en"")"),"Be careful, they are deceitful, sly and manipulative. They make you subscribe to contracts that you have not requested and those abusive and diverted")</f>
        <v>Be careful, they are deceitful, sly and manipulative. They make you subscribe to contracts that you have not requested and those abusive and diverted</v>
      </c>
    </row>
    <row r="808" ht="15.75" customHeight="1">
      <c r="A808" s="2">
        <v>1.0</v>
      </c>
      <c r="B808" s="2" t="s">
        <v>2259</v>
      </c>
      <c r="C808" s="2" t="s">
        <v>2260</v>
      </c>
      <c r="D808" s="2" t="s">
        <v>141</v>
      </c>
      <c r="E808" s="2" t="s">
        <v>27</v>
      </c>
      <c r="F808" s="2" t="s">
        <v>15</v>
      </c>
      <c r="G808" s="2" t="s">
        <v>2261</v>
      </c>
      <c r="H808" s="2" t="s">
        <v>324</v>
      </c>
      <c r="I808" s="2" t="str">
        <f>IFERROR(__xludf.DUMMYFUNCTION("GOOGLETRANSLATE(C808,""fr"",""en"")"),"Total lack of efficiency. does not give up any responsibility. Raised vehicle for 15 days. They told me that the car had been transferred to the garage. Did not do the necessary checks. Result: the expert has passed for nothing, but it is not their fault "&amp;"!!!. Very expensive insurance for the level of guarantees offered!")</f>
        <v>Total lack of efficiency. does not give up any responsibility. Raised vehicle for 15 days. They told me that the car had been transferred to the garage. Did not do the necessary checks. Result: the expert has passed for nothing, but it is not their fault !!!. Very expensive insurance for the level of guarantees offered!</v>
      </c>
    </row>
    <row r="809" ht="15.75" customHeight="1">
      <c r="A809" s="2">
        <v>1.0</v>
      </c>
      <c r="B809" s="2" t="s">
        <v>2262</v>
      </c>
      <c r="C809" s="2" t="s">
        <v>2263</v>
      </c>
      <c r="D809" s="2" t="s">
        <v>598</v>
      </c>
      <c r="E809" s="2" t="s">
        <v>460</v>
      </c>
      <c r="F809" s="2" t="s">
        <v>15</v>
      </c>
      <c r="G809" s="2" t="s">
        <v>2264</v>
      </c>
      <c r="H809" s="2" t="s">
        <v>519</v>
      </c>
      <c r="I809" s="2" t="str">
        <f>IFERROR(__xludf.DUMMYFUNCTION("GOOGLETRANSLATE(C809,""fr"",""en"")"),"I have been asking for explanations for over a year
Regarding an annuity fence. No answers !!!!!!!!!!!! Can we hope for an answer")</f>
        <v>I have been asking for explanations for over a year
Regarding an annuity fence. No answers !!!!!!!!!!!! Can we hope for an answer</v>
      </c>
    </row>
    <row r="810" ht="15.75" customHeight="1">
      <c r="A810" s="2">
        <v>4.0</v>
      </c>
      <c r="B810" s="2" t="s">
        <v>2265</v>
      </c>
      <c r="C810" s="2" t="s">
        <v>2266</v>
      </c>
      <c r="D810" s="2" t="s">
        <v>38</v>
      </c>
      <c r="E810" s="2" t="s">
        <v>39</v>
      </c>
      <c r="F810" s="2" t="s">
        <v>15</v>
      </c>
      <c r="G810" s="2" t="s">
        <v>2139</v>
      </c>
      <c r="H810" s="2" t="s">
        <v>23</v>
      </c>
      <c r="I810" s="2" t="str">
        <f>IFERROR(__xludf.DUMMYFUNCTION("GOOGLETRANSLATE(C810,""fr"",""en"")"),"Very attractive prices of the Good Motorcycle quotes for me is a well -placed insurance at the rate of motorcycle insurance I have already been insured at April Moto This is why I come back to ensure my new vehicle")</f>
        <v>Very attractive prices of the Good Motorcycle quotes for me is a well -placed insurance at the rate of motorcycle insurance I have already been insured at April Moto This is why I come back to ensure my new vehicle</v>
      </c>
    </row>
    <row r="811" ht="15.75" customHeight="1">
      <c r="A811" s="2">
        <v>4.0</v>
      </c>
      <c r="B811" s="2" t="s">
        <v>2267</v>
      </c>
      <c r="C811" s="2" t="s">
        <v>2268</v>
      </c>
      <c r="D811" s="2" t="s">
        <v>148</v>
      </c>
      <c r="E811" s="2" t="s">
        <v>27</v>
      </c>
      <c r="F811" s="2" t="s">
        <v>15</v>
      </c>
      <c r="G811" s="2" t="s">
        <v>1667</v>
      </c>
      <c r="H811" s="2" t="s">
        <v>119</v>
      </c>
      <c r="I811" s="2" t="str">
        <f>IFERROR(__xludf.DUMMYFUNCTION("GOOGLETRANSLATE(C811,""fr"",""en"")"),"I admit to being surprised not certain negative opinions which even scare me for the future! I post my opinion and it is the first time to restore a part of positive because I am super satisfied with Maif. To start in terms of quality of listening to cust"&amp;"omer service I am very satisfied! My brother -in -law is insurance broker and he is himself very surprised by Maif! Even more with the problem that it happened to me recently and that I will tell you later! In terms of price and for the quality of the ful"&amp;"lness formula he could never line up so I left his agency for maif (I am a trainer so a very correct rate) and since that is only happiness ! A few days ago my car broke down in a phone call I had a car from a rental company that was reserved for me! I ha"&amp;"d it for 7 days (4+2+1) and the day before the evening to make the vehicle (a 2018 Twingo that I had with 5 km on the clock) I stamped the bumper in a small post (protective) in a parking in the dark! The worst part is that the car I had parked it super f"&amp;"ar so that a person gives us a door! I had taken care like never before (800 euros of deposit). I spent an awful night and I was broken down! I no longer knew what to do I was too afraid of losing my deposit! Even my beautiful brother confirmed to me that"&amp;" the rental company will take the deposit and then that I will be reimbursed may be by my insurance but not on because in the rental of the lessor the deductible of franchise was not valid in the event of negligence! After long breathing I called the maif"&amp;" and the they were exceptional they reassured me and said that I did not have to get used to it and that I should especially not leave without my deposit from the rental company and That if there was a bp you had to call them! Of course arrived at the ren"&amp;"tal company (opinion) The guy laughs at me by telling me ""what is it for you to be taken for 800 euros of deposit if we do not use it! I explain the conversation with the maif and He says to me laughing ""Ah it's normal your insurer will not tell you the"&amp;" opposite it's all the same"" and the he announces that I have 750 euros! I do not let go and he Request to call the maif! Before that he calls his manager and a colleague from another agency who tells him that he must take the deposit and that it does no"&amp;"t exist an insurance that settles the case without anyone Go through the surety! And I manage to reach the maif, explains the situation (I was afraid of passing for a C .. he had managed to put me in doubt) and she asks me to pass the rental company !! !!"&amp;" And the total kiff when he put the loudspeaker! She slammed him very politely ""he has only certainty to have in this file is that Monsieur d .... (me) will not be not debited with a penny and You go and give him back to him !!! She slammed two three thi"&amp;"ngs related to the contract and the guy he was disgusted !!! He had assured me that whatever my insurance said he would listen to his chef !! Ahahaah thank you the maif! After the phone call I waited for 5 min that he received email for the damage to the "&amp;"damage and I left with my surety and the apology as a bonus !! I never imagined that an insurer will deal with so much with so much 'regard! My 4 work colleagues went to Maif with what I had told them (even before this story) and they are just as satisfie"&amp;"d as me! And especially in PRX TEMR it is hyper advantageous (can be linked to the status of trainer)! So for the first time in my life I leave a comment because I could not continue to see so many negative things SAS react! Sometimes the satisfied must s"&amp;"peak if not the opinions of certain influence in an erroneous way the choice of future customer who would be happy with them! I have nothing to gain and I am not a false comment lol! For the moment no increase in my deadline and no penalty linked to this "&amp;"case! I will keep you informed. To continue in my misfortune I received a pebble on my windshield and I broke ice but hey I wait because I do not want him to think that I only have problems doc business to follow!
I leave my email address if a person wan"&amp;"ts more details. Here it is a superb insurance! I have been there for two years and I even managed to win a lot on my home loan insurance at the Postal Bank by showing a MAIF insurance quote! BP could not align but I won 40 ahah percent !!")</f>
        <v>I admit to being surprised not certain negative opinions which even scare me for the future! I post my opinion and it is the first time to restore a part of positive because I am super satisfied with Maif. To start in terms of quality of listening to customer service I am very satisfied! My brother -in -law is insurance broker and he is himself very surprised by Maif! Even more with the problem that it happened to me recently and that I will tell you later! In terms of price and for the quality of the fullness formula he could never line up so I left his agency for maif (I am a trainer so a very correct rate) and since that is only happiness ! A few days ago my car broke down in a phone call I had a car from a rental company that was reserved for me! I had it for 7 days (4+2+1) and the day before the evening to make the vehicle (a 2018 Twingo that I had with 5 km on the clock) I stamped the bumper in a small post (protective) in a parking in the dark! The worst part is that the car I had parked it super far so that a person gives us a door! I had taken care like never before (800 euros of deposit). I spent an awful night and I was broken down! I no longer knew what to do I was too afraid of losing my deposit! Even my beautiful brother confirmed to me that the rental company will take the deposit and then that I will be reimbursed may be by my insurance but not on because in the rental of the lessor the deductible of franchise was not valid in the event of negligence! After long breathing I called the maif and the they were exceptional they reassured me and said that I did not have to get used to it and that I should especially not leave without my deposit from the rental company and That if there was a bp you had to call them! Of course arrived at the rental company (opinion) The guy laughs at me by telling me "what is it for you to be taken for 800 euros of deposit if we do not use it! I explain the conversation with the maif and He says to me laughing "Ah it's normal your insurer will not tell you the opposite it's all the same" and the he announces that I have 750 euros! I do not let go and he Request to call the maif! Before that he calls his manager and a colleague from another agency who tells him that he must take the deposit and that it does not exist an insurance that settles the case without anyone Go through the surety! And I manage to reach the maif, explains the situation (I was afraid of passing for a C .. he had managed to put me in doubt) and she asks me to pass the rental company !! !! And the total kiff when he put the loudspeaker! She slammed him very politely "he has only certainty to have in this file is that Monsieur d .... (me) will not be not debited with a penny and You go and give him back to him !!! She slammed two three things related to the contract and the guy he was disgusted !!! He had assured me that whatever my insurance said he would listen to his chef !! Ahahaah thank you the maif! After the phone call I waited for 5 min that he received email for the damage to the damage and I left with my surety and the apology as a bonus !! I never imagined that an insurer will deal with so much with so much 'regard! My 4 work colleagues went to Maif with what I had told them (even before this story) and they are just as satisfied as me! And especially in PRX TEMR it is hyper advantageous (can be linked to the status of trainer)! So for the first time in my life I leave a comment because I could not continue to see so many negative things SAS react! Sometimes the satisfied must speak if not the opinions of certain influence in an erroneous way the choice of future customer who would be happy with them! I have nothing to gain and I am not a false comment lol! For the moment no increase in my deadline and no penalty linked to this case! I will keep you informed. To continue in my misfortune I received a pebble on my windshield and I broke ice but hey I wait because I do not want him to think that I only have problems doc business to follow!
I leave my email address if a person wants more details. Here it is a superb insurance! I have been there for two years and I even managed to win a lot on my home loan insurance at the Postal Bank by showing a MAIF insurance quote! BP could not align but I won 40 ahah percent !!</v>
      </c>
    </row>
    <row r="812" ht="15.75" customHeight="1">
      <c r="A812" s="2">
        <v>5.0</v>
      </c>
      <c r="B812" s="2" t="s">
        <v>2269</v>
      </c>
      <c r="C812" s="2" t="s">
        <v>2270</v>
      </c>
      <c r="D812" s="2" t="s">
        <v>26</v>
      </c>
      <c r="E812" s="2" t="s">
        <v>27</v>
      </c>
      <c r="F812" s="2" t="s">
        <v>15</v>
      </c>
      <c r="G812" s="2" t="s">
        <v>1182</v>
      </c>
      <c r="H812" s="2" t="s">
        <v>159</v>
      </c>
      <c r="I812" s="2" t="str">
        <f>IFERROR(__xludf.DUMMYFUNCTION("GOOGLETRANSLATE(C812,""fr"",""en"")"),"Customer service &amp; very pleasant sale!
There have been some inconsistencies at the price level during online quotes. However, during the call, this was to my advantage.
I recommend your insurance to all my loved ones!")</f>
        <v>Customer service &amp; very pleasant sale!
There have been some inconsistencies at the price level during online quotes. However, during the call, this was to my advantage.
I recommend your insurance to all my loved ones!</v>
      </c>
    </row>
    <row r="813" ht="15.75" customHeight="1">
      <c r="A813" s="2">
        <v>3.0</v>
      </c>
      <c r="B813" s="2" t="s">
        <v>2271</v>
      </c>
      <c r="C813" s="2" t="s">
        <v>2272</v>
      </c>
      <c r="D813" s="2" t="s">
        <v>44</v>
      </c>
      <c r="E813" s="2" t="s">
        <v>27</v>
      </c>
      <c r="F813" s="2" t="s">
        <v>15</v>
      </c>
      <c r="G813" s="2" t="s">
        <v>1533</v>
      </c>
      <c r="H813" s="2" t="s">
        <v>57</v>
      </c>
      <c r="I813" s="2" t="str">
        <f>IFERROR(__xludf.DUMMYFUNCTION("GOOGLETRANSLATE(C813,""fr"",""en"")"),"I am satisfied with the price. The Internet Service Use is very fast and very easy to understand.
The portal is also easy to understand and can be used by a person with or without experience.")</f>
        <v>I am satisfied with the price. The Internet Service Use is very fast and very easy to understand.
The portal is also easy to understand and can be used by a person with or without experience.</v>
      </c>
    </row>
    <row r="814" ht="15.75" customHeight="1">
      <c r="A814" s="2">
        <v>4.0</v>
      </c>
      <c r="B814" s="2" t="s">
        <v>2273</v>
      </c>
      <c r="C814" s="2" t="s">
        <v>2274</v>
      </c>
      <c r="D814" s="2" t="s">
        <v>26</v>
      </c>
      <c r="E814" s="2" t="s">
        <v>27</v>
      </c>
      <c r="F814" s="2" t="s">
        <v>15</v>
      </c>
      <c r="G814" s="2" t="s">
        <v>2275</v>
      </c>
      <c r="H814" s="2" t="s">
        <v>173</v>
      </c>
      <c r="I814" s="2" t="str">
        <f>IFERROR(__xludf.DUMMYFUNCTION("GOOGLETRANSLATE(C814,""fr"",""en"")"),"Easy registration. The deposit of documents is easy.
I received my green card although I only had the certificate of filing the gray card file (one month of waiting to obtain the certificate ...)")</f>
        <v>Easy registration. The deposit of documents is easy.
I received my green card although I only had the certificate of filing the gray card file (one month of waiting to obtain the certificate ...)</v>
      </c>
    </row>
    <row r="815" ht="15.75" customHeight="1">
      <c r="A815" s="2">
        <v>1.0</v>
      </c>
      <c r="B815" s="2" t="s">
        <v>2276</v>
      </c>
      <c r="C815" s="2" t="s">
        <v>2277</v>
      </c>
      <c r="D815" s="2" t="s">
        <v>455</v>
      </c>
      <c r="E815" s="2" t="s">
        <v>76</v>
      </c>
      <c r="F815" s="2" t="s">
        <v>15</v>
      </c>
      <c r="G815" s="2" t="s">
        <v>2278</v>
      </c>
      <c r="H815" s="2" t="s">
        <v>86</v>
      </c>
      <c r="I815" s="2" t="str">
        <f>IFERROR(__xludf.DUMMYFUNCTION("GOOGLETRANSLATE(C815,""fr"",""en"")"),"I signed a contract obsolete in September 2019. Since then to receive my file despite incessant promises: because of the virus, these very secure contracts cannot be done in teleworking ..., I do not know how many times I had to receive ""tomorrow morning"&amp;""" ... last week I am told that my contract was ""rejected"" cause error ... in my postal code. I rectified you will have the contract no later than 3 p.m. ... really not a serious company ... sorry!")</f>
        <v>I signed a contract obsolete in September 2019. Since then to receive my file despite incessant promises: because of the virus, these very secure contracts cannot be done in teleworking ..., I do not know how many times I had to receive "tomorrow morning" ... last week I am told that my contract was "rejected" cause error ... in my postal code. I rectified you will have the contract no later than 3 p.m. ... really not a serious company ... sorry!</v>
      </c>
    </row>
    <row r="816" ht="15.75" customHeight="1">
      <c r="A816" s="2">
        <v>1.0</v>
      </c>
      <c r="B816" s="2" t="s">
        <v>2279</v>
      </c>
      <c r="C816" s="2" t="s">
        <v>2280</v>
      </c>
      <c r="D816" s="2" t="s">
        <v>32</v>
      </c>
      <c r="E816" s="2" t="s">
        <v>33</v>
      </c>
      <c r="F816" s="2" t="s">
        <v>15</v>
      </c>
      <c r="G816" s="2" t="s">
        <v>2281</v>
      </c>
      <c r="H816" s="2" t="s">
        <v>452</v>
      </c>
      <c r="I816" s="2" t="str">
        <f>IFERROR(__xludf.DUMMYFUNCTION("GOOGLETRANSLATE(C816,""fr"",""en"")"),"Macif would better hire staff rather than sponsor a sailor and his boat! 3 months late payment for body compensation. Employees are crumbling under the files! I think the societaires would prefer to see their subscription assigned to hire staff and proces"&amp;"s their file rather than a sailboat! So future customers fled Macif if you want a reactive processing of your files!")</f>
        <v>Macif would better hire staff rather than sponsor a sailor and his boat! 3 months late payment for body compensation. Employees are crumbling under the files! I think the societaires would prefer to see their subscription assigned to hire staff and process their file rather than a sailboat! So future customers fled Macif if you want a reactive processing of your files!</v>
      </c>
    </row>
    <row r="817" ht="15.75" customHeight="1">
      <c r="A817" s="2">
        <v>2.0</v>
      </c>
      <c r="B817" s="2" t="s">
        <v>2282</v>
      </c>
      <c r="C817" s="2" t="s">
        <v>2283</v>
      </c>
      <c r="D817" s="2" t="s">
        <v>26</v>
      </c>
      <c r="E817" s="2" t="s">
        <v>27</v>
      </c>
      <c r="F817" s="2" t="s">
        <v>15</v>
      </c>
      <c r="G817" s="2" t="s">
        <v>770</v>
      </c>
      <c r="H817" s="2" t="s">
        <v>771</v>
      </c>
      <c r="I817" s="2" t="str">
        <f>IFERROR(__xludf.DUMMYFUNCTION("GOOGLETRANSLATE(C817,""fr"",""en"")"),"Everything is fine when Cava, a lie advertisement, I had vandalism on my car tonight, I filed a complaint at 08 hours and made them follow the complaint because they tell me that they can absolutely do nothing without, only Since not news, I remind you, h"&amp;"e tells me that they can still do nothing because they have a computer problem, in the meantime I am blocked since 6 a.m. ....... this is my first incident and I think he is the one who will have me terminated")</f>
        <v>Everything is fine when Cava, a lie advertisement, I had vandalism on my car tonight, I filed a complaint at 08 hours and made them follow the complaint because they tell me that they can absolutely do nothing without, only Since not news, I remind you, he tells me that they can still do nothing because they have a computer problem, in the meantime I am blocked since 6 a.m. ....... this is my first incident and I think he is the one who will have me terminated</v>
      </c>
    </row>
    <row r="818" ht="15.75" customHeight="1">
      <c r="A818" s="2">
        <v>5.0</v>
      </c>
      <c r="B818" s="2" t="s">
        <v>2284</v>
      </c>
      <c r="C818" s="2" t="s">
        <v>2285</v>
      </c>
      <c r="D818" s="2" t="s">
        <v>26</v>
      </c>
      <c r="E818" s="2" t="s">
        <v>27</v>
      </c>
      <c r="F818" s="2" t="s">
        <v>15</v>
      </c>
      <c r="G818" s="2" t="s">
        <v>1164</v>
      </c>
      <c r="H818" s="2" t="s">
        <v>41</v>
      </c>
      <c r="I818" s="2" t="str">
        <f>IFERROR(__xludf.DUMMYFUNCTION("GOOGLETRANSLATE(C818,""fr"",""en"")"),"The advisor I had on the phone to subscribe to the Olivier Insurance, was really very kind, very courteous and took the time to explain everything. I thank him
And price level, as a young driver, the Olivier Insurance was really the most interesting. Rea"&amp;"lly not disappointed.")</f>
        <v>The advisor I had on the phone to subscribe to the Olivier Insurance, was really very kind, very courteous and took the time to explain everything. I thank him
And price level, as a young driver, the Olivier Insurance was really the most interesting. Really not disappointed.</v>
      </c>
    </row>
    <row r="819" ht="15.75" customHeight="1">
      <c r="A819" s="2">
        <v>1.0</v>
      </c>
      <c r="B819" s="2" t="s">
        <v>2286</v>
      </c>
      <c r="C819" s="2" t="s">
        <v>2287</v>
      </c>
      <c r="D819" s="2" t="s">
        <v>1948</v>
      </c>
      <c r="E819" s="2" t="s">
        <v>39</v>
      </c>
      <c r="F819" s="2" t="s">
        <v>15</v>
      </c>
      <c r="G819" s="2" t="s">
        <v>632</v>
      </c>
      <c r="H819" s="2" t="s">
        <v>606</v>
      </c>
      <c r="I819" s="2" t="str">
        <f>IFERROR(__xludf.DUMMYFUNCTION("GOOGLETRANSLATE(C819,""fr"",""en"")"),"Hello, today when I had just insured you for the motorcycle that I just acquired (March 4) you offered me 2 solutions:
Lower the guarantees, to go from third parties + fire -to -fire fire flight.
Or
simply terminate for non -presentation of doc"&amp;"uments ....
Indeed I miss 2 documents, the engraving and the anti -theft sra, documents that I cannot currently recover since you will have noticed it, we are in confinement and the stores are closed !!!!!
So you offer to ensure the motorcycle w"&amp;"ith guarantees that I do not need for the moment since I cannot use my vehicle !!!!! We are in confinement !!!!!!
The only thing that is essential for me today is that the motorcycle is insured against the flight since the only thing that the craft is "&amp;"at: theft !!!!!
Knowing that the motorcycle is in a closed garage which itself is in a courtyard closed by a key barrier, for the moment you had only to take the monthly payments while waiting for the end of the confinement.
Today while we are talki"&amp;"ng about a national union once again, you, insurers, show selfishness and cowardice.
Yours and good luck for the future ...")</f>
        <v>Hello, today when I had just insured you for the motorcycle that I just acquired (March 4) you offered me 2 solutions:
Lower the guarantees, to go from third parties + fire -to -fire fire flight.
Or
simply terminate for non -presentation of documents ....
Indeed I miss 2 documents, the engraving and the anti -theft sra, documents that I cannot currently recover since you will have noticed it, we are in confinement and the stores are closed !!!!!
So you offer to ensure the motorcycle with guarantees that I do not need for the moment since I cannot use my vehicle !!!!! We are in confinement !!!!!!
The only thing that is essential for me today is that the motorcycle is insured against the flight since the only thing that the craft is at: theft !!!!!
Knowing that the motorcycle is in a closed garage which itself is in a courtyard closed by a key barrier, for the moment you had only to take the monthly payments while waiting for the end of the confinement.
Today while we are talking about a national union once again, you, insurers, show selfishness and cowardice.
Yours and good luck for the future ...</v>
      </c>
    </row>
    <row r="820" ht="15.75" customHeight="1">
      <c r="A820" s="2">
        <v>4.0</v>
      </c>
      <c r="B820" s="2" t="s">
        <v>2288</v>
      </c>
      <c r="C820" s="2" t="s">
        <v>2289</v>
      </c>
      <c r="D820" s="2" t="s">
        <v>44</v>
      </c>
      <c r="E820" s="2" t="s">
        <v>27</v>
      </c>
      <c r="F820" s="2" t="s">
        <v>15</v>
      </c>
      <c r="G820" s="2" t="s">
        <v>2290</v>
      </c>
      <c r="H820" s="2" t="s">
        <v>57</v>
      </c>
      <c r="I820" s="2" t="str">
        <f>IFERROR(__xludf.DUMMYFUNCTION("GOOGLETRANSLATE(C820,""fr"",""en"")"),"Hello,
Competitive prices for one of my vehicles.
Establishment of quote and implementation of the easy contract although the web interface is perfectible (download of the requested documents not very intuitive).
On the other hand, once the documents h"&amp;"ave been downloaded, validated except one always pending, I continue to receive notifications to ask me to download them ... Small bug?")</f>
        <v>Hello,
Competitive prices for one of my vehicles.
Establishment of quote and implementation of the easy contract although the web interface is perfectible (download of the requested documents not very intuitive).
On the other hand, once the documents have been downloaded, validated except one always pending, I continue to receive notifications to ask me to download them ... Small bug?</v>
      </c>
    </row>
    <row r="821" ht="15.75" customHeight="1">
      <c r="A821" s="2">
        <v>4.0</v>
      </c>
      <c r="B821" s="2" t="s">
        <v>2291</v>
      </c>
      <c r="C821" s="2" t="s">
        <v>2292</v>
      </c>
      <c r="D821" s="2" t="s">
        <v>44</v>
      </c>
      <c r="E821" s="2" t="s">
        <v>27</v>
      </c>
      <c r="F821" s="2" t="s">
        <v>15</v>
      </c>
      <c r="G821" s="2" t="s">
        <v>2293</v>
      </c>
      <c r="H821" s="2" t="s">
        <v>41</v>
      </c>
      <c r="I821" s="2" t="str">
        <f>IFERROR(__xludf.DUMMYFUNCTION("GOOGLETRANSLATE(C821,""fr"",""en"")"),"I am satisfied with the prices and the services offered and the reception.
Direct Insurance is recommended for the services offered and the reception offered.")</f>
        <v>I am satisfied with the prices and the services offered and the reception.
Direct Insurance is recommended for the services offered and the reception offered.</v>
      </c>
    </row>
    <row r="822" ht="15.75" customHeight="1">
      <c r="A822" s="2">
        <v>3.0</v>
      </c>
      <c r="B822" s="2" t="s">
        <v>2294</v>
      </c>
      <c r="C822" s="2" t="s">
        <v>2295</v>
      </c>
      <c r="D822" s="2" t="s">
        <v>44</v>
      </c>
      <c r="E822" s="2" t="s">
        <v>27</v>
      </c>
      <c r="F822" s="2" t="s">
        <v>15</v>
      </c>
      <c r="G822" s="2" t="s">
        <v>820</v>
      </c>
      <c r="H822" s="2" t="s">
        <v>29</v>
      </c>
      <c r="I822" s="2" t="str">
        <f>IFERROR(__xludf.DUMMYFUNCTION("GOOGLETRANSLATE(C822,""fr"",""en"")"),"I am satisfied with the service.
A question about my car insurance is I who have been paying for the insurance of this vehicle since the start of our contract, but I do not understand, when the contract changes, but it is I who always pay, why Invoice mo"&amp;"re than 88 euros when I have not changed insurer? Thank you for your answer, cordially, Mr Pyckhout Stéphane.")</f>
        <v>I am satisfied with the service.
A question about my car insurance is I who have been paying for the insurance of this vehicle since the start of our contract, but I do not understand, when the contract changes, but it is I who always pay, why Invoice more than 88 euros when I have not changed insurer? Thank you for your answer, cordially, Mr Pyckhout Stéphane.</v>
      </c>
    </row>
    <row r="823" ht="15.75" customHeight="1">
      <c r="A823" s="2">
        <v>1.0</v>
      </c>
      <c r="B823" s="2" t="s">
        <v>2296</v>
      </c>
      <c r="C823" s="2" t="s">
        <v>2297</v>
      </c>
      <c r="D823" s="2" t="s">
        <v>204</v>
      </c>
      <c r="E823" s="2" t="s">
        <v>27</v>
      </c>
      <c r="F823" s="2" t="s">
        <v>15</v>
      </c>
      <c r="G823" s="2" t="s">
        <v>2298</v>
      </c>
      <c r="H823" s="2" t="s">
        <v>554</v>
      </c>
      <c r="I823" s="2" t="str">
        <f>IFERROR(__xludf.DUMMYFUNCTION("GOOGLETRANSLATE(C823,""fr"",""en"")"),"To be furant imperatively .... super expensive .... no follow -up no satisfaction .... a rejection of direct debits at the end of the year followed by a passage from the coup to quarter without any letter without any telephone call .... a quarter Of almos"&amp;"t 1000th that I have to pay following a recall letter ???? !!! As of March 25 .... quarter that I pay in full by credit card on April 10 .... nothing told me at all ... we take my money with great ease !! Responsible accident on April 19 ... Refusal to ta"&amp;"ke care when I call the tow truck .... I teach me that I am terminated .. !! .. For annual contributions to more than 3200th because I drive a lot of the services rendered are rotten unlinking .... I have had to pay 4900th repairs since for damage because"&amp;" the other vehicle wore a coupling ball and my car was sold. .. Financial galley not possible ... and since April tons of emails and calls and always no answer to this day .. .. never the same interlocutors .... it is a shame a scandal ... without speakin"&amp;"g of Another sinister or I was not responsible and the other vehicle made a leakage deli I noted the plate to complaint and everything but nothing to do either .... we are milk cows .... It is I who takes the penalty and who pays the franchise ... So that"&amp;" the lady returns to me in a red light in the rain .... and I pass in and I pass .... as soon as I can I I go out of it !!!")</f>
        <v>To be furant imperatively .... super expensive .... no follow -up no satisfaction .... a rejection of direct debits at the end of the year followed by a passage from the coup to quarter without any letter without any telephone call .... a quarter Of almost 1000th that I have to pay following a recall letter ???? !!! As of March 25 .... quarter that I pay in full by credit card on April 10 .... nothing told me at all ... we take my money with great ease !! Responsible accident on April 19 ... Refusal to take care when I call the tow truck .... I teach me that I am terminated .. !! .. For annual contributions to more than 3200th because I drive a lot of the services rendered are rotten unlinking .... I have had to pay 4900th repairs since for damage because the other vehicle wore a coupling ball and my car was sold. .. Financial galley not possible ... and since April tons of emails and calls and always no answer to this day .. .. never the same interlocutors .... it is a shame a scandal ... without speaking of Another sinister or I was not responsible and the other vehicle made a leakage deli I noted the plate to complaint and everything but nothing to do either .... we are milk cows .... It is I who takes the penalty and who pays the franchise ... So that the lady returns to me in a red light in the rain .... and I pass in and I pass .... as soon as I can I I go out of it !!!</v>
      </c>
    </row>
    <row r="824" ht="15.75" customHeight="1">
      <c r="A824" s="2">
        <v>1.0</v>
      </c>
      <c r="B824" s="2" t="s">
        <v>2299</v>
      </c>
      <c r="C824" s="2" t="s">
        <v>2300</v>
      </c>
      <c r="D824" s="2" t="s">
        <v>32</v>
      </c>
      <c r="E824" s="2" t="s">
        <v>76</v>
      </c>
      <c r="F824" s="2" t="s">
        <v>15</v>
      </c>
      <c r="G824" s="2" t="s">
        <v>2301</v>
      </c>
      <c r="H824" s="2" t="s">
        <v>583</v>
      </c>
      <c r="I824" s="2" t="str">
        <f>IFERROR(__xludf.DUMMYFUNCTION("GOOGLETRANSLATE(C824,""fr"",""en"")"),"Hello,
July 2018, my wife will ask a psychopathic neighbor accounts who had just insulted us for the umpteenth time for years. This sinister individual, with his courage firmly grabbed him through the throat and of course, I got to the rescue of my wife "&amp;"to realize that this individual had a huge hunting knife he used against me. Result: 2 weeks of hospitalization with committed vital prognosis and ..... 165 days of ITT.
We therefore asked the Macif through a specific guaranteed contract for privacy acci"&amp;"dents which stipulates in particular that self -defense was (fortunately !!) permitted.
The Macif did everything to not pay anything by putting forward that I had participated in a brawl !!! ?? .. If I had known, I should have let this psychopath assassi"&amp;"nate my wife !!
The Macif is extremely bad and it practices a barely veiled policy of obstruction of the compensation files. After 30 years of blind loyalty, I terminate all my contracts as well as my very united family.
Besides, if we analyze all the n"&amp;"egative comments of the forum and there are plethora, it follows that the Macif does not honor its contractual responsibilities and thwart by all stratagems its obligation of repair.
To avoid absolutely unless you consider that it is efficient because yo"&amp;"u are content to settle contributions without ever soliciting them. It is only from this last point that you may quickly be disillusioned.
Cordially.")</f>
        <v>Hello,
July 2018, my wife will ask a psychopathic neighbor accounts who had just insulted us for the umpteenth time for years. This sinister individual, with his courage firmly grabbed him through the throat and of course, I got to the rescue of my wife to realize that this individual had a huge hunting knife he used against me. Result: 2 weeks of hospitalization with committed vital prognosis and ..... 165 days of ITT.
We therefore asked the Macif through a specific guaranteed contract for privacy accidents which stipulates in particular that self -defense was (fortunately !!) permitted.
The Macif did everything to not pay anything by putting forward that I had participated in a brawl !!! ?? .. If I had known, I should have let this psychopath assassinate my wife !!
The Macif is extremely bad and it practices a barely veiled policy of obstruction of the compensation files. After 30 years of blind loyalty, I terminate all my contracts as well as my very united family.
Besides, if we analyze all the negative comments of the forum and there are plethora, it follows that the Macif does not honor its contractual responsibilities and thwart by all stratagems its obligation of repair.
To avoid absolutely unless you consider that it is efficient because you are content to settle contributions without ever soliciting them. It is only from this last point that you may quickly be disillusioned.
Cordially.</v>
      </c>
    </row>
    <row r="825" ht="15.75" customHeight="1">
      <c r="A825" s="2">
        <v>1.0</v>
      </c>
      <c r="B825" s="2" t="s">
        <v>2302</v>
      </c>
      <c r="C825" s="2" t="s">
        <v>2303</v>
      </c>
      <c r="D825" s="2" t="s">
        <v>1356</v>
      </c>
      <c r="E825" s="2" t="s">
        <v>460</v>
      </c>
      <c r="F825" s="2" t="s">
        <v>15</v>
      </c>
      <c r="G825" s="2" t="s">
        <v>2304</v>
      </c>
      <c r="H825" s="2" t="s">
        <v>111</v>
      </c>
      <c r="I825" s="2" t="str">
        <f>IFERROR(__xludf.DUMMYFUNCTION("GOOGLETRANSLATE(C825,""fr"",""en"")"),"Customer service quality: catastrophic
Following the death of my father in mid-March, I tried to contact AFER. It took more than a month of repeated calls for someone to pick up and indicate the procedure to follow. All the parts were sent in early May, "&amp;"and no acknowledgment of receipt was received.
Since then, I have been trying to contact AFER several times a week. After three weeks and fifteen calls, the person in reception told me that the succession file was still not open. After two additional wee"&amp;"ks, another person from the reception told me that the state of the file could not have communicated to me. The only emails that I received after a month and a half were to tell me that AFER had, supposedly, until the end of August to consider the request"&amp;" for settlement of the succession and that my dissatisfaction was mentioned in "" quality department. All the other life insurance companies have made the regulations in 2 to 3 weeks, less time that is not for AFER to indicate that the file has not even b"&amp;"een opened!
The irony is striking, and it is clear that this company is unable to face its commitments.
The quality of its customer relationships is below everything. Avoid as much as possible!")</f>
        <v>Customer service quality: catastrophic
Following the death of my father in mid-March, I tried to contact AFER. It took more than a month of repeated calls for someone to pick up and indicate the procedure to follow. All the parts were sent in early May, and no acknowledgment of receipt was received.
Since then, I have been trying to contact AFER several times a week. After three weeks and fifteen calls, the person in reception told me that the succession file was still not open. After two additional weeks, another person from the reception told me that the state of the file could not have communicated to me. The only emails that I received after a month and a half were to tell me that AFER had, supposedly, until the end of August to consider the request for settlement of the succession and that my dissatisfaction was mentioned in " quality department. All the other life insurance companies have made the regulations in 2 to 3 weeks, less time that is not for AFER to indicate that the file has not even been opened!
The irony is striking, and it is clear that this company is unable to face its commitments.
The quality of its customer relationships is below everything. Avoid as much as possible!</v>
      </c>
    </row>
    <row r="826" ht="15.75" customHeight="1">
      <c r="A826" s="2">
        <v>1.0</v>
      </c>
      <c r="B826" s="2" t="s">
        <v>2305</v>
      </c>
      <c r="C826" s="2" t="s">
        <v>2306</v>
      </c>
      <c r="D826" s="2" t="s">
        <v>459</v>
      </c>
      <c r="E826" s="2" t="s">
        <v>21</v>
      </c>
      <c r="F826" s="2" t="s">
        <v>15</v>
      </c>
      <c r="G826" s="2" t="s">
        <v>1050</v>
      </c>
      <c r="H826" s="2" t="s">
        <v>372</v>
      </c>
      <c r="I826" s="2" t="str">
        <f>IFERROR(__xludf.DUMMYFUNCTION("GOOGLETRANSLATE(C826,""fr"",""en"")"),"Never choose this insurer !!! Pending for more than 3 months of compensation following a work stoppage. Customer service does everything to drag the file so as not to pay while all the supporting documents have been sent. Just scandalous.")</f>
        <v>Never choose this insurer !!! Pending for more than 3 months of compensation following a work stoppage. Customer service does everything to drag the file so as not to pay while all the supporting documents have been sent. Just scandalous.</v>
      </c>
    </row>
    <row r="827" ht="15.75" customHeight="1">
      <c r="A827" s="2">
        <v>3.0</v>
      </c>
      <c r="B827" s="2" t="s">
        <v>2307</v>
      </c>
      <c r="C827" s="2" t="s">
        <v>2308</v>
      </c>
      <c r="D827" s="2" t="s">
        <v>26</v>
      </c>
      <c r="E827" s="2" t="s">
        <v>27</v>
      </c>
      <c r="F827" s="2" t="s">
        <v>15</v>
      </c>
      <c r="G827" s="2" t="s">
        <v>2215</v>
      </c>
      <c r="H827" s="2" t="s">
        <v>372</v>
      </c>
      <c r="I827" s="2" t="str">
        <f>IFERROR(__xludf.DUMMYFUNCTION("GOOGLETRANSLATE(C827,""fr"",""en"")"),"Insurance with positive communication and near its customers. Protector to added and à la carte services.")</f>
        <v>Insurance with positive communication and near its customers. Protector to added and à la carte services.</v>
      </c>
    </row>
    <row r="828" ht="15.75" customHeight="1">
      <c r="A828" s="2">
        <v>4.0</v>
      </c>
      <c r="B828" s="2" t="s">
        <v>2309</v>
      </c>
      <c r="C828" s="2" t="s">
        <v>2310</v>
      </c>
      <c r="D828" s="2" t="s">
        <v>26</v>
      </c>
      <c r="E828" s="2" t="s">
        <v>27</v>
      </c>
      <c r="F828" s="2" t="s">
        <v>15</v>
      </c>
      <c r="G828" s="2" t="s">
        <v>385</v>
      </c>
      <c r="H828" s="2" t="s">
        <v>29</v>
      </c>
      <c r="I828" s="2" t="str">
        <f>IFERROR(__xludf.DUMMYFUNCTION("GOOGLETRANSLATE(C828,""fr"",""en"")"),"I am satisfied
The price remains a little high for an old car but it remains suitable.
The telephone reception was good and the explanations very specific")</f>
        <v>I am satisfied
The price remains a little high for an old car but it remains suitable.
The telephone reception was good and the explanations very specific</v>
      </c>
    </row>
    <row r="829" ht="15.75" customHeight="1">
      <c r="A829" s="2">
        <v>3.0</v>
      </c>
      <c r="B829" s="2" t="s">
        <v>2311</v>
      </c>
      <c r="C829" s="2" t="s">
        <v>2312</v>
      </c>
      <c r="D829" s="2" t="s">
        <v>26</v>
      </c>
      <c r="E829" s="2" t="s">
        <v>27</v>
      </c>
      <c r="F829" s="2" t="s">
        <v>15</v>
      </c>
      <c r="G829" s="2" t="s">
        <v>2313</v>
      </c>
      <c r="H829" s="2" t="s">
        <v>320</v>
      </c>
      <c r="I829" s="2" t="str">
        <f>IFERROR(__xludf.DUMMYFUNCTION("GOOGLETRANSLATE(C829,""fr"",""en"")"),"No relational help 0 Loss of original parts that I and give them to reimburse myself lamentable")</f>
        <v>No relational help 0 Loss of original parts that I and give them to reimburse myself lamentable</v>
      </c>
    </row>
    <row r="830" ht="15.75" customHeight="1">
      <c r="A830" s="2">
        <v>5.0</v>
      </c>
      <c r="B830" s="2" t="s">
        <v>2314</v>
      </c>
      <c r="C830" s="2" t="s">
        <v>2315</v>
      </c>
      <c r="D830" s="2" t="s">
        <v>38</v>
      </c>
      <c r="E830" s="2" t="s">
        <v>39</v>
      </c>
      <c r="F830" s="2" t="s">
        <v>15</v>
      </c>
      <c r="G830" s="2" t="s">
        <v>114</v>
      </c>
      <c r="H830" s="2" t="s">
        <v>29</v>
      </c>
      <c r="I830" s="2" t="str">
        <f>IFERROR(__xludf.DUMMYFUNCTION("GOOGLETRANSLATE(C830,""fr"",""en"")"),"Great I am very happy thank you very much efficient fast I did not hesitate to make sure to this insurance company I do not think to be disappointed thank you!")</f>
        <v>Great I am very happy thank you very much efficient fast I did not hesitate to make sure to this insurance company I do not think to be disappointed thank you!</v>
      </c>
    </row>
    <row r="831" ht="15.75" customHeight="1">
      <c r="A831" s="2">
        <v>1.0</v>
      </c>
      <c r="B831" s="2" t="s">
        <v>2316</v>
      </c>
      <c r="C831" s="2" t="s">
        <v>2317</v>
      </c>
      <c r="D831" s="2" t="s">
        <v>237</v>
      </c>
      <c r="E831" s="2" t="s">
        <v>14</v>
      </c>
      <c r="F831" s="2" t="s">
        <v>15</v>
      </c>
      <c r="G831" s="2" t="s">
        <v>2318</v>
      </c>
      <c r="H831" s="2" t="s">
        <v>131</v>
      </c>
      <c r="I831" s="2" t="str">
        <f>IFERROR(__xludf.DUMMYFUNCTION("GOOGLETRANSLATE(C831,""fr"",""en"")"),"To avoid absolutely, take too much and do not reimburse. And play on the conditions to justify themselves while very poorly explained.
An American company in all its splendor: money money money !!!!!!!!!!!!")</f>
        <v>To avoid absolutely, take too much and do not reimburse. And play on the conditions to justify themselves while very poorly explained.
An American company in all its splendor: money money money !!!!!!!!!!!!</v>
      </c>
    </row>
    <row r="832" ht="15.75" customHeight="1">
      <c r="A832" s="2">
        <v>5.0</v>
      </c>
      <c r="B832" s="2" t="s">
        <v>2319</v>
      </c>
      <c r="C832" s="2" t="s">
        <v>2320</v>
      </c>
      <c r="D832" s="2" t="s">
        <v>44</v>
      </c>
      <c r="E832" s="2" t="s">
        <v>27</v>
      </c>
      <c r="F832" s="2" t="s">
        <v>15</v>
      </c>
      <c r="G832" s="2" t="s">
        <v>223</v>
      </c>
      <c r="H832" s="2" t="s">
        <v>57</v>
      </c>
      <c r="I832" s="2" t="str">
        <f>IFERROR(__xludf.DUMMYFUNCTION("GOOGLETRANSLATE(C832,""fr"",""en"")"),"Super service
Insurance condition that naked wanted
Affordable price
And for what is the waiting time at the Telephne it is very
I recommend")</f>
        <v>Super service
Insurance condition that naked wanted
Affordable price
And for what is the waiting time at the Telephne it is very
I recommend</v>
      </c>
    </row>
    <row r="833" ht="15.75" customHeight="1">
      <c r="A833" s="2">
        <v>1.0</v>
      </c>
      <c r="B833" s="2" t="s">
        <v>2321</v>
      </c>
      <c r="C833" s="2" t="s">
        <v>2322</v>
      </c>
      <c r="D833" s="2" t="s">
        <v>70</v>
      </c>
      <c r="E833" s="2" t="s">
        <v>14</v>
      </c>
      <c r="F833" s="2" t="s">
        <v>15</v>
      </c>
      <c r="G833" s="2" t="s">
        <v>2323</v>
      </c>
      <c r="H833" s="2" t="s">
        <v>278</v>
      </c>
      <c r="I833" s="2" t="str">
        <f>IFERROR(__xludf.DUMMYFUNCTION("GOOGLETRANSLATE(C833,""fr"",""en"")"),"A mutual that should not exist !!!
It pushes to make ""family packages"" but impossible to register my spouse and my children Harmonie Mutuelle res us money on this famous family package which is already at € 165 per month.
A shame !!! We are trigger fr"&amp;"om service to do nothing afterwards, and send us a paper claiming us € 165 in addition
Scandalous !!!!")</f>
        <v>A mutual that should not exist !!!
It pushes to make "family packages" but impossible to register my spouse and my children Harmonie Mutuelle res us money on this famous family package which is already at € 165 per month.
A shame !!! We are trigger from service to do nothing afterwards, and send us a paper claiming us € 165 in addition
Scandalous !!!!</v>
      </c>
    </row>
    <row r="834" ht="15.75" customHeight="1">
      <c r="A834" s="2">
        <v>2.0</v>
      </c>
      <c r="B834" s="2" t="s">
        <v>2324</v>
      </c>
      <c r="C834" s="2" t="s">
        <v>2325</v>
      </c>
      <c r="D834" s="2" t="s">
        <v>204</v>
      </c>
      <c r="E834" s="2" t="s">
        <v>27</v>
      </c>
      <c r="F834" s="2" t="s">
        <v>15</v>
      </c>
      <c r="G834" s="2" t="s">
        <v>1998</v>
      </c>
      <c r="H834" s="2" t="s">
        <v>177</v>
      </c>
      <c r="I834" s="2" t="str">
        <f>IFERROR(__xludf.DUMMYFUNCTION("GOOGLETRANSLATE(C834,""fr"",""en"")"),"My contract for my passat having not been renewed by tacit renewal + unreachable telephone assistance + does not respond to emails, I had to send a recommended to obtain my insurance certificate (which I have not been since the end of July 2020 And that I"&amp;" always wait), therefore particularly low level of satisfaction, I will go as soon as possible change insurer. Otherwise the price level is low, certainly, but without a minimum associated service, little interest in staying in fact!")</f>
        <v>My contract for my passat having not been renewed by tacit renewal + unreachable telephone assistance + does not respond to emails, I had to send a recommended to obtain my insurance certificate (which I have not been since the end of July 2020 And that I always wait), therefore particularly low level of satisfaction, I will go as soon as possible change insurer. Otherwise the price level is low, certainly, but without a minimum associated service, little interest in staying in fact!</v>
      </c>
    </row>
    <row r="835" ht="15.75" customHeight="1">
      <c r="A835" s="2">
        <v>1.0</v>
      </c>
      <c r="B835" s="2" t="s">
        <v>2326</v>
      </c>
      <c r="C835" s="2" t="s">
        <v>2327</v>
      </c>
      <c r="D835" s="2" t="s">
        <v>84</v>
      </c>
      <c r="E835" s="2" t="s">
        <v>27</v>
      </c>
      <c r="F835" s="2" t="s">
        <v>15</v>
      </c>
      <c r="G835" s="2" t="s">
        <v>2328</v>
      </c>
      <c r="H835" s="2" t="s">
        <v>403</v>
      </c>
      <c r="I835" s="2" t="str">
        <f>IFERROR(__xludf.DUMMYFUNCTION("GOOGLETRANSLATE(C835,""fr"",""en"")"),"Encourages bad drivers under the pretext of an insurance agreement. You are a good driver as long as you do not cross the midline (even if you do anywhere).")</f>
        <v>Encourages bad drivers under the pretext of an insurance agreement. You are a good driver as long as you do not cross the midline (even if you do anywhere).</v>
      </c>
    </row>
    <row r="836" ht="15.75" customHeight="1">
      <c r="A836" s="2">
        <v>3.0</v>
      </c>
      <c r="B836" s="2" t="s">
        <v>2329</v>
      </c>
      <c r="C836" s="2" t="s">
        <v>2330</v>
      </c>
      <c r="D836" s="2" t="s">
        <v>26</v>
      </c>
      <c r="E836" s="2" t="s">
        <v>27</v>
      </c>
      <c r="F836" s="2" t="s">
        <v>15</v>
      </c>
      <c r="G836" s="2" t="s">
        <v>274</v>
      </c>
      <c r="H836" s="2" t="s">
        <v>41</v>
      </c>
      <c r="I836" s="2" t="str">
        <f>IFERROR(__xludf.DUMMYFUNCTION("GOOGLETRANSLATE(C836,""fr"",""en"")"),"The price of the subscription is correct for the rest I have no opinion and I find that it is not necessary to have to give one to validate this page ...")</f>
        <v>The price of the subscription is correct for the rest I have no opinion and I find that it is not necessary to have to give one to validate this page ...</v>
      </c>
    </row>
    <row r="837" ht="15.75" customHeight="1">
      <c r="A837" s="2">
        <v>4.0</v>
      </c>
      <c r="B837" s="2" t="s">
        <v>2331</v>
      </c>
      <c r="C837" s="2" t="s">
        <v>2332</v>
      </c>
      <c r="D837" s="2" t="s">
        <v>44</v>
      </c>
      <c r="E837" s="2" t="s">
        <v>27</v>
      </c>
      <c r="F837" s="2" t="s">
        <v>15</v>
      </c>
      <c r="G837" s="2" t="s">
        <v>2139</v>
      </c>
      <c r="H837" s="2" t="s">
        <v>23</v>
      </c>
      <c r="I837" s="2" t="str">
        <f>IFERROR(__xludf.DUMMYFUNCTION("GOOGLETRANSLATE(C837,""fr"",""en"")"),"It was very fast but to see later when I receive the sticker, unlike other insurances they respond quickly and quickly take care of")</f>
        <v>It was very fast but to see later when I receive the sticker, unlike other insurances they respond quickly and quickly take care of</v>
      </c>
    </row>
    <row r="838" ht="15.75" customHeight="1">
      <c r="A838" s="2">
        <v>5.0</v>
      </c>
      <c r="B838" s="2" t="s">
        <v>2333</v>
      </c>
      <c r="C838" s="2" t="s">
        <v>2334</v>
      </c>
      <c r="D838" s="2" t="s">
        <v>38</v>
      </c>
      <c r="E838" s="2" t="s">
        <v>39</v>
      </c>
      <c r="F838" s="2" t="s">
        <v>15</v>
      </c>
      <c r="G838" s="2" t="s">
        <v>155</v>
      </c>
      <c r="H838" s="2" t="s">
        <v>29</v>
      </c>
      <c r="I838" s="2" t="str">
        <f>IFERROR(__xludf.DUMMYFUNCTION("GOOGLETRANSLATE(C838,""fr"",""en"")"),"Satisfied to your quick service happy with your scooter insurance, thank you bocoup its my air for being very good scooter insurance see you soon Mr coming.")</f>
        <v>Satisfied to your quick service happy with your scooter insurance, thank you bocoup its my air for being very good scooter insurance see you soon Mr coming.</v>
      </c>
    </row>
    <row r="839" ht="15.75" customHeight="1">
      <c r="A839" s="2">
        <v>4.0</v>
      </c>
      <c r="B839" s="2" t="s">
        <v>2335</v>
      </c>
      <c r="C839" s="2" t="s">
        <v>2336</v>
      </c>
      <c r="D839" s="2" t="s">
        <v>26</v>
      </c>
      <c r="E839" s="2" t="s">
        <v>27</v>
      </c>
      <c r="F839" s="2" t="s">
        <v>15</v>
      </c>
      <c r="G839" s="2" t="s">
        <v>997</v>
      </c>
      <c r="H839" s="2" t="s">
        <v>23</v>
      </c>
      <c r="I839" s="2" t="str">
        <f>IFERROR(__xludf.DUMMYFUNCTION("GOOGLETRANSLATE(C839,""fr"",""en"")"),"The gentleman I had on the phone was really super very professional and patient I highly recommend. States clear and clear. thank you so much .....")</f>
        <v>The gentleman I had on the phone was really super very professional and patient I highly recommend. States clear and clear. thank you so much .....</v>
      </c>
    </row>
    <row r="840" ht="15.75" customHeight="1">
      <c r="A840" s="2">
        <v>1.0</v>
      </c>
      <c r="B840" s="2" t="s">
        <v>2337</v>
      </c>
      <c r="C840" s="2" t="s">
        <v>2338</v>
      </c>
      <c r="D840" s="2" t="s">
        <v>84</v>
      </c>
      <c r="E840" s="2" t="s">
        <v>76</v>
      </c>
      <c r="F840" s="2" t="s">
        <v>15</v>
      </c>
      <c r="G840" s="2" t="s">
        <v>1660</v>
      </c>
      <c r="H840" s="2" t="s">
        <v>46</v>
      </c>
      <c r="I840" s="2" t="str">
        <f>IFERROR(__xludf.DUMMYFUNCTION("GOOGLETRANSLATE(C840,""fr"",""en"")"),"I have been on a work stoppage for 3 months. I pay very expensive insurance in order to be covered if something happened to me. I am on my own.
Not only did I have to wait 2 months before being compensated because they take you 1 month automatic when I h"&amp;"ad taken a 15 -day deductible.
And while I had to be paid on the 25th of this month, nothing. I called to make sure of the payment date twice, September 1 and September 24. I was told that I will be paid on September 27 because on the 25th fell on a Satu"&amp;"rday.
And now I am told that my file is pending and there is a computer problem! I already have 200 euros in bank charges following their incompetence. You have sheep that answer you that they can do nothing!
Incompetents who do not take any responsibil"&amp;"ity and who leave you in a situation for which they are the only responsible at a time when we are on DIA work stops in a moment of fragility!")</f>
        <v>I have been on a work stoppage for 3 months. I pay very expensive insurance in order to be covered if something happened to me. I am on my own.
Not only did I have to wait 2 months before being compensated because they take you 1 month automatic when I had taken a 15 -day deductible.
And while I had to be paid on the 25th of this month, nothing. I called to make sure of the payment date twice, September 1 and September 24. I was told that I will be paid on September 27 because on the 25th fell on a Saturday.
And now I am told that my file is pending and there is a computer problem! I already have 200 euros in bank charges following their incompetence. You have sheep that answer you that they can do nothing!
Incompetents who do not take any responsibility and who leave you in a situation for which they are the only responsible at a time when we are on DIA work stops in a moment of fragility!</v>
      </c>
    </row>
    <row r="841" ht="15.75" customHeight="1">
      <c r="A841" s="2">
        <v>5.0</v>
      </c>
      <c r="B841" s="2" t="s">
        <v>2339</v>
      </c>
      <c r="C841" s="2" t="s">
        <v>2340</v>
      </c>
      <c r="D841" s="2" t="s">
        <v>26</v>
      </c>
      <c r="E841" s="2" t="s">
        <v>27</v>
      </c>
      <c r="F841" s="2" t="s">
        <v>15</v>
      </c>
      <c r="G841" s="2" t="s">
        <v>1214</v>
      </c>
      <c r="H841" s="2" t="s">
        <v>41</v>
      </c>
      <c r="I841" s="2" t="str">
        <f>IFERROR(__xludf.DUMMYFUNCTION("GOOGLETRANSLATE(C841,""fr"",""en"")"),"Following my insurance request for my OPEL MERIVA vehicle I am completely satisfied with your service which meets my requirements I am very satisfied")</f>
        <v>Following my insurance request for my OPEL MERIVA vehicle I am completely satisfied with your service which meets my requirements I am very satisfied</v>
      </c>
    </row>
    <row r="842" ht="15.75" customHeight="1">
      <c r="A842" s="2">
        <v>2.0</v>
      </c>
      <c r="B842" s="2" t="s">
        <v>2341</v>
      </c>
      <c r="C842" s="2" t="s">
        <v>2342</v>
      </c>
      <c r="D842" s="2" t="s">
        <v>1472</v>
      </c>
      <c r="E842" s="2" t="s">
        <v>561</v>
      </c>
      <c r="F842" s="2" t="s">
        <v>15</v>
      </c>
      <c r="G842" s="2" t="s">
        <v>936</v>
      </c>
      <c r="H842" s="2" t="s">
        <v>606</v>
      </c>
      <c r="I842" s="2" t="str">
        <f>IFERROR(__xludf.DUMMYFUNCTION("GOOGLETRANSLATE(C842,""fr"",""en"")"),"They do not reimburse anything, seek previous links so as not to reimburse you.
Even veterinarians advise against.
I did not think enough before subscribing.
TO FLEE")</f>
        <v>They do not reimburse anything, seek previous links so as not to reimburse you.
Even veterinarians advise against.
I did not think enough before subscribing.
TO FLEE</v>
      </c>
    </row>
    <row r="843" ht="15.75" customHeight="1">
      <c r="A843" s="2">
        <v>1.0</v>
      </c>
      <c r="B843" s="2" t="s">
        <v>2343</v>
      </c>
      <c r="C843" s="2" t="s">
        <v>2344</v>
      </c>
      <c r="D843" s="2" t="s">
        <v>517</v>
      </c>
      <c r="E843" s="2" t="s">
        <v>76</v>
      </c>
      <c r="F843" s="2" t="s">
        <v>15</v>
      </c>
      <c r="G843" s="2" t="s">
        <v>2345</v>
      </c>
      <c r="H843" s="2" t="s">
        <v>583</v>
      </c>
      <c r="I843" s="2" t="str">
        <f>IFERROR(__xludf.DUMMYFUNCTION("GOOGLETRANSLATE(C843,""fr"",""en"")"),"Satisfied with my interior mutual as long as there was nothing special to ask. Reimbursements arriving in time, pleasant customer service contacts. But here ... on sick leave following a pregnancy, I fall half a treatment over a period of 2 months ... mor"&amp;"e than complete file sent in advance because I planned. Except that a response that is slow to finally arrive negative due to an internship period! Except that on the membership form, under the 3rd small Asterix, written in less than 12 for it to be illeg"&amp;"ible, it is well stipulated that the internship period does not apply if the same warranty has been terminated simultaneously 'Adhesion to Intermeau. Which is my case because otherwise I would not have changed to see if the grass was greener elsewhere ..."&amp;" So I point out to them by sending my MGP radiation bulletin, via the website and mail ... No news ... every 2 days call for customer service, which is always pleasant but unable to provide an answer, moreover the information is not the same following on "&amp;"whom we fall on the phone .... but he It would seem that the management service agrees with me, the internship period does not apply to me ... Except that here is to admit that, it amounts to paying me my DC allowances I am asked to erase this internship "&amp;"period Document that I could never have, concerning information on the MGP that interior knows in any case! I asked to be recalling, I don't know what to do to have the case, it hangs out in length, nobody reminds me. But in the meantime I gave birth to m"&amp;"y daughter, I am in the red financially, I have to choose between paying my taxes or the diapers for my daughter ... it's been 2 months since my file was more than full But the silence is total on the part of the well -hidden management service in its mon"&amp;"ey tower !! And I dare to tell me that I have the right to a birth premium if I jaffilie my daughter on my mutual, but what will I invent me so as not to give it to me!")</f>
        <v>Satisfied with my interior mutual as long as there was nothing special to ask. Reimbursements arriving in time, pleasant customer service contacts. But here ... on sick leave following a pregnancy, I fall half a treatment over a period of 2 months ... more than complete file sent in advance because I planned. Except that a response that is slow to finally arrive negative due to an internship period! Except that on the membership form, under the 3rd small Asterix, written in less than 12 for it to be illegible, it is well stipulated that the internship period does not apply if the same warranty has been terminated simultaneously 'Adhesion to Intermeau. Which is my case because otherwise I would not have changed to see if the grass was greener elsewhere ... So I point out to them by sending my MGP radiation bulletin, via the website and mail ... No news ... every 2 days call for customer service, which is always pleasant but unable to provide an answer, moreover the information is not the same following on whom we fall on the phone .... but he It would seem that the management service agrees with me, the internship period does not apply to me ... Except that here is to admit that, it amounts to paying me my DC allowances I am asked to erase this internship period Document that I could never have, concerning information on the MGP that interior knows in any case! I asked to be recalling, I don't know what to do to have the case, it hangs out in length, nobody reminds me. But in the meantime I gave birth to my daughter, I am in the red financially, I have to choose between paying my taxes or the diapers for my daughter ... it's been 2 months since my file was more than full But the silence is total on the part of the well -hidden management service in its money tower !! And I dare to tell me that I have the right to a birth premium if I jaffilie my daughter on my mutual, but what will I invent me so as not to give it to me!</v>
      </c>
    </row>
    <row r="844" ht="15.75" customHeight="1">
      <c r="A844" s="2">
        <v>3.0</v>
      </c>
      <c r="B844" s="2" t="s">
        <v>2346</v>
      </c>
      <c r="C844" s="2" t="s">
        <v>2347</v>
      </c>
      <c r="D844" s="2" t="s">
        <v>44</v>
      </c>
      <c r="E844" s="2" t="s">
        <v>27</v>
      </c>
      <c r="F844" s="2" t="s">
        <v>15</v>
      </c>
      <c r="G844" s="2" t="s">
        <v>981</v>
      </c>
      <c r="H844" s="2" t="s">
        <v>35</v>
      </c>
      <c r="I844" s="2" t="str">
        <f>IFERROR(__xludf.DUMMYFUNCTION("GOOGLETRANSLATE(C844,""fr"",""en"")"),"I am satisfied with speed and ease, on the website, to create a contract. Just I didn't understand at the time of payment. I validated the fact of taking a direct debit every 4 of the month, however at the next step you validated the fact that to start th"&amp;"e contract I will be deducted all of the year.")</f>
        <v>I am satisfied with speed and ease, on the website, to create a contract. Just I didn't understand at the time of payment. I validated the fact of taking a direct debit every 4 of the month, however at the next step you validated the fact that to start the contract I will be deducted all of the year.</v>
      </c>
    </row>
    <row r="845" ht="15.75" customHeight="1">
      <c r="A845" s="2">
        <v>2.0</v>
      </c>
      <c r="B845" s="2" t="s">
        <v>2348</v>
      </c>
      <c r="C845" s="2" t="s">
        <v>2349</v>
      </c>
      <c r="D845" s="2" t="s">
        <v>65</v>
      </c>
      <c r="E845" s="2" t="s">
        <v>39</v>
      </c>
      <c r="F845" s="2" t="s">
        <v>15</v>
      </c>
      <c r="G845" s="2" t="s">
        <v>972</v>
      </c>
      <c r="H845" s="2" t="s">
        <v>339</v>
      </c>
      <c r="I845" s="2" t="str">
        <f>IFERROR(__xludf.DUMMYFUNCTION("GOOGLETRANSLATE(C845,""fr"",""en"")"),"This insurer does not inspire confidence, this insurer invoks brokerage fees at all costs without being informed")</f>
        <v>This insurer does not inspire confidence, this insurer invoks brokerage fees at all costs without being informed</v>
      </c>
    </row>
    <row r="846" ht="15.75" customHeight="1">
      <c r="A846" s="2">
        <v>2.0</v>
      </c>
      <c r="B846" s="2" t="s">
        <v>2350</v>
      </c>
      <c r="C846" s="2" t="s">
        <v>2351</v>
      </c>
      <c r="D846" s="2" t="s">
        <v>44</v>
      </c>
      <c r="E846" s="2" t="s">
        <v>27</v>
      </c>
      <c r="F846" s="2" t="s">
        <v>15</v>
      </c>
      <c r="G846" s="2" t="s">
        <v>2352</v>
      </c>
      <c r="H846" s="2" t="s">
        <v>184</v>
      </c>
      <c r="I846" s="2" t="str">
        <f>IFERROR(__xludf.DUMMYFUNCTION("GOOGLETRANSLATE(C846,""fr"",""en"")"),"I have only been assured for 3 years with a small bonus, but upon receipt of my contribution call, the surprise was in size since I should pay 50 € more than the previous year without accident and with 5 % of bonuses in More ... Look for the error, I am l"&amp;"ooking elsewhere")</f>
        <v>I have only been assured for 3 years with a small bonus, but upon receipt of my contribution call, the surprise was in size since I should pay 50 € more than the previous year without accident and with 5 % of bonuses in More ... Look for the error, I am looking elsewhere</v>
      </c>
    </row>
    <row r="847" ht="15.75" customHeight="1">
      <c r="A847" s="2">
        <v>1.0</v>
      </c>
      <c r="B847" s="2" t="s">
        <v>2353</v>
      </c>
      <c r="C847" s="2" t="s">
        <v>2354</v>
      </c>
      <c r="D847" s="2" t="s">
        <v>117</v>
      </c>
      <c r="E847" s="2" t="s">
        <v>27</v>
      </c>
      <c r="F847" s="2" t="s">
        <v>15</v>
      </c>
      <c r="G847" s="2" t="s">
        <v>1369</v>
      </c>
      <c r="H847" s="2" t="s">
        <v>86</v>
      </c>
      <c r="I847" s="2" t="str">
        <f>IFERROR(__xludf.DUMMYFUNCTION("GOOGLETRANSLATE(C847,""fr"",""en"")"),"Insurance in bad faith, even with a more risk coverage!
No follow -up following a claim abroad, (accident).
Lack of advice and duty.
Does not respect the provisions of the contracts subscribed.
Telephone absence following a claim abroad.
The first ga"&amp;"rage in the area is suitable for them, as the bill is not to be paid.
No followed following bad repair abroad.
Lack of repairs control,
by the expert, in particular on the management of the vehicle abroad.
Danger of drivers.
I liked to subscribe to P"&amp;"acifica's PJ
Subscribers absent in a conflict of interest of the two companys, (PJ and insurer).
")</f>
        <v>Insurance in bad faith, even with a more risk coverage!
No follow -up following a claim abroad, (accident).
Lack of advice and duty.
Does not respect the provisions of the contracts subscribed.
Telephone absence following a claim abroad.
The first garage in the area is suitable for them, as the bill is not to be paid.
No followed following bad repair abroad.
Lack of repairs control,
by the expert, in particular on the management of the vehicle abroad.
Danger of drivers.
I liked to subscribe to Pacifica's PJ
Subscribers absent in a conflict of interest of the two companys, (PJ and insurer).
</v>
      </c>
    </row>
    <row r="848" ht="15.75" customHeight="1">
      <c r="A848" s="2">
        <v>4.0</v>
      </c>
      <c r="B848" s="2" t="s">
        <v>2355</v>
      </c>
      <c r="C848" s="2" t="s">
        <v>2356</v>
      </c>
      <c r="D848" s="2" t="s">
        <v>134</v>
      </c>
      <c r="E848" s="2" t="s">
        <v>27</v>
      </c>
      <c r="F848" s="2" t="s">
        <v>15</v>
      </c>
      <c r="G848" s="2" t="s">
        <v>479</v>
      </c>
      <c r="H848" s="2" t="s">
        <v>343</v>
      </c>
      <c r="I848" s="2" t="str">
        <f>IFERROR(__xludf.DUMMYFUNCTION("GOOGLETRANSLATE(C848,""fr"",""en"")"),"That good experiences. Management of each claim and requests in record time.
Example: a road trip in the south of France (more than 800km from my home) I call GMF which took care of me quickly (on a Sunday) and sent me a tow truck per hour. Car back on t"&amp;"he road and we were able to continue our vacation. And all this for 0 euros included in the 0km assistance clause of my insurance.")</f>
        <v>That good experiences. Management of each claim and requests in record time.
Example: a road trip in the south of France (more than 800km from my home) I call GMF which took care of me quickly (on a Sunday) and sent me a tow truck per hour. Car back on the road and we were able to continue our vacation. And all this for 0 euros included in the 0km assistance clause of my insurance.</v>
      </c>
    </row>
    <row r="849" ht="15.75" customHeight="1">
      <c r="A849" s="2">
        <v>5.0</v>
      </c>
      <c r="B849" s="2" t="s">
        <v>2357</v>
      </c>
      <c r="C849" s="2" t="s">
        <v>2358</v>
      </c>
      <c r="D849" s="2" t="s">
        <v>44</v>
      </c>
      <c r="E849" s="2" t="s">
        <v>27</v>
      </c>
      <c r="F849" s="2" t="s">
        <v>15</v>
      </c>
      <c r="G849" s="2" t="s">
        <v>745</v>
      </c>
      <c r="H849" s="2" t="s">
        <v>23</v>
      </c>
      <c r="I849" s="2" t="str">
        <f>IFERROR(__xludf.DUMMYFUNCTION("GOOGLETRANSLATE(C849,""fr"",""en"")"),"I am satisfied with the nice and attentive personal service facilitating the contract and very attractive offer no headache and 0 paper")</f>
        <v>I am satisfied with the nice and attentive personal service facilitating the contract and very attractive offer no headache and 0 paper</v>
      </c>
    </row>
    <row r="850" ht="15.75" customHeight="1">
      <c r="A850" s="2">
        <v>1.0</v>
      </c>
      <c r="B850" s="2" t="s">
        <v>2359</v>
      </c>
      <c r="C850" s="2" t="s">
        <v>2360</v>
      </c>
      <c r="D850" s="2" t="s">
        <v>44</v>
      </c>
      <c r="E850" s="2" t="s">
        <v>27</v>
      </c>
      <c r="F850" s="2" t="s">
        <v>15</v>
      </c>
      <c r="G850" s="2" t="s">
        <v>1364</v>
      </c>
      <c r="H850" s="2" t="s">
        <v>41</v>
      </c>
      <c r="I850" s="2" t="str">
        <f>IFERROR(__xludf.DUMMYFUNCTION("GOOGLETRANSLATE(C850,""fr"",""en"")"),"Not at all satisfied with the price
If I request a quote from your site by introducing the same information (car, permit ...) The price of tiermaxi insurance is € 588/years against 663 displayed on my account
I think I will look for another insurance at"&amp;" the end of my commitment with Direct Insurance")</f>
        <v>Not at all satisfied with the price
If I request a quote from your site by introducing the same information (car, permit ...) The price of tiermaxi insurance is € 588/years against 663 displayed on my account
I think I will look for another insurance at the end of my commitment with Direct Insurance</v>
      </c>
    </row>
    <row r="851" ht="15.75" customHeight="1">
      <c r="A851" s="2">
        <v>4.0</v>
      </c>
      <c r="B851" s="2" t="s">
        <v>2361</v>
      </c>
      <c r="C851" s="2" t="s">
        <v>2362</v>
      </c>
      <c r="D851" s="2" t="s">
        <v>44</v>
      </c>
      <c r="E851" s="2" t="s">
        <v>27</v>
      </c>
      <c r="F851" s="2" t="s">
        <v>15</v>
      </c>
      <c r="G851" s="2" t="s">
        <v>2363</v>
      </c>
      <c r="H851" s="2" t="s">
        <v>46</v>
      </c>
      <c r="I851" s="2" t="str">
        <f>IFERROR(__xludf.DUMMYFUNCTION("GOOGLETRANSLATE(C851,""fr"",""en"")"),"I am satisfied with the service and hope for the future. It was a little hassle because the price changed at each connection. I have already been insured at home in the past but the price had evolved without any damage")</f>
        <v>I am satisfied with the service and hope for the future. It was a little hassle because the price changed at each connection. I have already been insured at home in the past but the price had evolved without any damage</v>
      </c>
    </row>
    <row r="852" ht="15.75" customHeight="1">
      <c r="A852" s="2">
        <v>5.0</v>
      </c>
      <c r="B852" s="2" t="s">
        <v>2364</v>
      </c>
      <c r="C852" s="2" t="s">
        <v>2365</v>
      </c>
      <c r="D852" s="2" t="s">
        <v>141</v>
      </c>
      <c r="E852" s="2" t="s">
        <v>27</v>
      </c>
      <c r="F852" s="2" t="s">
        <v>15</v>
      </c>
      <c r="G852" s="2" t="s">
        <v>2366</v>
      </c>
      <c r="H852" s="2" t="s">
        <v>465</v>
      </c>
      <c r="I852" s="2" t="str">
        <f>IFERROR(__xludf.DUMMYFUNCTION("GOOGLETRANSLATE(C852,""fr"",""en"")"),"Frankly very good insurers put by relational concerns with certain people. I am young, I have only 2 and a half years of license,
Rapid troubleshooting, good care (accident, not wrong, procedure in progress for 1 years, vehicle reimbursement A '' The cur"&amp;"rent rating '' on second -hand sales site, visit to the quick expert + quick reimbursement before Even end of the procedure even judicial (...)), and apartment insurance taken recently")</f>
        <v>Frankly very good insurers put by relational concerns with certain people. I am young, I have only 2 and a half years of license,
Rapid troubleshooting, good care (accident, not wrong, procedure in progress for 1 years, vehicle reimbursement A '' The current rating '' on second -hand sales site, visit to the quick expert + quick reimbursement before Even end of the procedure even judicial (...)), and apartment insurance taken recently</v>
      </c>
    </row>
    <row r="853" ht="15.75" customHeight="1">
      <c r="A853" s="2">
        <v>5.0</v>
      </c>
      <c r="B853" s="2" t="s">
        <v>2367</v>
      </c>
      <c r="C853" s="2" t="s">
        <v>2368</v>
      </c>
      <c r="D853" s="2" t="s">
        <v>38</v>
      </c>
      <c r="E853" s="2" t="s">
        <v>39</v>
      </c>
      <c r="F853" s="2" t="s">
        <v>15</v>
      </c>
      <c r="G853" s="2" t="s">
        <v>2369</v>
      </c>
      <c r="H853" s="2" t="s">
        <v>159</v>
      </c>
      <c r="I853" s="2" t="str">
        <f>IFERROR(__xludf.DUMMYFUNCTION("GOOGLETRANSLATE(C853,""fr"",""en"")"),"Pleasant, professional person and attractive price with good guarantees.
The quotes are well followed, the more people contacted me and I had a very good price")</f>
        <v>Pleasant, professional person and attractive price with good guarantees.
The quotes are well followed, the more people contacted me and I had a very good price</v>
      </c>
    </row>
    <row r="854" ht="15.75" customHeight="1">
      <c r="A854" s="2">
        <v>5.0</v>
      </c>
      <c r="B854" s="2" t="s">
        <v>2370</v>
      </c>
      <c r="C854" s="2" t="s">
        <v>2371</v>
      </c>
      <c r="D854" s="2" t="s">
        <v>134</v>
      </c>
      <c r="E854" s="2" t="s">
        <v>27</v>
      </c>
      <c r="F854" s="2" t="s">
        <v>15</v>
      </c>
      <c r="G854" s="2" t="s">
        <v>550</v>
      </c>
      <c r="H854" s="2" t="s">
        <v>159</v>
      </c>
      <c r="I854" s="2" t="str">
        <f>IFERROR(__xludf.DUMMYFUNCTION("GOOGLETRANSLATE(C854,""fr"",""en"")"),"Hello,
I have nothing to complain about on the amount of my insurance and the services rendered.
I am satisfied every time I used your services.
Cordially
Mrs Girard Muriel
")</f>
        <v>Hello,
I have nothing to complain about on the amount of my insurance and the services rendered.
I am satisfied every time I used your services.
Cordially
Mrs Girard Muriel
</v>
      </c>
    </row>
    <row r="855" ht="15.75" customHeight="1">
      <c r="A855" s="2">
        <v>5.0</v>
      </c>
      <c r="B855" s="2" t="s">
        <v>2372</v>
      </c>
      <c r="C855" s="2" t="s">
        <v>2373</v>
      </c>
      <c r="D855" s="2" t="s">
        <v>26</v>
      </c>
      <c r="E855" s="2" t="s">
        <v>27</v>
      </c>
      <c r="F855" s="2" t="s">
        <v>15</v>
      </c>
      <c r="G855" s="2" t="s">
        <v>23</v>
      </c>
      <c r="H855" s="2" t="s">
        <v>23</v>
      </c>
      <c r="I855" s="2" t="str">
        <f>IFERROR(__xludf.DUMMYFUNCTION("GOOGLETRANSLATE(C855,""fr"",""en"")"),"I am satisfied with the service and the staff who advise us very well
very professional in the explanations and in the price
I would recommend you
 ")</f>
        <v>I am satisfied with the service and the staff who advise us very well
very professional in the explanations and in the price
I would recommend you
 </v>
      </c>
    </row>
    <row r="856" ht="15.75" customHeight="1">
      <c r="A856" s="2">
        <v>3.0</v>
      </c>
      <c r="B856" s="2" t="s">
        <v>2374</v>
      </c>
      <c r="C856" s="2" t="s">
        <v>2375</v>
      </c>
      <c r="D856" s="2" t="s">
        <v>26</v>
      </c>
      <c r="E856" s="2" t="s">
        <v>27</v>
      </c>
      <c r="F856" s="2" t="s">
        <v>15</v>
      </c>
      <c r="G856" s="2" t="s">
        <v>2376</v>
      </c>
      <c r="H856" s="2" t="s">
        <v>102</v>
      </c>
      <c r="I856" s="2" t="str">
        <f>IFERROR(__xludf.DUMMYFUNCTION("GOOGLETRANSLATE(C856,""fr"",""en"")"),"I subscribe to auto insurance or we pay 2 months in advance + file fees, after payment, no confirmation email, I connect to my account, I still do not have the insurance contract, still not the green card Provisional to print, on the phone they are unreac"&amp;"hable, I provide the documents they ask for but I cannot provide the signed contract since there are not, suddenly I am blocked! It's amazing how customer service is very bad! I think I take my right of withdrawal, ask for the refund and go elsewhere! In "&amp;"addition to accelerate things I will assign this insurance in court if they do not react quickly, it's scandalous!")</f>
        <v>I subscribe to auto insurance or we pay 2 months in advance + file fees, after payment, no confirmation email, I connect to my account, I still do not have the insurance contract, still not the green card Provisional to print, on the phone they are unreachable, I provide the documents they ask for but I cannot provide the signed contract since there are not, suddenly I am blocked! It's amazing how customer service is very bad! I think I take my right of withdrawal, ask for the refund and go elsewhere! In addition to accelerate things I will assign this insurance in court if they do not react quickly, it's scandalous!</v>
      </c>
    </row>
    <row r="857" ht="15.75" customHeight="1">
      <c r="A857" s="2">
        <v>5.0</v>
      </c>
      <c r="B857" s="2" t="s">
        <v>2377</v>
      </c>
      <c r="C857" s="2" t="s">
        <v>2378</v>
      </c>
      <c r="D857" s="2" t="s">
        <v>26</v>
      </c>
      <c r="E857" s="2" t="s">
        <v>27</v>
      </c>
      <c r="F857" s="2" t="s">
        <v>15</v>
      </c>
      <c r="G857" s="2" t="s">
        <v>1889</v>
      </c>
      <c r="H857" s="2" t="s">
        <v>23</v>
      </c>
      <c r="I857" s="2" t="str">
        <f>IFERROR(__xludf.DUMMYFUNCTION("GOOGLETRANSLATE(C857,""fr"",""en"")"),"                       I am satisfied with the service The prices are very affordable ..... and I highly recommend .....
  Listening customer service ...")</f>
        <v>                       I am satisfied with the service The prices are very affordable ..... and I highly recommend .....
  Listening customer service ...</v>
      </c>
    </row>
    <row r="858" ht="15.75" customHeight="1">
      <c r="A858" s="2">
        <v>2.0</v>
      </c>
      <c r="B858" s="2" t="s">
        <v>2379</v>
      </c>
      <c r="C858" s="2" t="s">
        <v>2380</v>
      </c>
      <c r="D858" s="2" t="s">
        <v>44</v>
      </c>
      <c r="E858" s="2" t="s">
        <v>27</v>
      </c>
      <c r="F858" s="2" t="s">
        <v>15</v>
      </c>
      <c r="G858" s="2" t="s">
        <v>138</v>
      </c>
      <c r="H858" s="2" t="s">
        <v>46</v>
      </c>
      <c r="I858" s="2" t="str">
        <f>IFERROR(__xludf.DUMMYFUNCTION("GOOGLETRANSLATE(C858,""fr"",""en"")"),"Low prices but always very expensive for a young license. Then I in terms of satisfaction, if I want to pay monthly I pay more. In short insurance is compulsory and it is expensive.")</f>
        <v>Low prices but always very expensive for a young license. Then I in terms of satisfaction, if I want to pay monthly I pay more. In short insurance is compulsory and it is expensive.</v>
      </c>
    </row>
    <row r="859" ht="15.75" customHeight="1">
      <c r="A859" s="2">
        <v>5.0</v>
      </c>
      <c r="B859" s="2" t="s">
        <v>2381</v>
      </c>
      <c r="C859" s="2" t="s">
        <v>2382</v>
      </c>
      <c r="D859" s="2" t="s">
        <v>55</v>
      </c>
      <c r="E859" s="2" t="s">
        <v>14</v>
      </c>
      <c r="F859" s="2" t="s">
        <v>15</v>
      </c>
      <c r="G859" s="2" t="s">
        <v>312</v>
      </c>
      <c r="H859" s="2" t="s">
        <v>35</v>
      </c>
      <c r="I859" s="2" t="str">
        <f>IFERROR(__xludf.DUMMYFUNCTION("GOOGLETRANSLATE(C859,""fr"",""en"")"),"Thank you to Lea for her welcome, her sympathy, her kindness, the clarity of her information and the approach to follow regarding my request for sending documents. Christian.")</f>
        <v>Thank you to Lea for her welcome, her sympathy, her kindness, the clarity of her information and the approach to follow regarding my request for sending documents. Christian.</v>
      </c>
    </row>
    <row r="860" ht="15.75" customHeight="1">
      <c r="A860" s="2">
        <v>1.0</v>
      </c>
      <c r="B860" s="2" t="s">
        <v>2383</v>
      </c>
      <c r="C860" s="2" t="s">
        <v>2384</v>
      </c>
      <c r="D860" s="2" t="s">
        <v>148</v>
      </c>
      <c r="E860" s="2" t="s">
        <v>33</v>
      </c>
      <c r="F860" s="2" t="s">
        <v>15</v>
      </c>
      <c r="G860" s="2" t="s">
        <v>2278</v>
      </c>
      <c r="H860" s="2" t="s">
        <v>86</v>
      </c>
      <c r="I860" s="2" t="str">
        <f>IFERROR(__xludf.DUMMYFUNCTION("GOOGLETRANSLATE(C860,""fr"",""en"")"),"Be careful, the MAIF at the time of your subscriptions will make you dream.
But at the time of a disaster, no service has the same language.
The sinister service in Compiègne is an almost insulting management disaster on the phone.
They left me without"&amp;" heating despite winter with my 7 tenants, absolutely no response provided, do not even know how to manage a heat pump. I have legal protection at home, and they refuse to initiate procedures against themselves. Everything is perfectly locked and each ser"&amp;"vice knows music.
Above all, do not get involved.")</f>
        <v>Be careful, the MAIF at the time of your subscriptions will make you dream.
But at the time of a disaster, no service has the same language.
The sinister service in Compiègne is an almost insulting management disaster on the phone.
They left me without heating despite winter with my 7 tenants, absolutely no response provided, do not even know how to manage a heat pump. I have legal protection at home, and they refuse to initiate procedures against themselves. Everything is perfectly locked and each service knows music.
Above all, do not get involved.</v>
      </c>
    </row>
    <row r="861" ht="15.75" customHeight="1">
      <c r="A861" s="2">
        <v>1.0</v>
      </c>
      <c r="B861" s="2" t="s">
        <v>2385</v>
      </c>
      <c r="C861" s="2" t="s">
        <v>2386</v>
      </c>
      <c r="D861" s="2" t="s">
        <v>117</v>
      </c>
      <c r="E861" s="2" t="s">
        <v>27</v>
      </c>
      <c r="F861" s="2" t="s">
        <v>15</v>
      </c>
      <c r="G861" s="2" t="s">
        <v>2387</v>
      </c>
      <c r="H861" s="2" t="s">
        <v>571</v>
      </c>
      <c r="I861" s="2" t="str">
        <f>IFERROR(__xludf.DUMMYFUNCTION("GOOGLETRANSLATE(C861,""fr"",""en"")"),"Victim of a disaster on my car for 3 weeks.
Always awaiting compensation for my vehicle. No care was offered to me.
Really unpleasant sinister service on the phone.
I really do not recommend this insurance company.")</f>
        <v>Victim of a disaster on my car for 3 weeks.
Always awaiting compensation for my vehicle. No care was offered to me.
Really unpleasant sinister service on the phone.
I really do not recommend this insurance company.</v>
      </c>
    </row>
    <row r="862" ht="15.75" customHeight="1">
      <c r="A862" s="2">
        <v>2.0</v>
      </c>
      <c r="B862" s="2" t="s">
        <v>2388</v>
      </c>
      <c r="C862" s="2" t="s">
        <v>2389</v>
      </c>
      <c r="D862" s="2" t="s">
        <v>237</v>
      </c>
      <c r="E862" s="2" t="s">
        <v>14</v>
      </c>
      <c r="F862" s="2" t="s">
        <v>15</v>
      </c>
      <c r="G862" s="2" t="s">
        <v>1987</v>
      </c>
      <c r="H862" s="2" t="s">
        <v>159</v>
      </c>
      <c r="I862" s="2" t="str">
        <f>IFERROR(__xludf.DUMMYFUNCTION("GOOGLETRANSLATE(C862,""fr"",""en"")"),"I put a star because we can't put less.
I made a request for a quote and 6 weeks that I await him a return !!!! The only answer we have in return is please wait.
I will block my samples and when I am called I will ask you to wait too !!!!!
It's a"&amp;" shame !!!!!! especially flee .....")</f>
        <v>I put a star because we can't put less.
I made a request for a quote and 6 weeks that I await him a return !!!! The only answer we have in return is please wait.
I will block my samples and when I am called I will ask you to wait too !!!!!
It's a shame !!!!!! especially flee .....</v>
      </c>
    </row>
    <row r="863" ht="15.75" customHeight="1">
      <c r="A863" s="2">
        <v>2.0</v>
      </c>
      <c r="B863" s="2" t="s">
        <v>2390</v>
      </c>
      <c r="C863" s="2" t="s">
        <v>2391</v>
      </c>
      <c r="D863" s="2" t="s">
        <v>44</v>
      </c>
      <c r="E863" s="2" t="s">
        <v>27</v>
      </c>
      <c r="F863" s="2" t="s">
        <v>15</v>
      </c>
      <c r="G863" s="2" t="s">
        <v>1860</v>
      </c>
      <c r="H863" s="2" t="s">
        <v>111</v>
      </c>
      <c r="I863" s="2" t="str">
        <f>IFERROR(__xludf.DUMMYFUNCTION("GOOGLETRANSLATE(C863,""fr"",""en"")"),"Correct price puts myself better. Glad I can watch my car. I think I come back to you very soon. Application very well")</f>
        <v>Correct price puts myself better. Glad I can watch my car. I think I come back to you very soon. Application very well</v>
      </c>
    </row>
    <row r="864" ht="15.75" customHeight="1">
      <c r="A864" s="2">
        <v>2.0</v>
      </c>
      <c r="B864" s="2" t="s">
        <v>2392</v>
      </c>
      <c r="C864" s="2" t="s">
        <v>2393</v>
      </c>
      <c r="D864" s="2" t="s">
        <v>252</v>
      </c>
      <c r="E864" s="2" t="s">
        <v>21</v>
      </c>
      <c r="F864" s="2" t="s">
        <v>15</v>
      </c>
      <c r="G864" s="2" t="s">
        <v>2394</v>
      </c>
      <c r="H864" s="2" t="s">
        <v>448</v>
      </c>
      <c r="I864" s="2" t="str">
        <f>IFERROR(__xludf.DUMMYFUNCTION("GOOGLETRANSLATE(C864,""fr"",""en"")"),"Everything is good as long as we have no problems, after, it's another story.
Having passed into category 2 disability, my file is blocked (medical expert seen for almost 2 months) and always no response to unlock my compensation file
All calls end in a"&amp;" 3/4 hour waiting to be heard that the file is not yet educated.
In short, deplorable, especially when one is in disability due to psychiatric problems, what comfort")</f>
        <v>Everything is good as long as we have no problems, after, it's another story.
Having passed into category 2 disability, my file is blocked (medical expert seen for almost 2 months) and always no response to unlock my compensation file
All calls end in a 3/4 hour waiting to be heard that the file is not yet educated.
In short, deplorable, especially when one is in disability due to psychiatric problems, what comfort</v>
      </c>
    </row>
    <row r="865" ht="15.75" customHeight="1">
      <c r="A865" s="2">
        <v>5.0</v>
      </c>
      <c r="B865" s="2" t="s">
        <v>2395</v>
      </c>
      <c r="C865" s="2" t="s">
        <v>2396</v>
      </c>
      <c r="D865" s="2" t="s">
        <v>44</v>
      </c>
      <c r="E865" s="2" t="s">
        <v>27</v>
      </c>
      <c r="F865" s="2" t="s">
        <v>15</v>
      </c>
      <c r="G865" s="2" t="s">
        <v>244</v>
      </c>
      <c r="H865" s="2" t="s">
        <v>35</v>
      </c>
      <c r="I865" s="2" t="str">
        <f>IFERROR(__xludf.DUMMYFUNCTION("GOOGLETRANSLATE(C865,""fr"",""en"")"),"Very simple and very fast subscription
very competitive prices whether minimum or tourism third party
Very good explanation
very clear and understanding")</f>
        <v>Very simple and very fast subscription
very competitive prices whether minimum or tourism third party
Very good explanation
very clear and understanding</v>
      </c>
    </row>
    <row r="866" ht="15.75" customHeight="1">
      <c r="A866" s="2">
        <v>3.0</v>
      </c>
      <c r="B866" s="2" t="s">
        <v>2397</v>
      </c>
      <c r="C866" s="2" t="s">
        <v>2398</v>
      </c>
      <c r="D866" s="2" t="s">
        <v>252</v>
      </c>
      <c r="E866" s="2" t="s">
        <v>14</v>
      </c>
      <c r="F866" s="2" t="s">
        <v>15</v>
      </c>
      <c r="G866" s="2" t="s">
        <v>514</v>
      </c>
      <c r="H866" s="2" t="s">
        <v>62</v>
      </c>
      <c r="I866" s="2" t="str">
        <f>IFERROR(__xludf.DUMMYFUNCTION("GOOGLETRANSLATE(C866,""fr"",""en"")"),"Satisfied but no information on the name of the member so no first connection to make I hope for more details in the days that follow")</f>
        <v>Satisfied but no information on the name of the member so no first connection to make I hope for more details in the days that follow</v>
      </c>
    </row>
    <row r="867" ht="15.75" customHeight="1">
      <c r="A867" s="2">
        <v>5.0</v>
      </c>
      <c r="B867" s="2" t="s">
        <v>2399</v>
      </c>
      <c r="C867" s="2" t="s">
        <v>2400</v>
      </c>
      <c r="D867" s="2" t="s">
        <v>38</v>
      </c>
      <c r="E867" s="2" t="s">
        <v>39</v>
      </c>
      <c r="F867" s="2" t="s">
        <v>15</v>
      </c>
      <c r="G867" s="2" t="s">
        <v>1924</v>
      </c>
      <c r="H867" s="2" t="s">
        <v>41</v>
      </c>
      <c r="I867" s="2" t="str">
        <f>IFERROR(__xludf.DUMMYFUNCTION("GOOGLETRANSLATE(C867,""fr"",""en"")"),"Super fast efficient and above all very good price! I highly recommend to everyone, it's really the best on the insurance market you only have to watch!")</f>
        <v>Super fast efficient and above all very good price! I highly recommend to everyone, it's really the best on the insurance market you only have to watch!</v>
      </c>
    </row>
    <row r="868" ht="15.75" customHeight="1">
      <c r="A868" s="2">
        <v>5.0</v>
      </c>
      <c r="B868" s="2" t="s">
        <v>2401</v>
      </c>
      <c r="C868" s="2" t="s">
        <v>2402</v>
      </c>
      <c r="D868" s="2" t="s">
        <v>26</v>
      </c>
      <c r="E868" s="2" t="s">
        <v>27</v>
      </c>
      <c r="F868" s="2" t="s">
        <v>15</v>
      </c>
      <c r="G868" s="2" t="s">
        <v>2403</v>
      </c>
      <c r="H868" s="2" t="s">
        <v>62</v>
      </c>
      <c r="I868" s="2" t="str">
        <f>IFERROR(__xludf.DUMMYFUNCTION("GOOGLETRANSLATE(C868,""fr"",""en"")"),"I am satisfied with the service offered by Olivier Assurance. Very responsive claim service, and very attractive offers for better coverage of the insured.")</f>
        <v>I am satisfied with the service offered by Olivier Assurance. Very responsive claim service, and very attractive offers for better coverage of the insured.</v>
      </c>
    </row>
    <row r="869" ht="15.75" customHeight="1">
      <c r="A869" s="2">
        <v>1.0</v>
      </c>
      <c r="B869" s="2" t="s">
        <v>2404</v>
      </c>
      <c r="C869" s="2" t="s">
        <v>2405</v>
      </c>
      <c r="D869" s="2" t="s">
        <v>44</v>
      </c>
      <c r="E869" s="2" t="s">
        <v>27</v>
      </c>
      <c r="F869" s="2" t="s">
        <v>15</v>
      </c>
      <c r="G869" s="2" t="s">
        <v>1217</v>
      </c>
      <c r="H869" s="2" t="s">
        <v>41</v>
      </c>
      <c r="I869" s="2" t="str">
        <f>IFERROR(__xludf.DUMMYFUNCTION("GOOGLETRANSLATE(C869,""fr"",""en"")"),"Since 2019 that I have been with you and have had no direct delay or payment delay I do not understand that we can have two contracts especially when we click on moving and yes we have had problems so we do not necessarily think of terminating In time and"&amp;" when we send the papers we do not reimburse us all it is a real scandal for my part I no longer trust direct insurance because I have just lost 150th so a real disgust of this insurance because I already have had other insurance that reimburses correctly")</f>
        <v>Since 2019 that I have been with you and have had no direct delay or payment delay I do not understand that we can have two contracts especially when we click on moving and yes we have had problems so we do not necessarily think of terminating In time and when we send the papers we do not reimburse us all it is a real scandal for my part I no longer trust direct insurance because I have just lost 150th so a real disgust of this insurance because I already have had other insurance that reimburses correctly</v>
      </c>
    </row>
    <row r="870" ht="15.75" customHeight="1">
      <c r="A870" s="2">
        <v>2.0</v>
      </c>
      <c r="B870" s="2" t="s">
        <v>2406</v>
      </c>
      <c r="C870" s="2" t="s">
        <v>2407</v>
      </c>
      <c r="D870" s="2" t="s">
        <v>26</v>
      </c>
      <c r="E870" s="2" t="s">
        <v>27</v>
      </c>
      <c r="F870" s="2" t="s">
        <v>15</v>
      </c>
      <c r="G870" s="2" t="s">
        <v>2408</v>
      </c>
      <c r="H870" s="2" t="s">
        <v>571</v>
      </c>
      <c r="I870" s="2" t="str">
        <f>IFERROR(__xludf.DUMMYFUNCTION("GOOGLETRANSLATE(C870,""fr"",""en"")"),"Wait a bit before you rejoice Stéph. I too was very happy. Insurance taken by Tel with sending previous insurance statements: yes, we assure you. Sending the first payment: monthly payment + file fees. And ... 3 weeks later, email: finally we don't assure"&amp;" you! 7 claims in - 3 years? 1 Responsible ... the others? 1 non-responsible collision and ... the impact repairs of the windshield, and what about my 85 € ?????")</f>
        <v>Wait a bit before you rejoice Stéph. I too was very happy. Insurance taken by Tel with sending previous insurance statements: yes, we assure you. Sending the first payment: monthly payment + file fees. And ... 3 weeks later, email: finally we don't assure you! 7 claims in - 3 years? 1 Responsible ... the others? 1 non-responsible collision and ... the impact repairs of the windshield, and what about my 85 € ?????</v>
      </c>
    </row>
    <row r="871" ht="15.75" customHeight="1">
      <c r="A871" s="2">
        <v>4.0</v>
      </c>
      <c r="B871" s="2" t="s">
        <v>2409</v>
      </c>
      <c r="C871" s="2" t="s">
        <v>2410</v>
      </c>
      <c r="D871" s="2" t="s">
        <v>26</v>
      </c>
      <c r="E871" s="2" t="s">
        <v>27</v>
      </c>
      <c r="F871" s="2" t="s">
        <v>15</v>
      </c>
      <c r="G871" s="2" t="s">
        <v>1924</v>
      </c>
      <c r="H871" s="2" t="s">
        <v>41</v>
      </c>
      <c r="I871" s="2" t="str">
        <f>IFERROR(__xludf.DUMMYFUNCTION("GOOGLETRANSLATE(C871,""fr"",""en"")"),"The prices are affordable
And very welcome
Very kindly answer the very very happy questions of this insurer to recommend without hesitation thank you")</f>
        <v>The prices are affordable
And very welcome
Very kindly answer the very very happy questions of this insurer to recommend without hesitation thank you</v>
      </c>
    </row>
    <row r="872" ht="15.75" customHeight="1">
      <c r="A872" s="2">
        <v>5.0</v>
      </c>
      <c r="B872" s="2" t="s">
        <v>2411</v>
      </c>
      <c r="C872" s="2" t="s">
        <v>2412</v>
      </c>
      <c r="D872" s="2" t="s">
        <v>44</v>
      </c>
      <c r="E872" s="2" t="s">
        <v>27</v>
      </c>
      <c r="F872" s="2" t="s">
        <v>15</v>
      </c>
      <c r="G872" s="2" t="s">
        <v>2413</v>
      </c>
      <c r="H872" s="2" t="s">
        <v>29</v>
      </c>
      <c r="I872" s="2" t="str">
        <f>IFERROR(__xludf.DUMMYFUNCTION("GOOGLETRANSLATE(C872,""fr"",""en"")"),"Nice economy! I am glad . I save € 130 per year with better guarantees. My parents are already at home. I'm going to look at the mutual health insurance!")</f>
        <v>Nice economy! I am glad . I save € 130 per year with better guarantees. My parents are already at home. I'm going to look at the mutual health insurance!</v>
      </c>
    </row>
    <row r="873" ht="15.75" customHeight="1">
      <c r="A873" s="2">
        <v>1.0</v>
      </c>
      <c r="B873" s="2" t="s">
        <v>2414</v>
      </c>
      <c r="C873" s="2" t="s">
        <v>2415</v>
      </c>
      <c r="D873" s="2" t="s">
        <v>252</v>
      </c>
      <c r="E873" s="2" t="s">
        <v>14</v>
      </c>
      <c r="F873" s="2" t="s">
        <v>15</v>
      </c>
      <c r="G873" s="2" t="s">
        <v>2416</v>
      </c>
      <c r="H873" s="2" t="s">
        <v>57</v>
      </c>
      <c r="I873" s="2" t="str">
        <f>IFERROR(__xludf.DUMMYFUNCTION("GOOGLETRANSLATE(C873,""fr"",""en"")"),"Catastrophic mutual mutual reimbursement very late see no refund on the pretext that the SS has not transmitted their care, advisor to absent subscribers ... in short, flee this mutual")</f>
        <v>Catastrophic mutual mutual reimbursement very late see no refund on the pretext that the SS has not transmitted their care, advisor to absent subscribers ... in short, flee this mutual</v>
      </c>
    </row>
    <row r="874" ht="15.75" customHeight="1">
      <c r="A874" s="2">
        <v>1.0</v>
      </c>
      <c r="B874" s="2" t="s">
        <v>2417</v>
      </c>
      <c r="C874" s="2" t="s">
        <v>2418</v>
      </c>
      <c r="D874" s="2" t="s">
        <v>237</v>
      </c>
      <c r="E874" s="2" t="s">
        <v>14</v>
      </c>
      <c r="F874" s="2" t="s">
        <v>15</v>
      </c>
      <c r="G874" s="2" t="s">
        <v>2419</v>
      </c>
      <c r="H874" s="2" t="s">
        <v>606</v>
      </c>
      <c r="I874" s="2" t="str">
        <f>IFERROR(__xludf.DUMMYFUNCTION("GOOGLETRANSLATE(C874,""fr"",""en"")"),"A very difficult mutual to reach when you need it and that makes lots of error in the files.")</f>
        <v>A very difficult mutual to reach when you need it and that makes lots of error in the files.</v>
      </c>
    </row>
    <row r="875" ht="15.75" customHeight="1">
      <c r="A875" s="2">
        <v>4.0</v>
      </c>
      <c r="B875" s="2" t="s">
        <v>2420</v>
      </c>
      <c r="C875" s="2" t="s">
        <v>2421</v>
      </c>
      <c r="D875" s="2" t="s">
        <v>540</v>
      </c>
      <c r="E875" s="2" t="s">
        <v>14</v>
      </c>
      <c r="F875" s="2" t="s">
        <v>15</v>
      </c>
      <c r="G875" s="2" t="s">
        <v>2422</v>
      </c>
      <c r="H875" s="2" t="s">
        <v>86</v>
      </c>
      <c r="I875" s="2" t="str">
        <f>IFERROR(__xludf.DUMMYFUNCTION("GOOGLETRANSLATE(C875,""fr"",""en"")"),"Very good slightly expensive social security cover. But the quality is a little more. A good team listening. A mutual to advise.")</f>
        <v>Very good slightly expensive social security cover. But the quality is a little more. A good team listening. A mutual to advise.</v>
      </c>
    </row>
    <row r="876" ht="15.75" customHeight="1">
      <c r="A876" s="2">
        <v>5.0</v>
      </c>
      <c r="B876" s="2" t="s">
        <v>2423</v>
      </c>
      <c r="C876" s="2" t="s">
        <v>2424</v>
      </c>
      <c r="D876" s="2" t="s">
        <v>44</v>
      </c>
      <c r="E876" s="2" t="s">
        <v>27</v>
      </c>
      <c r="F876" s="2" t="s">
        <v>15</v>
      </c>
      <c r="G876" s="2" t="s">
        <v>806</v>
      </c>
      <c r="H876" s="2" t="s">
        <v>159</v>
      </c>
      <c r="I876" s="2" t="str">
        <f>IFERROR(__xludf.DUMMYFUNCTION("GOOGLETRANSLATE(C876,""fr"",""en"")"),"I had a car failure several years ago, I was taken care of 100% with taxi round trip from the garage, and that is the most important in a moment of great solitude and now I receive A refund of € 146.94 because I did not have an accident for 5 years. Anoth"&amp;"er big thank you direct insurance")</f>
        <v>I had a car failure several years ago, I was taken care of 100% with taxi round trip from the garage, and that is the most important in a moment of great solitude and now I receive A refund of € 146.94 because I did not have an accident for 5 years. Another big thank you direct insurance</v>
      </c>
    </row>
    <row r="877" ht="15.75" customHeight="1">
      <c r="A877" s="2">
        <v>1.0</v>
      </c>
      <c r="B877" s="2" t="s">
        <v>2425</v>
      </c>
      <c r="C877" s="2" t="s">
        <v>2426</v>
      </c>
      <c r="D877" s="2" t="s">
        <v>55</v>
      </c>
      <c r="E877" s="2" t="s">
        <v>14</v>
      </c>
      <c r="F877" s="2" t="s">
        <v>15</v>
      </c>
      <c r="G877" s="2" t="s">
        <v>444</v>
      </c>
      <c r="H877" s="2" t="s">
        <v>41</v>
      </c>
      <c r="I877" s="2" t="str">
        <f>IFERROR(__xludf.DUMMYFUNCTION("GOOGLETRANSLATE(C877,""fr"",""en"")"),"Contract subscribed in September.
Huge care problem despite the corresponding guarantees.
Better not to need clinical or hospital exams.
I no longer count the sums that have not been reimbursed to me.
In addition, one of my children withdrew from this"&amp;" one; covered since March by the Mutual Entreprise, Neoliane has taken up until May.
")</f>
        <v>Contract subscribed in September.
Huge care problem despite the corresponding guarantees.
Better not to need clinical or hospital exams.
I no longer count the sums that have not been reimbursed to me.
In addition, one of my children withdrew from this one; covered since March by the Mutual Entreprise, Neoliane has taken up until May.
</v>
      </c>
    </row>
    <row r="878" ht="15.75" customHeight="1">
      <c r="A878" s="2">
        <v>1.0</v>
      </c>
      <c r="B878" s="2" t="s">
        <v>2427</v>
      </c>
      <c r="C878" s="2" t="s">
        <v>2428</v>
      </c>
      <c r="D878" s="2" t="s">
        <v>70</v>
      </c>
      <c r="E878" s="2" t="s">
        <v>14</v>
      </c>
      <c r="F878" s="2" t="s">
        <v>15</v>
      </c>
      <c r="G878" s="2" t="s">
        <v>2429</v>
      </c>
      <c r="H878" s="2" t="s">
        <v>372</v>
      </c>
      <c r="I878" s="2" t="str">
        <f>IFERROR(__xludf.DUMMYFUNCTION("GOOGLETRANSLATE(C878,""fr"",""en"")"),"Very bad")</f>
        <v>Very bad</v>
      </c>
    </row>
    <row r="879" ht="15.75" customHeight="1">
      <c r="A879" s="2">
        <v>2.0</v>
      </c>
      <c r="B879" s="2" t="s">
        <v>2430</v>
      </c>
      <c r="C879" s="2" t="s">
        <v>2431</v>
      </c>
      <c r="D879" s="2" t="s">
        <v>55</v>
      </c>
      <c r="E879" s="2" t="s">
        <v>14</v>
      </c>
      <c r="F879" s="2" t="s">
        <v>15</v>
      </c>
      <c r="G879" s="2" t="s">
        <v>1013</v>
      </c>
      <c r="H879" s="2" t="s">
        <v>554</v>
      </c>
      <c r="I879" s="2" t="str">
        <f>IFERROR(__xludf.DUMMYFUNCTION("GOOGLETRANSLATE(C879,""fr"",""en"")"),"Do not reimburse quickly you have to wait approximately fifteen days before being reimbursed despite the remote transmission. You must send the invoice. I have known better in terms of mutual")</f>
        <v>Do not reimburse quickly you have to wait approximately fifteen days before being reimbursed despite the remote transmission. You must send the invoice. I have known better in terms of mutual</v>
      </c>
    </row>
    <row r="880" ht="15.75" customHeight="1">
      <c r="A880" s="2">
        <v>2.0</v>
      </c>
      <c r="B880" s="2" t="s">
        <v>2432</v>
      </c>
      <c r="C880" s="2" t="s">
        <v>2433</v>
      </c>
      <c r="D880" s="2" t="s">
        <v>129</v>
      </c>
      <c r="E880" s="2" t="s">
        <v>27</v>
      </c>
      <c r="F880" s="2" t="s">
        <v>15</v>
      </c>
      <c r="G880" s="2" t="s">
        <v>1672</v>
      </c>
      <c r="H880" s="2" t="s">
        <v>78</v>
      </c>
      <c r="I880" s="2" t="str">
        <f>IFERROR(__xludf.DUMMYFUNCTION("GOOGLETRANSLATE(C880,""fr"",""en"")"),"quality of customer service damage that we cannot be zero !!!! no one zero !!!! Flee them like the plague!
Apart from telling you to connect to the personal space ... Except that the site does not work, you pay and impossible to recover your insurance ce"&amp;"rtificate on the personal space! They sent me a provisional certificate with just my name and not even the name of the vehicle plaque no information. I did not believe my eyes of such an improperness !!! In short, madness of a branquinolles team like I ha"&amp;"ve never seen elsewhere !!!")</f>
        <v>quality of customer service damage that we cannot be zero !!!! no one zero !!!! Flee them like the plague!
Apart from telling you to connect to the personal space ... Except that the site does not work, you pay and impossible to recover your insurance certificate on the personal space! They sent me a provisional certificate with just my name and not even the name of the vehicle plaque no information. I did not believe my eyes of such an improperness !!! In short, madness of a branquinolles team like I have never seen elsewhere !!!</v>
      </c>
    </row>
    <row r="881" ht="15.75" customHeight="1">
      <c r="A881" s="2">
        <v>2.0</v>
      </c>
      <c r="B881" s="2" t="s">
        <v>2434</v>
      </c>
      <c r="C881" s="2" t="s">
        <v>2435</v>
      </c>
      <c r="D881" s="2" t="s">
        <v>109</v>
      </c>
      <c r="E881" s="2" t="s">
        <v>33</v>
      </c>
      <c r="F881" s="2" t="s">
        <v>15</v>
      </c>
      <c r="G881" s="2" t="s">
        <v>1964</v>
      </c>
      <c r="H881" s="2" t="s">
        <v>57</v>
      </c>
      <c r="I881" s="2" t="str">
        <f>IFERROR(__xludf.DUMMYFUNCTION("GOOGLETRANSLATE(C881,""fr"",""en"")"),"Lamentable and revolving.
Matmut is no longer what it was. We have been a member for several generations in my family, and have always been globally satisfied.
Except for a few years.
First thing, they changed their telephone standard, before when we c"&amp;"alled we came across our Ciotat agency, now we switch to a national standard, and they are completely unreachable. And when you go to an agency, you are told that the staff on site do not manage the claims, and that they must be called their platform whic"&amp;"h is therefore unreachable ...
I then turned to another means of communication, I sent several emails to my customer area, they immediately accuse reception, but no response. I resolved to make a letter of complaint by registered mail A.R. in November 20"&amp;"20, I received in January a letter accusing reception of my request which indicated to me that they needed more time to examine my file, then more NOTHING.
I moved several times to solicit the director of my agency (who also begins to have enough to rece"&amp;"ive me) so that he is restarting the platform, since he can do nothing more. But that does not give anything, we have been leaving pear, and this since November.
Second thing, they quibble to compensate, and demonstrate once remarkable; Indeed our fence "&amp;"wall collapsed following floods in September 2020, I was first asked if we had subscribed to the exterior option, luckily yes, but refused to compensate because the wall was Old, they play on the words saying, I quote, that ""the floods are the factor rev"&amp;"ealing the collapse but are not the cause"". Except that before the floods my wall was old, certainly, but it was right, it collapsed following the floods !!!
This is where we are ...
Obviously in parallel with all this and in this time interval, they w"&amp;"ere hypers punctual to send us our maturity notices, and do not fail to take us every month.
I wanted to share my sad experience with them.
Next step, we will take a lawyer to defend ourselves.")</f>
        <v>Lamentable and revolving.
Matmut is no longer what it was. We have been a member for several generations in my family, and have always been globally satisfied.
Except for a few years.
First thing, they changed their telephone standard, before when we called we came across our Ciotat agency, now we switch to a national standard, and they are completely unreachable. And when you go to an agency, you are told that the staff on site do not manage the claims, and that they must be called their platform which is therefore unreachable ...
I then turned to another means of communication, I sent several emails to my customer area, they immediately accuse reception, but no response. I resolved to make a letter of complaint by registered mail A.R. in November 2020, I received in January a letter accusing reception of my request which indicated to me that they needed more time to examine my file, then more NOTHING.
I moved several times to solicit the director of my agency (who also begins to have enough to receive me) so that he is restarting the platform, since he can do nothing more. But that does not give anything, we have been leaving pear, and this since November.
Second thing, they quibble to compensate, and demonstrate once remarkable; Indeed our fence wall collapsed following floods in September 2020, I was first asked if we had subscribed to the exterior option, luckily yes, but refused to compensate because the wall was Old, they play on the words saying, I quote, that "the floods are the factor revealing the collapse but are not the cause". Except that before the floods my wall was old, certainly, but it was right, it collapsed following the floods !!!
This is where we are ...
Obviously in parallel with all this and in this time interval, they were hypers punctual to send us our maturity notices, and do not fail to take us every month.
I wanted to share my sad experience with them.
Next step, we will take a lawyer to defend ourselves.</v>
      </c>
    </row>
    <row r="882" ht="15.75" customHeight="1">
      <c r="A882" s="2">
        <v>1.0</v>
      </c>
      <c r="B882" s="2" t="s">
        <v>2436</v>
      </c>
      <c r="C882" s="2" t="s">
        <v>2437</v>
      </c>
      <c r="D882" s="2" t="s">
        <v>598</v>
      </c>
      <c r="E882" s="2" t="s">
        <v>460</v>
      </c>
      <c r="F882" s="2" t="s">
        <v>15</v>
      </c>
      <c r="G882" s="2" t="s">
        <v>613</v>
      </c>
      <c r="H882" s="2" t="s">
        <v>23</v>
      </c>
      <c r="I882" s="2" t="str">
        <f>IFERROR(__xludf.DUMMYFUNCTION("GOOGLETRANSLATE(C882,""fr"",""en"")"),"If I could put it zero I would do it. You are here in the worst of the worst. Instructed by an email coming from them with an unknown address, impossible to connect, while I had access to my account by other address, I made a mistake and terminates a 13 -"&amp;"year contract that I especially did not want to terminate. No verification made neither by general nor by Crédit Agricole by which I have acquired this insurance. As soon as I realized this error, I tried in vain to cancel this sale, but they have no cust"&amp;"omer assistance and are completely obtuse.
Result this placement does not bring me anything following the taxation on the most values ​​taxed only once
So unless you are Masi, run away from all contât")</f>
        <v>If I could put it zero I would do it. You are here in the worst of the worst. Instructed by an email coming from them with an unknown address, impossible to connect, while I had access to my account by other address, I made a mistake and terminates a 13 -year contract that I especially did not want to terminate. No verification made neither by general nor by Crédit Agricole by which I have acquired this insurance. As soon as I realized this error, I tried in vain to cancel this sale, but they have no customer assistance and are completely obtuse.
Result this placement does not bring me anything following the taxation on the most values ​​taxed only once
So unless you are Masi, run away from all contât</v>
      </c>
    </row>
    <row r="883" ht="15.75" customHeight="1">
      <c r="A883" s="2">
        <v>4.0</v>
      </c>
      <c r="B883" s="2" t="s">
        <v>2438</v>
      </c>
      <c r="C883" s="2" t="s">
        <v>2439</v>
      </c>
      <c r="D883" s="2" t="s">
        <v>26</v>
      </c>
      <c r="E883" s="2" t="s">
        <v>27</v>
      </c>
      <c r="F883" s="2" t="s">
        <v>15</v>
      </c>
      <c r="G883" s="2" t="s">
        <v>1029</v>
      </c>
      <c r="H883" s="2" t="s">
        <v>46</v>
      </c>
      <c r="I883" s="2" t="str">
        <f>IFERROR(__xludf.DUMMYFUNCTION("GOOGLETRANSLATE(C883,""fr"",""en"")"),"Interesting price related to our last insurer, however, 11 years older at home
The pleasant and courteous telephone contact, I would recommend a member of my family")</f>
        <v>Interesting price related to our last insurer, however, 11 years older at home
The pleasant and courteous telephone contact, I would recommend a member of my family</v>
      </c>
    </row>
    <row r="884" ht="15.75" customHeight="1">
      <c r="A884" s="2">
        <v>1.0</v>
      </c>
      <c r="B884" s="2" t="s">
        <v>2440</v>
      </c>
      <c r="C884" s="2" t="s">
        <v>2441</v>
      </c>
      <c r="D884" s="2" t="s">
        <v>100</v>
      </c>
      <c r="E884" s="2" t="s">
        <v>76</v>
      </c>
      <c r="F884" s="2" t="s">
        <v>15</v>
      </c>
      <c r="G884" s="2" t="s">
        <v>2442</v>
      </c>
      <c r="H884" s="2" t="s">
        <v>102</v>
      </c>
      <c r="I884" s="2" t="str">
        <f>IFERROR(__xludf.DUMMYFUNCTION("GOOGLETRANSLATE(C884,""fr"",""en"")"),"My father died for more than 2 months, he had a funeral contract Reunica. Impossible to find a competent advisor to have information on the contract and especially a refund .......
A distressing company of I fucking myself, I no longer count the phone ca"&amp;"lls and the emails sent, to flee absolutely.
(As long as you are alive and you pay, everything is fine, on the other hand after .....)")</f>
        <v>My father died for more than 2 months, he had a funeral contract Reunica. Impossible to find a competent advisor to have information on the contract and especially a refund .......
A distressing company of I fucking myself, I no longer count the phone calls and the emails sent, to flee absolutely.
(As long as you are alive and you pay, everything is fine, on the other hand after .....)</v>
      </c>
    </row>
    <row r="885" ht="15.75" customHeight="1">
      <c r="A885" s="2">
        <v>1.0</v>
      </c>
      <c r="B885" s="2" t="s">
        <v>2443</v>
      </c>
      <c r="C885" s="2" t="s">
        <v>2444</v>
      </c>
      <c r="D885" s="2" t="s">
        <v>100</v>
      </c>
      <c r="E885" s="2" t="s">
        <v>76</v>
      </c>
      <c r="F885" s="2" t="s">
        <v>15</v>
      </c>
      <c r="G885" s="2" t="s">
        <v>2445</v>
      </c>
      <c r="H885" s="2" t="s">
        <v>382</v>
      </c>
      <c r="I885" s="2" t="str">
        <f>IFERROR(__xludf.DUMMYFUNCTION("GOOGLETRANSLATE(C885,""fr"",""en"")"),"In sick stop since December 13, 2017, I come today either on March 05, 2018 to receive a check of € 44, I call them to ask them what it corresponds to, have replied that my complement is paid only from 15 January is 32 days less, when I ask them why have "&amp;"me refer to my employer. My employer tells me that no he has transmitted the documents well and that therefore must pay me the complement from December 13, 2017. When they want Not paying they refer the fault to the employer and in the meantime have galle"&amp;"y !!!")</f>
        <v>In sick stop since December 13, 2017, I come today either on March 05, 2018 to receive a check of € 44, I call them to ask them what it corresponds to, have replied that my complement is paid only from 15 January is 32 days less, when I ask them why have me refer to my employer. My employer tells me that no he has transmitted the documents well and that therefore must pay me the complement from December 13, 2017. When they want Not paying they refer the fault to the employer and in the meantime have galley !!!</v>
      </c>
    </row>
    <row r="886" ht="15.75" customHeight="1">
      <c r="A886" s="2">
        <v>1.0</v>
      </c>
      <c r="B886" s="2" t="s">
        <v>2446</v>
      </c>
      <c r="C886" s="2" t="s">
        <v>2447</v>
      </c>
      <c r="D886" s="2" t="s">
        <v>44</v>
      </c>
      <c r="E886" s="2" t="s">
        <v>27</v>
      </c>
      <c r="F886" s="2" t="s">
        <v>15</v>
      </c>
      <c r="G886" s="2" t="s">
        <v>640</v>
      </c>
      <c r="H886" s="2" t="s">
        <v>159</v>
      </c>
      <c r="I886" s="2" t="str">
        <f>IFERROR(__xludf.DUMMYFUNCTION("GOOGLETRANSLATE(C886,""fr"",""en"")"),"I am very surprised that the insurance premium increases by 9% this year despite the increase in my bonus.
The general number of claims having decreased I expected a reduction in bonuses.")</f>
        <v>I am very surprised that the insurance premium increases by 9% this year despite the increase in my bonus.
The general number of claims having decreased I expected a reduction in bonuses.</v>
      </c>
    </row>
    <row r="887" ht="15.75" customHeight="1">
      <c r="A887" s="2">
        <v>2.0</v>
      </c>
      <c r="B887" s="2" t="s">
        <v>2448</v>
      </c>
      <c r="C887" s="2" t="s">
        <v>2449</v>
      </c>
      <c r="D887" s="2" t="s">
        <v>165</v>
      </c>
      <c r="E887" s="2" t="s">
        <v>27</v>
      </c>
      <c r="F887" s="2" t="s">
        <v>15</v>
      </c>
      <c r="G887" s="2" t="s">
        <v>461</v>
      </c>
      <c r="H887" s="2" t="s">
        <v>422</v>
      </c>
      <c r="I887" s="2" t="str">
        <f>IFERROR(__xludf.DUMMYFUNCTION("GOOGLETRANSLATE(C887,""fr"",""en"")"),"Better not to have a claim at Eurofil. I had to fight with photos to have an accident recognized where I was absolutely not responsible.
I had a responsible accident by backing up in a barrier in 2016 and an act of responsibility vandalism in 2017. I hav"&amp;"e been 50/100 for ten years.
Eurofil decided to terminate my contract for inadequacy of risk with regard to the company's acceptance policy.
This company assures you whether you have zero -claims responsible or not.
I have been at Eurofil for 16 years "&amp;"(2002) with also a home contract.
Eurofil has increased my insurance premium following the 2016 claim by € 100.")</f>
        <v>Better not to have a claim at Eurofil. I had to fight with photos to have an accident recognized where I was absolutely not responsible.
I had a responsible accident by backing up in a barrier in 2016 and an act of responsibility vandalism in 2017. I have been 50/100 for ten years.
Eurofil decided to terminate my contract for inadequacy of risk with regard to the company's acceptance policy.
This company assures you whether you have zero -claims responsible or not.
I have been at Eurofil for 16 years (2002) with also a home contract.
Eurofil has increased my insurance premium following the 2016 claim by € 100.</v>
      </c>
    </row>
    <row r="888" ht="15.75" customHeight="1">
      <c r="A888" s="2">
        <v>3.0</v>
      </c>
      <c r="B888" s="2" t="s">
        <v>2450</v>
      </c>
      <c r="C888" s="2" t="s">
        <v>2451</v>
      </c>
      <c r="D888" s="2" t="s">
        <v>84</v>
      </c>
      <c r="E888" s="2" t="s">
        <v>27</v>
      </c>
      <c r="F888" s="2" t="s">
        <v>15</v>
      </c>
      <c r="G888" s="2" t="s">
        <v>2452</v>
      </c>
      <c r="H888" s="2" t="s">
        <v>301</v>
      </c>
      <c r="I888" s="2" t="str">
        <f>IFERROR(__xludf.DUMMYFUNCTION("GOOGLETRANSLATE(C888,""fr"",""en"")"),"Axa is less likely to align on the prices")</f>
        <v>Axa is less likely to align on the prices</v>
      </c>
    </row>
    <row r="889" ht="15.75" customHeight="1">
      <c r="A889" s="2">
        <v>5.0</v>
      </c>
      <c r="B889" s="2" t="s">
        <v>2453</v>
      </c>
      <c r="C889" s="2" t="s">
        <v>2454</v>
      </c>
      <c r="D889" s="2" t="s">
        <v>190</v>
      </c>
      <c r="E889" s="2" t="s">
        <v>21</v>
      </c>
      <c r="F889" s="2" t="s">
        <v>15</v>
      </c>
      <c r="G889" s="2" t="s">
        <v>2455</v>
      </c>
      <c r="H889" s="2" t="s">
        <v>35</v>
      </c>
      <c r="I889" s="2" t="str">
        <f>IFERROR(__xludf.DUMMYFUNCTION("GOOGLETRANSLATE(C889,""fr"",""en"")"),"With my husband we had 2 real estate credits (apartment + house), we sold our apartment. We have made a credit renegotiation on our home to reduce the duration of the loan (from 25 years to 7 years). We saw with AFI stop the prices they could offer us kno"&amp;"wing that our 2 loan insurance for the apartment and the house were already at home.
The prices are still as interesting, our file was treated quickly, the advisor was available and listening to us. I recommend.")</f>
        <v>With my husband we had 2 real estate credits (apartment + house), we sold our apartment. We have made a credit renegotiation on our home to reduce the duration of the loan (from 25 years to 7 years). We saw with AFI stop the prices they could offer us knowing that our 2 loan insurance for the apartment and the house were already at home.
The prices are still as interesting, our file was treated quickly, the advisor was available and listening to us. I recommend.</v>
      </c>
    </row>
    <row r="890" ht="15.75" customHeight="1">
      <c r="A890" s="2">
        <v>2.0</v>
      </c>
      <c r="B890" s="2" t="s">
        <v>2456</v>
      </c>
      <c r="C890" s="2" t="s">
        <v>2457</v>
      </c>
      <c r="D890" s="2" t="s">
        <v>26</v>
      </c>
      <c r="E890" s="2" t="s">
        <v>27</v>
      </c>
      <c r="F890" s="2" t="s">
        <v>15</v>
      </c>
      <c r="G890" s="2" t="s">
        <v>1660</v>
      </c>
      <c r="H890" s="2" t="s">
        <v>278</v>
      </c>
      <c r="I890" s="2" t="str">
        <f>IFERROR(__xludf.DUMMYFUNCTION("GOOGLETRANSLATE(C890,""fr"",""en"")"),"So if it was possible to put 0 star at the satisfaction level I would have put it with pleasure. Insurance strong enough to collect money from the accounts of its customers, but not to spend it when it comes to a claim. Without telling you about my life, "&amp;"I live a very bad experience regarding the management of a disaster that took place it's been months. Their number never responds. Impossible to join them or discuss in a long way with an advisor for weeks ... I invite you to flee this insurance as much a"&amp;"s possible.")</f>
        <v>So if it was possible to put 0 star at the satisfaction level I would have put it with pleasure. Insurance strong enough to collect money from the accounts of its customers, but not to spend it when it comes to a claim. Without telling you about my life, I live a very bad experience regarding the management of a disaster that took place it's been months. Their number never responds. Impossible to join them or discuss in a long way with an advisor for weeks ... I invite you to flee this insurance as much as possible.</v>
      </c>
    </row>
    <row r="891" ht="15.75" customHeight="1">
      <c r="A891" s="2">
        <v>1.0</v>
      </c>
      <c r="B891" s="2" t="s">
        <v>2458</v>
      </c>
      <c r="C891" s="2" t="s">
        <v>2459</v>
      </c>
      <c r="D891" s="2" t="s">
        <v>32</v>
      </c>
      <c r="E891" s="2" t="s">
        <v>33</v>
      </c>
      <c r="F891" s="2" t="s">
        <v>15</v>
      </c>
      <c r="G891" s="2" t="s">
        <v>2460</v>
      </c>
      <c r="H891" s="2" t="s">
        <v>571</v>
      </c>
      <c r="I891" s="2" t="str">
        <f>IFERROR(__xludf.DUMMYFUNCTION("GOOGLETRANSLATE(C891,""fr"",""en"")"),"To avoid at all costs. They allow themselves to let their contract value themselves from year to year which means that after 10 years you pay 3 times more. Example after 25 years of loyalty, the transition to the euro was a nice pretext, for a 4 rooms in "&amp;"Paris in minimum guarantees more than € 500 per year")</f>
        <v>To avoid at all costs. They allow themselves to let their contract value themselves from year to year which means that after 10 years you pay 3 times more. Example after 25 years of loyalty, the transition to the euro was a nice pretext, for a 4 rooms in Paris in minimum guarantees more than € 500 per year</v>
      </c>
    </row>
    <row r="892" ht="15.75" customHeight="1">
      <c r="A892" s="2">
        <v>2.0</v>
      </c>
      <c r="B892" s="2" t="s">
        <v>2461</v>
      </c>
      <c r="C892" s="2" t="s">
        <v>2462</v>
      </c>
      <c r="D892" s="2" t="s">
        <v>141</v>
      </c>
      <c r="E892" s="2" t="s">
        <v>33</v>
      </c>
      <c r="F892" s="2" t="s">
        <v>15</v>
      </c>
      <c r="G892" s="2" t="s">
        <v>2463</v>
      </c>
      <c r="H892" s="2" t="s">
        <v>268</v>
      </c>
      <c r="I892" s="2" t="str">
        <f>IFERROR(__xludf.DUMMYFUNCTION("GOOGLETRANSLATE(C892,""fr"",""en"")"),"My opinion: little interest or even brought to customer requests ..... on my RC home insurance, I ask for registration and a certificate concerning taking into account the acquisition of a dog. In response from the MAFF, I receive an amendment without any"&amp;" explanation with a new pricing, of course upwards.
I reply that this form of reaction does not suit me and they specify again my wish ....... nothing to do, no reaction .... the attention of the maaf is paid on an upward contribution! !!!!
C what adver"&amp;"tising: I will have it .... I will have it .. !!!!! it is addressed to the customers of the maff ??????")</f>
        <v>My opinion: little interest or even brought to customer requests ..... on my RC home insurance, I ask for registration and a certificate concerning taking into account the acquisition of a dog. In response from the MAFF, I receive an amendment without any explanation with a new pricing, of course upwards.
I reply that this form of reaction does not suit me and they specify again my wish ....... nothing to do, no reaction .... the attention of the maaf is paid on an upward contribution! !!!!
C what advertising: I will have it .... I will have it .. !!!!! it is addressed to the customers of the maff ??????</v>
      </c>
    </row>
    <row r="893" ht="15.75" customHeight="1">
      <c r="A893" s="2">
        <v>4.0</v>
      </c>
      <c r="B893" s="2" t="s">
        <v>2464</v>
      </c>
      <c r="C893" s="2" t="s">
        <v>2465</v>
      </c>
      <c r="D893" s="2" t="s">
        <v>60</v>
      </c>
      <c r="E893" s="2" t="s">
        <v>14</v>
      </c>
      <c r="F893" s="2" t="s">
        <v>15</v>
      </c>
      <c r="G893" s="2" t="s">
        <v>1117</v>
      </c>
      <c r="H893" s="2" t="s">
        <v>583</v>
      </c>
      <c r="I893" s="2" t="str">
        <f>IFERROR(__xludf.DUMMYFUNCTION("GOOGLETRANSLATE(C893,""fr"",""en"")"),"I was contacting by your Lamia advisor who was very nice welcoming on the phone and very pleasant I will recommend to my loved one as mutual")</f>
        <v>I was contacting by your Lamia advisor who was very nice welcoming on the phone and very pleasant I will recommend to my loved one as mutual</v>
      </c>
    </row>
    <row r="894" ht="15.75" customHeight="1">
      <c r="A894" s="2">
        <v>5.0</v>
      </c>
      <c r="B894" s="2" t="s">
        <v>2466</v>
      </c>
      <c r="C894" s="2" t="s">
        <v>2467</v>
      </c>
      <c r="D894" s="2" t="s">
        <v>44</v>
      </c>
      <c r="E894" s="2" t="s">
        <v>27</v>
      </c>
      <c r="F894" s="2" t="s">
        <v>15</v>
      </c>
      <c r="G894" s="2" t="s">
        <v>1161</v>
      </c>
      <c r="H894" s="2" t="s">
        <v>46</v>
      </c>
      <c r="I894" s="2" t="str">
        <f>IFERROR(__xludf.DUMMYFUNCTION("GOOGLETRANSLATE(C894,""fr"",""en"")"),"I am satisfied DJ Price and service very good offer I am satisfied with the price service I am satisfied DJ Price and service very good offer I am satisfied with the price service")</f>
        <v>I am satisfied DJ Price and service very good offer I am satisfied with the price service I am satisfied DJ Price and service very good offer I am satisfied with the price service</v>
      </c>
    </row>
    <row r="895" ht="15.75" customHeight="1">
      <c r="A895" s="2">
        <v>1.0</v>
      </c>
      <c r="B895" s="2" t="s">
        <v>2468</v>
      </c>
      <c r="C895" s="2" t="s">
        <v>2469</v>
      </c>
      <c r="D895" s="2" t="s">
        <v>84</v>
      </c>
      <c r="E895" s="2" t="s">
        <v>27</v>
      </c>
      <c r="F895" s="2" t="s">
        <v>15</v>
      </c>
      <c r="G895" s="2" t="s">
        <v>2470</v>
      </c>
      <c r="H895" s="2" t="s">
        <v>173</v>
      </c>
      <c r="I895" s="2" t="str">
        <f>IFERROR(__xludf.DUMMYFUNCTION("GOOGLETRANSLATE(C895,""fr"",""en"")"),"Very attractive price at the start to attract the customer and once the contracts are finalized, regular increase in contributions (home insurance: approximately 10% increase per year, car insurance approximately 10% per year pure one and contribution dou"&amp;"bled for the other.
Opening of a current account only by phone and many difficulties on the farm.")</f>
        <v>Very attractive price at the start to attract the customer and once the contracts are finalized, regular increase in contributions (home insurance: approximately 10% increase per year, car insurance approximately 10% per year pure one and contribution doubled for the other.
Opening of a current account only by phone and many difficulties on the farm.</v>
      </c>
    </row>
    <row r="896" ht="15.75" customHeight="1">
      <c r="A896" s="2">
        <v>2.0</v>
      </c>
      <c r="B896" s="2" t="s">
        <v>2471</v>
      </c>
      <c r="C896" s="2" t="s">
        <v>2472</v>
      </c>
      <c r="D896" s="2" t="s">
        <v>26</v>
      </c>
      <c r="E896" s="2" t="s">
        <v>27</v>
      </c>
      <c r="F896" s="2" t="s">
        <v>15</v>
      </c>
      <c r="G896" s="2" t="s">
        <v>2473</v>
      </c>
      <c r="H896" s="2" t="s">
        <v>465</v>
      </c>
      <c r="I896" s="2" t="str">
        <f>IFERROR(__xludf.DUMMYFUNCTION("GOOGLETRANSLATE(C896,""fr"",""en"")"),"Advisor who is there to make numbers !!!
A quote that is not well done correctly to make you change the price.
As soon as you want to correct you ask you 15 euros with each change. Even if the contract has not yet started. And if you explain yourself an"&amp;"d soup the person you have on the phone we hang up on the nose.
Me out of 4 advisers, 2 we hang up. Yet I was calm and very correct finally this to say. I do not recommend this insurance !!!")</f>
        <v>Advisor who is there to make numbers !!!
A quote that is not well done correctly to make you change the price.
As soon as you want to correct you ask you 15 euros with each change. Even if the contract has not yet started. And if you explain yourself and soup the person you have on the phone we hang up on the nose.
Me out of 4 advisers, 2 we hang up. Yet I was calm and very correct finally this to say. I do not recommend this insurance !!!</v>
      </c>
    </row>
    <row r="897" ht="15.75" customHeight="1">
      <c r="A897" s="2">
        <v>5.0</v>
      </c>
      <c r="B897" s="2" t="s">
        <v>2474</v>
      </c>
      <c r="C897" s="2" t="s">
        <v>2475</v>
      </c>
      <c r="D897" s="2" t="s">
        <v>26</v>
      </c>
      <c r="E897" s="2" t="s">
        <v>27</v>
      </c>
      <c r="F897" s="2" t="s">
        <v>15</v>
      </c>
      <c r="G897" s="2" t="s">
        <v>1924</v>
      </c>
      <c r="H897" s="2" t="s">
        <v>41</v>
      </c>
      <c r="I897" s="2" t="str">
        <f>IFERROR(__xludf.DUMMYFUNCTION("GOOGLETRANSLATE(C897,""fr"",""en"")"),"Very advantageous price and very professional customer service.
This insurance was advised to me by a friend and I will not hesitate to advertise it in my turn if everything is going well.")</f>
        <v>Very advantageous price and very professional customer service.
This insurance was advised to me by a friend and I will not hesitate to advertise it in my turn if everything is going well.</v>
      </c>
    </row>
    <row r="898" ht="15.75" customHeight="1">
      <c r="A898" s="2">
        <v>2.0</v>
      </c>
      <c r="B898" s="2" t="s">
        <v>2476</v>
      </c>
      <c r="C898" s="2" t="s">
        <v>2477</v>
      </c>
      <c r="D898" s="2" t="s">
        <v>32</v>
      </c>
      <c r="E898" s="2" t="s">
        <v>27</v>
      </c>
      <c r="F898" s="2" t="s">
        <v>15</v>
      </c>
      <c r="G898" s="2" t="s">
        <v>2478</v>
      </c>
      <c r="H898" s="2" t="s">
        <v>278</v>
      </c>
      <c r="I898" s="2" t="str">
        <f>IFERROR(__xludf.DUMMYFUNCTION("GOOGLETRANSLATE(C898,""fr"",""en"")"),"Flee insurance .... you never have the same answers according to the advisor you have on the phone. And what about agencies .... incompetence must be a hiring criterion. The Macif is much more quick to send you formal formal than you settle what they owe "&amp;"you")</f>
        <v>Flee insurance .... you never have the same answers according to the advisor you have on the phone. And what about agencies .... incompetence must be a hiring criterion. The Macif is much more quick to send you formal formal than you settle what they owe you</v>
      </c>
    </row>
    <row r="899" ht="15.75" customHeight="1">
      <c r="A899" s="2">
        <v>4.0</v>
      </c>
      <c r="B899" s="2" t="s">
        <v>2479</v>
      </c>
      <c r="C899" s="2" t="s">
        <v>2480</v>
      </c>
      <c r="D899" s="2" t="s">
        <v>540</v>
      </c>
      <c r="E899" s="2" t="s">
        <v>14</v>
      </c>
      <c r="F899" s="2" t="s">
        <v>15</v>
      </c>
      <c r="G899" s="2" t="s">
        <v>2481</v>
      </c>
      <c r="H899" s="2" t="s">
        <v>86</v>
      </c>
      <c r="I899" s="2" t="str">
        <f>IFERROR(__xludf.DUMMYFUNCTION("GOOGLETRANSLATE(C899,""fr"",""en"")"),"Hello,
Currently, my employer offers monthly participation up to € 15 for a contract with a labeled mutual insurance company.
After contact with your services, they informed me that you were not.
It is you possible to be a partner in this label so that"&amp;" many people in the same case that I can benefit from this non-negligible participation.
I am very happy with the services offered by the MGP but this non -labeling on your part can make us want to get closer to our mutual which is part of it.
Cordially"&amp;".")</f>
        <v>Hello,
Currently, my employer offers monthly participation up to € 15 for a contract with a labeled mutual insurance company.
After contact with your services, they informed me that you were not.
It is you possible to be a partner in this label so that many people in the same case that I can benefit from this non-negligible participation.
I am very happy with the services offered by the MGP but this non -labeling on your part can make us want to get closer to our mutual which is part of it.
Cordially.</v>
      </c>
    </row>
    <row r="900" ht="15.75" customHeight="1">
      <c r="A900" s="2">
        <v>3.0</v>
      </c>
      <c r="B900" s="2" t="s">
        <v>2482</v>
      </c>
      <c r="C900" s="2" t="s">
        <v>2483</v>
      </c>
      <c r="D900" s="2" t="s">
        <v>44</v>
      </c>
      <c r="E900" s="2" t="s">
        <v>27</v>
      </c>
      <c r="F900" s="2" t="s">
        <v>15</v>
      </c>
      <c r="G900" s="2" t="s">
        <v>856</v>
      </c>
      <c r="H900" s="2" t="s">
        <v>57</v>
      </c>
      <c r="I900" s="2" t="str">
        <f>IFERROR(__xludf.DUMMYFUNCTION("GOOGLETRANSLATE(C900,""fr"",""en"")")," Hello
My subscription went from 378..07 € to 415..75 € in 1 year!
I find that it is a lot and not necessarily justified.
At this rate, you will quickly catch up with the competition")</f>
        <v> Hello
My subscription went from 378..07 € to 415..75 € in 1 year!
I find that it is a lot and not necessarily justified.
At this rate, you will quickly catch up with the competition</v>
      </c>
    </row>
    <row r="901" ht="15.75" customHeight="1">
      <c r="A901" s="2">
        <v>5.0</v>
      </c>
      <c r="B901" s="2" t="s">
        <v>2484</v>
      </c>
      <c r="C901" s="2" t="s">
        <v>2485</v>
      </c>
      <c r="D901" s="2" t="s">
        <v>105</v>
      </c>
      <c r="E901" s="2" t="s">
        <v>39</v>
      </c>
      <c r="F901" s="2" t="s">
        <v>15</v>
      </c>
      <c r="G901" s="2" t="s">
        <v>2043</v>
      </c>
      <c r="H901" s="2" t="s">
        <v>320</v>
      </c>
      <c r="I901" s="2" t="str">
        <f>IFERROR(__xludf.DUMMYFUNCTION("GOOGLETRANSLATE(C901,""fr"",""en"")"),"Always satisfied for a very long time. No competition valid for the motorcycle. And now car.")</f>
        <v>Always satisfied for a very long time. No competition valid for the motorcycle. And now car.</v>
      </c>
    </row>
    <row r="902" ht="15.75" customHeight="1">
      <c r="A902" s="2">
        <v>2.0</v>
      </c>
      <c r="B902" s="2" t="s">
        <v>2486</v>
      </c>
      <c r="C902" s="2" t="s">
        <v>2487</v>
      </c>
      <c r="D902" s="2" t="s">
        <v>109</v>
      </c>
      <c r="E902" s="2" t="s">
        <v>27</v>
      </c>
      <c r="F902" s="2" t="s">
        <v>15</v>
      </c>
      <c r="G902" s="2" t="s">
        <v>2278</v>
      </c>
      <c r="H902" s="2" t="s">
        <v>86</v>
      </c>
      <c r="I902" s="2" t="str">
        <f>IFERROR(__xludf.DUMMYFUNCTION("GOOGLETRANSLATE(C902,""fr"",""en"")"),"I have been insured at the Matmut for over 20 years, I have noticed for more than one lack of seriousness on the part of this insurance.
Difficulties to have a return when you want to operate the insurance ""that we pay every month"". On a advisor calls "&amp;"you every day when you make a quote for this same insurance. Wishing to terminate 2 contracts at the end of the year I therefore sent a letter with acknowledgment of receipt on November 21 for this request. In December I receive my schedule for 2021 for m"&amp;"y car insurance and I see that the 2 contracts supposed to be terminated are on it.
I contact the matmut again by email on this subject ... I am still waiting for an answer ...")</f>
        <v>I have been insured at the Matmut for over 20 years, I have noticed for more than one lack of seriousness on the part of this insurance.
Difficulties to have a return when you want to operate the insurance "that we pay every month". On a advisor calls you every day when you make a quote for this same insurance. Wishing to terminate 2 contracts at the end of the year I therefore sent a letter with acknowledgment of receipt on November 21 for this request. In December I receive my schedule for 2021 for my car insurance and I see that the 2 contracts supposed to be terminated are on it.
I contact the matmut again by email on this subject ... I am still waiting for an answer ...</v>
      </c>
    </row>
    <row r="903" ht="15.75" customHeight="1">
      <c r="A903" s="2">
        <v>1.0</v>
      </c>
      <c r="B903" s="2" t="s">
        <v>2488</v>
      </c>
      <c r="C903" s="2" t="s">
        <v>2489</v>
      </c>
      <c r="D903" s="2" t="s">
        <v>141</v>
      </c>
      <c r="E903" s="2" t="s">
        <v>27</v>
      </c>
      <c r="F903" s="2" t="s">
        <v>15</v>
      </c>
      <c r="G903" s="2" t="s">
        <v>2490</v>
      </c>
      <c r="H903" s="2" t="s">
        <v>529</v>
      </c>
      <c r="I903" s="2" t="str">
        <f>IFERROR(__xludf.DUMMYFUNCTION("GOOGLETRANSLATE(C903,""fr"",""en"")")," Unconditional customers of the MAAF for 50 years 2 vehicles, 1 motorhome, housing, secondary resid, 2 life insurance, 1 professional professional, 1 vacuum apartment, life accident, also car and housing for one of our sons , it is noted that the current "&amp;"policy of this mutual has deteriorated: no consideration and the search for everything that can allow them not to compensate you, in 50 years we have had no responsible accident and from a month our car was stolen and beyond we made a false statement: the"&amp;"y threaten us not to compensate ourselves (previously we had the visit of one of their investigator when our aircraft a claim) which is its own 'An agency / aux assur on the web. Everything has been governed since Niort and we are only pawn pawns. At our "&amp;"ages 75 and 82 it is difficult. Well do not send an investigator to prove our good faith?
 ")</f>
        <v> Unconditional customers of the MAAF for 50 years 2 vehicles, 1 motorhome, housing, secondary resid, 2 life insurance, 1 professional professional, 1 vacuum apartment, life accident, also car and housing for one of our sons , it is noted that the current policy of this mutual has deteriorated: no consideration and the search for everything that can allow them not to compensate you, in 50 years we have had no responsible accident and from a month our car was stolen and beyond we made a false statement: they threaten us not to compensate ourselves (previously we had the visit of one of their investigator when our aircraft a claim) which is its own 'An agency / aux assur on the web. Everything has been governed since Niort and we are only pawn pawns. At our ages 75 and 82 it is difficult. Well do not send an investigator to prove our good faith?
 </v>
      </c>
    </row>
    <row r="904" ht="15.75" customHeight="1">
      <c r="A904" s="2">
        <v>4.0</v>
      </c>
      <c r="B904" s="2" t="s">
        <v>2491</v>
      </c>
      <c r="C904" s="2" t="s">
        <v>2492</v>
      </c>
      <c r="D904" s="2" t="s">
        <v>26</v>
      </c>
      <c r="E904" s="2" t="s">
        <v>27</v>
      </c>
      <c r="F904" s="2" t="s">
        <v>15</v>
      </c>
      <c r="G904" s="2" t="s">
        <v>532</v>
      </c>
      <c r="H904" s="2" t="s">
        <v>159</v>
      </c>
      <c r="I904" s="2" t="str">
        <f>IFERROR(__xludf.DUMMYFUNCTION("GOOGLETRANSLATE(C904,""fr"",""en"")"),"Very good telephone interview, pleasant staff, attractive price, I am currently delighted with this insurance for my first vehicle. I hope to continue with it for a long time.")</f>
        <v>Very good telephone interview, pleasant staff, attractive price, I am currently delighted with this insurance for my first vehicle. I hope to continue with it for a long time.</v>
      </c>
    </row>
    <row r="905" ht="15.75" customHeight="1">
      <c r="A905" s="2">
        <v>3.0</v>
      </c>
      <c r="B905" s="2" t="s">
        <v>2493</v>
      </c>
      <c r="C905" s="2" t="s">
        <v>2494</v>
      </c>
      <c r="D905" s="2" t="s">
        <v>44</v>
      </c>
      <c r="E905" s="2" t="s">
        <v>27</v>
      </c>
      <c r="F905" s="2" t="s">
        <v>15</v>
      </c>
      <c r="G905" s="2" t="s">
        <v>506</v>
      </c>
      <c r="H905" s="2" t="s">
        <v>35</v>
      </c>
      <c r="I905" s="2" t="str">
        <f>IFERROR(__xludf.DUMMYFUNCTION("GOOGLETRANSLATE(C905,""fr"",""en"")"),"Affordable prices, I hope that in the event of a claim I am not disappointed with online insurance. Pending end of the year of the drop in the penalty ..........")</f>
        <v>Affordable prices, I hope that in the event of a claim I am not disappointed with online insurance. Pending end of the year of the drop in the penalty ..........</v>
      </c>
    </row>
    <row r="906" ht="15.75" customHeight="1">
      <c r="A906" s="2">
        <v>4.0</v>
      </c>
      <c r="B906" s="2" t="s">
        <v>2495</v>
      </c>
      <c r="C906" s="2" t="s">
        <v>2496</v>
      </c>
      <c r="D906" s="2" t="s">
        <v>148</v>
      </c>
      <c r="E906" s="2" t="s">
        <v>33</v>
      </c>
      <c r="F906" s="2" t="s">
        <v>15</v>
      </c>
      <c r="G906" s="2" t="s">
        <v>2497</v>
      </c>
      <c r="H906" s="2" t="s">
        <v>86</v>
      </c>
      <c r="I906" s="2" t="str">
        <f>IFERROR(__xludf.DUMMYFUNCTION("GOOGLETRANSLATE(C906,""fr"",""en"")"),"The Maif treats my 2 year old file without ever letting go and always listening to me. I am very proud to be part of the MAIF members. Finally insurance worthy of the name. I thank the interlocutors (Mr Go and MR Micquel) who lived up to their mission. It"&amp;" was not won automatically and I did not spare them but they have always been listening to me.
Thank you again for your involvement")</f>
        <v>The Maif treats my 2 year old file without ever letting go and always listening to me. I am very proud to be part of the MAIF members. Finally insurance worthy of the name. I thank the interlocutors (Mr Go and MR Micquel) who lived up to their mission. It was not won automatically and I did not spare them but they have always been listening to me.
Thank you again for your involvement</v>
      </c>
    </row>
    <row r="907" ht="15.75" customHeight="1">
      <c r="A907" s="2">
        <v>1.0</v>
      </c>
      <c r="B907" s="2" t="s">
        <v>2498</v>
      </c>
      <c r="C907" s="2" t="s">
        <v>2499</v>
      </c>
      <c r="D907" s="2" t="s">
        <v>134</v>
      </c>
      <c r="E907" s="2" t="s">
        <v>27</v>
      </c>
      <c r="F907" s="2" t="s">
        <v>15</v>
      </c>
      <c r="G907" s="2" t="s">
        <v>2500</v>
      </c>
      <c r="H907" s="2" t="s">
        <v>23</v>
      </c>
      <c r="I907" s="2" t="str">
        <f>IFERROR(__xludf.DUMMYFUNCTION("GOOGLETRANSLATE(C907,""fr"",""en"")"),"The motorcycle insurance rate practiced by the GMF with equal guarantees is much higher than many companies. With three auto and motorcycle insurance and having had no claim for several years, I find that GMF does not make too much commercial gesture to k"&amp;"eep its loyal members (subscription in 1977!)")</f>
        <v>The motorcycle insurance rate practiced by the GMF with equal guarantees is much higher than many companies. With three auto and motorcycle insurance and having had no claim for several years, I find that GMF does not make too much commercial gesture to keep its loyal members (subscription in 1977!)</v>
      </c>
    </row>
    <row r="908" ht="15.75" customHeight="1">
      <c r="A908" s="2">
        <v>1.0</v>
      </c>
      <c r="B908" s="2" t="s">
        <v>2501</v>
      </c>
      <c r="C908" s="2" t="s">
        <v>2502</v>
      </c>
      <c r="D908" s="2" t="s">
        <v>75</v>
      </c>
      <c r="E908" s="2" t="s">
        <v>76</v>
      </c>
      <c r="F908" s="2" t="s">
        <v>15</v>
      </c>
      <c r="G908" s="2" t="s">
        <v>2503</v>
      </c>
      <c r="H908" s="2" t="s">
        <v>448</v>
      </c>
      <c r="I908" s="2" t="str">
        <f>IFERROR(__xludf.DUMMYFUNCTION("GOOGLETRANSLATE(C908,""fr"",""en"")"),"My dad is elderly, he wishes to liquidate life insurance from La Banque Postale in Angers Doutre and the director takes advantage of his weakness not to do this liquidation. He does not even want me to accompany my father while, former financial director "&amp;"of international groups and currently business manager, this action is my role and my skills. A complaint for attempted abuse of weakness will be filed against the postal bank and against the director of this agency. What good is it to place funds at this"&amp;" bank !!!")</f>
        <v>My dad is elderly, he wishes to liquidate life insurance from La Banque Postale in Angers Doutre and the director takes advantage of his weakness not to do this liquidation. He does not even want me to accompany my father while, former financial director of international groups and currently business manager, this action is my role and my skills. A complaint for attempted abuse of weakness will be filed against the postal bank and against the director of this agency. What good is it to place funds at this bank !!!</v>
      </c>
    </row>
    <row r="909" ht="15.75" customHeight="1">
      <c r="A909" s="2">
        <v>3.0</v>
      </c>
      <c r="B909" s="2" t="s">
        <v>2504</v>
      </c>
      <c r="C909" s="2" t="s">
        <v>2505</v>
      </c>
      <c r="D909" s="2" t="s">
        <v>44</v>
      </c>
      <c r="E909" s="2" t="s">
        <v>27</v>
      </c>
      <c r="F909" s="2" t="s">
        <v>15</v>
      </c>
      <c r="G909" s="2" t="s">
        <v>1680</v>
      </c>
      <c r="H909" s="2" t="s">
        <v>41</v>
      </c>
      <c r="I909" s="2" t="str">
        <f>IFERROR(__xludf.DUMMYFUNCTION("GOOGLETRANSLATE(C909,""fr"",""en"")"),"I am satisfied with the prices and I have not yet dealt with a disaster regulations for my apartment in Malaunay on the 3rd floor of the building of the almost")</f>
        <v>I am satisfied with the prices and I have not yet dealt with a disaster regulations for my apartment in Malaunay on the 3rd floor of the building of the almost</v>
      </c>
    </row>
    <row r="910" ht="15.75" customHeight="1">
      <c r="A910" s="2">
        <v>1.0</v>
      </c>
      <c r="B910" s="2" t="s">
        <v>2506</v>
      </c>
      <c r="C910" s="2" t="s">
        <v>2507</v>
      </c>
      <c r="D910" s="2" t="s">
        <v>32</v>
      </c>
      <c r="E910" s="2" t="s">
        <v>33</v>
      </c>
      <c r="F910" s="2" t="s">
        <v>15</v>
      </c>
      <c r="G910" s="2" t="s">
        <v>2508</v>
      </c>
      <c r="H910" s="2" t="s">
        <v>571</v>
      </c>
      <c r="I910" s="2" t="str">
        <f>IFERROR(__xludf.DUMMYFUNCTION("GOOGLETRANSLATE(C910,""fr"",""en"")"),"Hello to Internet users. I have been in the Macif for many years. I am about to leave this insurer who does not give me satisfaction. I have called many times to send me what is necessary so that I can renew all my contracts with them. Despite all my tele"&amp;"phone reminders, none of the employees in Niort were able to send me these papers. I ended up sending a letter to the administrative manager. And the envelope, I ended up having it and no excuse. What slab!
For more than 2 1/2 months, I have changed a cl"&amp;"ause of the home contract. The Macif must reimburse me for a certain amount. The promises I had on the phone were not kept. Not only are they incompetent, but in addition, they lie cheerfully. I must also be reimbursed too much perceived on the mutual. I "&amp;"think all of this will end badly because I am someone who does not allow themselves to be done. Courage to all those who have PBS with them. The Macif is not alone on the market. And then there are appeals .... a good hearing, hi .... ch")</f>
        <v>Hello to Internet users. I have been in the Macif for many years. I am about to leave this insurer who does not give me satisfaction. I have called many times to send me what is necessary so that I can renew all my contracts with them. Despite all my telephone reminders, none of the employees in Niort were able to send me these papers. I ended up sending a letter to the administrative manager. And the envelope, I ended up having it and no excuse. What slab!
For more than 2 1/2 months, I have changed a clause of the home contract. The Macif must reimburse me for a certain amount. The promises I had on the phone were not kept. Not only are they incompetent, but in addition, they lie cheerfully. I must also be reimbursed too much perceived on the mutual. I think all of this will end badly because I am someone who does not allow themselves to be done. Courage to all those who have PBS with them. The Macif is not alone on the market. And then there are appeals .... a good hearing, hi .... ch</v>
      </c>
    </row>
    <row r="911" ht="15.75" customHeight="1">
      <c r="A911" s="2">
        <v>3.0</v>
      </c>
      <c r="B911" s="2" t="s">
        <v>2509</v>
      </c>
      <c r="C911" s="2" t="s">
        <v>2510</v>
      </c>
      <c r="D911" s="2" t="s">
        <v>44</v>
      </c>
      <c r="E911" s="2" t="s">
        <v>27</v>
      </c>
      <c r="F911" s="2" t="s">
        <v>15</v>
      </c>
      <c r="G911" s="2" t="s">
        <v>2511</v>
      </c>
      <c r="H911" s="2" t="s">
        <v>403</v>
      </c>
      <c r="I911" s="2" t="str">
        <f>IFERROR(__xludf.DUMMYFUNCTION("GOOGLETRANSLATE(C911,""fr"",""en"")"),"When I wanted to ensure a second vehicle, I had to make an incompetent who did not check my file. My new contract was not correct and we refuse to make sure my 2nd car the worst is that for the 3 months ahead paid I am held back a game for costs.")</f>
        <v>When I wanted to ensure a second vehicle, I had to make an incompetent who did not check my file. My new contract was not correct and we refuse to make sure my 2nd car the worst is that for the 3 months ahead paid I am held back a game for costs.</v>
      </c>
    </row>
    <row r="912" ht="15.75" customHeight="1">
      <c r="A912" s="2">
        <v>1.0</v>
      </c>
      <c r="B912" s="2" t="s">
        <v>2512</v>
      </c>
      <c r="C912" s="2" t="s">
        <v>2513</v>
      </c>
      <c r="D912" s="2" t="s">
        <v>683</v>
      </c>
      <c r="E912" s="2" t="s">
        <v>39</v>
      </c>
      <c r="F912" s="2" t="s">
        <v>15</v>
      </c>
      <c r="G912" s="2" t="s">
        <v>159</v>
      </c>
      <c r="H912" s="2" t="s">
        <v>159</v>
      </c>
      <c r="I912" s="2" t="str">
        <f>IFERROR(__xludf.DUMMYFUNCTION("GOOGLETRANSLATE(C912,""fr"",""en"")"),"Perfect insurance as long as we are not the victim of a disaster ...
Otherwise, everything is done so that compensation is the most complex and uncertain possible ...
I strongly advise against
")</f>
        <v>Perfect insurance as long as we are not the victim of a disaster ...
Otherwise, everything is done so that compensation is the most complex and uncertain possible ...
I strongly advise against
</v>
      </c>
    </row>
    <row r="913" ht="15.75" customHeight="1">
      <c r="A913" s="2">
        <v>1.0</v>
      </c>
      <c r="B913" s="2" t="s">
        <v>2514</v>
      </c>
      <c r="C913" s="2" t="s">
        <v>2515</v>
      </c>
      <c r="D913" s="2" t="s">
        <v>44</v>
      </c>
      <c r="E913" s="2" t="s">
        <v>27</v>
      </c>
      <c r="F913" s="2" t="s">
        <v>15</v>
      </c>
      <c r="G913" s="2" t="s">
        <v>277</v>
      </c>
      <c r="H913" s="2" t="s">
        <v>278</v>
      </c>
      <c r="I913" s="2" t="str">
        <f>IFERROR(__xludf.DUMMYFUNCTION("GOOGLETRANSLATE(C913,""fr"",""en"")"),"Direct insurance or ""tell us what you need, and we will tell you (or not) how to do without .....
I comment: 66 -year -old driver, former representative (100,000km per year for 40 years), never an accident, 12 points on my license, 50% bonus for at leas"&amp;"t 30 years!
I changed my insurance 3 years ago (retired, no small savings, direct insurance - at the start - was the best value for money)
In July, my wife has a small hanging by an indelicate driver (left without leaving an address, of course) in a par"&amp;"king lot, then the same day drives the right back door a little more (the one already damaged in the parking lot) Because of a small wall of our court.
Being assured of all risks, I contact the insurance which sends me a document relating the circumstanc"&amp;"es of the accident, which I refer in stride ....
And since .... nothing !!!! I called every month, every 15 days to know the follow-up of the file: Direct Insurance response ... Each time the file is at the technical control, you cannot tell you when it "&amp;"is processed, blah-blah -Bla .....
Either the technical control in question is incompetent, or asleep by COVVID, or (what I think) it is me that we think to sleep !!!!!!
Fortunately, this is just a little crumpled sheet, that the car normally !!!!!
Che"&amp;"rry on the cake: I have just received my maturity notice for the year 2021: increase of 11% !!!!! (while accidents were fewer in 2020 ....)
In short, in conclusion, I would say: direct insurance: to flee !!!!!!")</f>
        <v>Direct insurance or "tell us what you need, and we will tell you (or not) how to do without .....
I comment: 66 -year -old driver, former representative (100,000km per year for 40 years), never an accident, 12 points on my license, 50% bonus for at least 30 years!
I changed my insurance 3 years ago (retired, no small savings, direct insurance - at the start - was the best value for money)
In July, my wife has a small hanging by an indelicate driver (left without leaving an address, of course) in a parking lot, then the same day drives the right back door a little more (the one already damaged in the parking lot) Because of a small wall of our court.
Being assured of all risks, I contact the insurance which sends me a document relating the circumstances of the accident, which I refer in stride ....
And since .... nothing !!!! I called every month, every 15 days to know the follow-up of the file: Direct Insurance response ... Each time the file is at the technical control, you cannot tell you when it is processed, blah-blah -Bla .....
Either the technical control in question is incompetent, or asleep by COVVID, or (what I think) it is me that we think to sleep !!!!!!
Fortunately, this is just a little crumpled sheet, that the car normally !!!!!
Cherry on the cake: I have just received my maturity notice for the year 2021: increase of 11% !!!!! (while accidents were fewer in 2020 ....)
In short, in conclusion, I would say: direct insurance: to flee !!!!!!</v>
      </c>
    </row>
    <row r="914" ht="15.75" customHeight="1">
      <c r="A914" s="2">
        <v>1.0</v>
      </c>
      <c r="B914" s="2" t="s">
        <v>2516</v>
      </c>
      <c r="C914" s="2" t="s">
        <v>2517</v>
      </c>
      <c r="D914" s="2" t="s">
        <v>165</v>
      </c>
      <c r="E914" s="2" t="s">
        <v>27</v>
      </c>
      <c r="F914" s="2" t="s">
        <v>15</v>
      </c>
      <c r="G914" s="2" t="s">
        <v>2518</v>
      </c>
      <c r="H914" s="2" t="s">
        <v>448</v>
      </c>
      <c r="I914" s="2" t="str">
        <f>IFERROR(__xludf.DUMMYFUNCTION("GOOGLETRANSLATE(C914,""fr"",""en"")"),"Insured for a vehicle for more than 3 years .. and when I call for them that I change my vehicle I am inquired that Eurofil no longer wants to make sure and all that without giving me the slightest explanation. To say that I was advertising them ... Now i"&amp;"t's not going to be the case anymore !!!")</f>
        <v>Insured for a vehicle for more than 3 years .. and when I call for them that I change my vehicle I am inquired that Eurofil no longer wants to make sure and all that without giving me the slightest explanation. To say that I was advertising them ... Now it's not going to be the case anymore !!!</v>
      </c>
    </row>
    <row r="915" ht="15.75" customHeight="1">
      <c r="A915" s="2">
        <v>1.0</v>
      </c>
      <c r="B915" s="2" t="s">
        <v>2519</v>
      </c>
      <c r="C915" s="2" t="s">
        <v>2520</v>
      </c>
      <c r="D915" s="2" t="s">
        <v>70</v>
      </c>
      <c r="E915" s="2" t="s">
        <v>14</v>
      </c>
      <c r="F915" s="2" t="s">
        <v>15</v>
      </c>
      <c r="G915" s="2" t="s">
        <v>748</v>
      </c>
      <c r="H915" s="2" t="s">
        <v>159</v>
      </c>
      <c r="I915" s="2" t="str">
        <f>IFERROR(__xludf.DUMMYFUNCTION("GOOGLETRANSLATE(C915,""fr"",""en"")"),"Very disappointed, the people who answer on the phone never say the same thing, we walk to you to reimburse you as late as possible. Very bad mutual.")</f>
        <v>Very disappointed, the people who answer on the phone never say the same thing, we walk to you to reimburse you as late as possible. Very bad mutual.</v>
      </c>
    </row>
    <row r="916" ht="15.75" customHeight="1">
      <c r="A916" s="2">
        <v>1.0</v>
      </c>
      <c r="B916" s="2" t="s">
        <v>2521</v>
      </c>
      <c r="C916" s="2" t="s">
        <v>2522</v>
      </c>
      <c r="D916" s="2" t="s">
        <v>204</v>
      </c>
      <c r="E916" s="2" t="s">
        <v>76</v>
      </c>
      <c r="F916" s="2" t="s">
        <v>15</v>
      </c>
      <c r="G916" s="2" t="s">
        <v>1683</v>
      </c>
      <c r="H916" s="2" t="s">
        <v>922</v>
      </c>
      <c r="I916" s="2" t="str">
        <f>IFERROR(__xludf.DUMMYFUNCTION("GOOGLETRANSLATE(C916,""fr"",""en"")"),"Flee Allianz
Their directors made my mother take 5000EUR of AGF funeral by promising 2.5% minimum ,,, C is negative ,,, normal say Allianz and the mediator, it is a tectic rate kept by Allianz ,,, My mother who pays social security contributions ,, flee "&amp;"Allianz")</f>
        <v>Flee Allianz
Their directors made my mother take 5000EUR of AGF funeral by promising 2.5% minimum ,,, C is negative ,,, normal say Allianz and the mediator, it is a tectic rate kept by Allianz ,,, My mother who pays social security contributions ,, flee Allianz</v>
      </c>
    </row>
    <row r="917" ht="15.75" customHeight="1">
      <c r="A917" s="2">
        <v>5.0</v>
      </c>
      <c r="B917" s="2" t="s">
        <v>2523</v>
      </c>
      <c r="C917" s="2" t="s">
        <v>2524</v>
      </c>
      <c r="D917" s="2" t="s">
        <v>44</v>
      </c>
      <c r="E917" s="2" t="s">
        <v>27</v>
      </c>
      <c r="F917" s="2" t="s">
        <v>15</v>
      </c>
      <c r="G917" s="2" t="s">
        <v>1572</v>
      </c>
      <c r="H917" s="2" t="s">
        <v>46</v>
      </c>
      <c r="I917" s="2" t="str">
        <f>IFERROR(__xludf.DUMMYFUNCTION("GOOGLETRANSLATE(C917,""fr"",""en"")"),"The quote was very clear with all the explanations on the various guarantees as well as franchises. Very good price given the proposed warranty")</f>
        <v>The quote was very clear with all the explanations on the various guarantees as well as franchises. Very good price given the proposed warranty</v>
      </c>
    </row>
    <row r="918" ht="15.75" customHeight="1">
      <c r="A918" s="2">
        <v>4.0</v>
      </c>
      <c r="B918" s="2" t="s">
        <v>2525</v>
      </c>
      <c r="C918" s="2" t="s">
        <v>2526</v>
      </c>
      <c r="D918" s="2" t="s">
        <v>540</v>
      </c>
      <c r="E918" s="2" t="s">
        <v>14</v>
      </c>
      <c r="F918" s="2" t="s">
        <v>15</v>
      </c>
      <c r="G918" s="2" t="s">
        <v>886</v>
      </c>
      <c r="H918" s="2" t="s">
        <v>86</v>
      </c>
      <c r="I918" s="2" t="str">
        <f>IFERROR(__xludf.DUMMYFUNCTION("GOOGLETRANSLATE(C918,""fr"",""en"")"),"Adherent to this mutual since 1974 I can only congratulate myself for having chosen this one. Indeed the problems that I have encountered were resolved quickly and with satisfaction. Refunds are operated in a very short period of time and with precision. "&amp;"Likewise I can only be satisfied with the telephonic meetings that I had obtained each time clear and precise information and this with always courtesy whatever my interlocutor.")</f>
        <v>Adherent to this mutual since 1974 I can only congratulate myself for having chosen this one. Indeed the problems that I have encountered were resolved quickly and with satisfaction. Refunds are operated in a very short period of time and with precision. Likewise I can only be satisfied with the telephonic meetings that I had obtained each time clear and precise information and this with always courtesy whatever my interlocutor.</v>
      </c>
    </row>
    <row r="919" ht="15.75" customHeight="1">
      <c r="A919" s="2">
        <v>2.0</v>
      </c>
      <c r="B919" s="2" t="s">
        <v>2527</v>
      </c>
      <c r="C919" s="2" t="s">
        <v>2528</v>
      </c>
      <c r="D919" s="2" t="s">
        <v>105</v>
      </c>
      <c r="E919" s="2" t="s">
        <v>39</v>
      </c>
      <c r="F919" s="2" t="s">
        <v>15</v>
      </c>
      <c r="G919" s="2" t="s">
        <v>2529</v>
      </c>
      <c r="H919" s="2" t="s">
        <v>519</v>
      </c>
      <c r="I919" s="2" t="str">
        <f>IFERROR(__xludf.DUMMYFUNCTION("GOOGLETRANSLATE(C919,""fr"",""en"")"),"I just made my motorcycle inside at AMV. I asked that my wife who has just obtained the permit could be put in the second driver on the bike. It was retorted that it was impossible because she had a car accident responsible a year ago (negligible accident"&amp;", bonus 50% for 10 years, no other disaster for more than 20 years by car). I find that deplorable Given the file. He will not see me again next year and the message has passed through the school motorcycles of the region and the forums !!")</f>
        <v>I just made my motorcycle inside at AMV. I asked that my wife who has just obtained the permit could be put in the second driver on the bike. It was retorted that it was impossible because she had a car accident responsible a year ago (negligible accident, bonus 50% for 10 years, no other disaster for more than 20 years by car). I find that deplorable Given the file. He will not see me again next year and the message has passed through the school motorcycles of the region and the forums !!</v>
      </c>
    </row>
    <row r="920" ht="15.75" customHeight="1">
      <c r="A920" s="2">
        <v>2.0</v>
      </c>
      <c r="B920" s="2" t="s">
        <v>2530</v>
      </c>
      <c r="C920" s="2" t="s">
        <v>2531</v>
      </c>
      <c r="D920" s="2" t="s">
        <v>237</v>
      </c>
      <c r="E920" s="2" t="s">
        <v>14</v>
      </c>
      <c r="F920" s="2" t="s">
        <v>15</v>
      </c>
      <c r="G920" s="2" t="s">
        <v>2532</v>
      </c>
      <c r="H920" s="2" t="s">
        <v>294</v>
      </c>
      <c r="I920" s="2" t="str">
        <f>IFERROR(__xludf.DUMMYFUNCTION("GOOGLETRANSLATE(C920,""fr"",""en"")"),"Can! Teletransmissions blocked for 14 months and they do nothing. Do not answer emails (despite taking into account ...), and 40 minimum to have them at such. Deplurable! Lamentable! ........")</f>
        <v>Can! Teletransmissions blocked for 14 months and they do nothing. Do not answer emails (despite taking into account ...), and 40 minimum to have them at such. Deplurable! Lamentable! ........</v>
      </c>
    </row>
    <row r="921" ht="15.75" customHeight="1">
      <c r="A921" s="2">
        <v>3.0</v>
      </c>
      <c r="B921" s="2" t="s">
        <v>2533</v>
      </c>
      <c r="C921" s="2" t="s">
        <v>2534</v>
      </c>
      <c r="D921" s="2" t="s">
        <v>44</v>
      </c>
      <c r="E921" s="2" t="s">
        <v>27</v>
      </c>
      <c r="F921" s="2" t="s">
        <v>15</v>
      </c>
      <c r="G921" s="2" t="s">
        <v>2535</v>
      </c>
      <c r="H921" s="2" t="s">
        <v>111</v>
      </c>
      <c r="I921" s="2" t="str">
        <f>IFERROR(__xludf.DUMMYFUNCTION("GOOGLETRANSLATE(C921,""fr"",""en"")"),"I am satisfied but the prices are expensive for a car of this sax type in 4 horses, the young permits are not necessarily in good financial situation")</f>
        <v>I am satisfied but the prices are expensive for a car of this sax type in 4 horses, the young permits are not necessarily in good financial situation</v>
      </c>
    </row>
    <row r="922" ht="15.75" customHeight="1">
      <c r="A922" s="2">
        <v>3.0</v>
      </c>
      <c r="B922" s="2" t="s">
        <v>2536</v>
      </c>
      <c r="C922" s="2" t="s">
        <v>2537</v>
      </c>
      <c r="D922" s="2" t="s">
        <v>26</v>
      </c>
      <c r="E922" s="2" t="s">
        <v>27</v>
      </c>
      <c r="F922" s="2" t="s">
        <v>15</v>
      </c>
      <c r="G922" s="2" t="s">
        <v>1135</v>
      </c>
      <c r="H922" s="2" t="s">
        <v>159</v>
      </c>
      <c r="I922" s="2" t="str">
        <f>IFERROR(__xludf.DUMMYFUNCTION("GOOGLETRANSLATE(C922,""fr"",""en"")"),"Satisfied with the service thank you
I was advised on the phone (thanks to Joeffray)
The quotes were made quickly, with details and advice
No loss of time")</f>
        <v>Satisfied with the service thank you
I was advised on the phone (thanks to Joeffray)
The quotes were made quickly, with details and advice
No loss of time</v>
      </c>
    </row>
    <row r="923" ht="15.75" customHeight="1">
      <c r="A923" s="2">
        <v>5.0</v>
      </c>
      <c r="B923" s="2" t="s">
        <v>2538</v>
      </c>
      <c r="C923" s="2" t="s">
        <v>2539</v>
      </c>
      <c r="D923" s="2" t="s">
        <v>105</v>
      </c>
      <c r="E923" s="2" t="s">
        <v>39</v>
      </c>
      <c r="F923" s="2" t="s">
        <v>15</v>
      </c>
      <c r="G923" s="2" t="s">
        <v>52</v>
      </c>
      <c r="H923" s="2" t="s">
        <v>41</v>
      </c>
      <c r="I923" s="2" t="str">
        <f>IFERROR(__xludf.DUMMYFUNCTION("GOOGLETRANSLATE(C923,""fr"",""en"")"),"Insured for several decades at AMV and for several motorcycles, I have never had to complain about their services, their prices are advantageous if you have several motorcycles and in the event of claims I have always been contacted and informed on the pr"&amp;"ogress of my file. The AMV site is very complete and allows you to manage your contracts as you wish. Really very satisfied.")</f>
        <v>Insured for several decades at AMV and for several motorcycles, I have never had to complain about their services, their prices are advantageous if you have several motorcycles and in the event of claims I have always been contacted and informed on the progress of my file. The AMV site is very complete and allows you to manage your contracts as you wish. Really very satisfied.</v>
      </c>
    </row>
    <row r="924" ht="15.75" customHeight="1">
      <c r="A924" s="2">
        <v>2.0</v>
      </c>
      <c r="B924" s="2" t="s">
        <v>2540</v>
      </c>
      <c r="C924" s="2" t="s">
        <v>2541</v>
      </c>
      <c r="D924" s="2" t="s">
        <v>252</v>
      </c>
      <c r="E924" s="2" t="s">
        <v>14</v>
      </c>
      <c r="F924" s="2" t="s">
        <v>15</v>
      </c>
      <c r="G924" s="2" t="s">
        <v>2542</v>
      </c>
      <c r="H924" s="2" t="s">
        <v>343</v>
      </c>
      <c r="I924" s="2" t="str">
        <f>IFERROR(__xludf.DUMMYFUNCTION("GOOGLETRANSLATE(C924,""fr"",""en"")"),"I have to wait for the Security Decounts to be reimbursed I receive them every 3 months guess the financial gene of 2021 I will fled April")</f>
        <v>I have to wait for the Security Decounts to be reimbursed I receive them every 3 months guess the financial gene of 2021 I will fled April</v>
      </c>
    </row>
    <row r="925" ht="15.75" customHeight="1">
      <c r="A925" s="2">
        <v>4.0</v>
      </c>
      <c r="B925" s="2" t="s">
        <v>2543</v>
      </c>
      <c r="C925" s="2" t="s">
        <v>2544</v>
      </c>
      <c r="D925" s="2" t="s">
        <v>26</v>
      </c>
      <c r="E925" s="2" t="s">
        <v>27</v>
      </c>
      <c r="F925" s="2" t="s">
        <v>15</v>
      </c>
      <c r="G925" s="2" t="s">
        <v>1987</v>
      </c>
      <c r="H925" s="2" t="s">
        <v>159</v>
      </c>
      <c r="I925" s="2" t="str">
        <f>IFERROR(__xludf.DUMMYFUNCTION("GOOGLETRANSLATE(C925,""fr"",""en"")"),"I am very satisfied thank you for your professionalism and I recommend this insurance thank you again it is very fast and effective and above all very fast")</f>
        <v>I am very satisfied thank you for your professionalism and I recommend this insurance thank you again it is very fast and effective and above all very fast</v>
      </c>
    </row>
    <row r="926" ht="15.75" customHeight="1">
      <c r="A926" s="2">
        <v>3.0</v>
      </c>
      <c r="B926" s="2" t="s">
        <v>2545</v>
      </c>
      <c r="C926" s="2" t="s">
        <v>2546</v>
      </c>
      <c r="D926" s="2" t="s">
        <v>55</v>
      </c>
      <c r="E926" s="2" t="s">
        <v>14</v>
      </c>
      <c r="F926" s="2" t="s">
        <v>15</v>
      </c>
      <c r="G926" s="2" t="s">
        <v>2547</v>
      </c>
      <c r="H926" s="2" t="s">
        <v>554</v>
      </c>
      <c r="I926" s="2" t="str">
        <f>IFERROR(__xludf.DUMMYFUNCTION("GOOGLETRANSLATE(C926,""fr"",""en"")"),"Thanks to Caroline for her help in solving my problem with Mutua Gestion")</f>
        <v>Thanks to Caroline for her help in solving my problem with Mutua Gestion</v>
      </c>
    </row>
    <row r="927" ht="15.75" customHeight="1">
      <c r="A927" s="2">
        <v>4.0</v>
      </c>
      <c r="B927" s="2" t="s">
        <v>2548</v>
      </c>
      <c r="C927" s="2" t="s">
        <v>2549</v>
      </c>
      <c r="D927" s="2" t="s">
        <v>55</v>
      </c>
      <c r="E927" s="2" t="s">
        <v>14</v>
      </c>
      <c r="F927" s="2" t="s">
        <v>15</v>
      </c>
      <c r="G927" s="2" t="s">
        <v>2550</v>
      </c>
      <c r="H927" s="2" t="s">
        <v>519</v>
      </c>
      <c r="I927" s="2" t="str">
        <f>IFERROR(__xludf.DUMMYFUNCTION("GOOGLETRANSLATE(C927,""fr"",""en"")"),"I do not understand the comments of some people. You criticize telephone companies that sell mutuals, but those who have been ""abused"" have not been by the Mutual Neoliane but by telephone resellers who are subcontractors. And indeed, there are serious "&amp;"people in any business activity and some who are not. Obviously, the comments are always unhappy and not satisfied customers who have nothing to say since they are satisfied.
For my part after 3 years at Neoliane for my mutual insurance company I am sati"&amp;"sfied, I am very quickly reimbursed, I have a competitive price and I have always been well informed during my telephone contacts.")</f>
        <v>I do not understand the comments of some people. You criticize telephone companies that sell mutuals, but those who have been "abused" have not been by the Mutual Neoliane but by telephone resellers who are subcontractors. And indeed, there are serious people in any business activity and some who are not. Obviously, the comments are always unhappy and not satisfied customers who have nothing to say since they are satisfied.
For my part after 3 years at Neoliane for my mutual insurance company I am satisfied, I am very quickly reimbursed, I have a competitive price and I have always been well informed during my telephone contacts.</v>
      </c>
    </row>
    <row r="928" ht="15.75" customHeight="1">
      <c r="A928" s="2">
        <v>4.0</v>
      </c>
      <c r="B928" s="2" t="s">
        <v>2551</v>
      </c>
      <c r="C928" s="2" t="s">
        <v>2552</v>
      </c>
      <c r="D928" s="2" t="s">
        <v>44</v>
      </c>
      <c r="E928" s="2" t="s">
        <v>27</v>
      </c>
      <c r="F928" s="2" t="s">
        <v>15</v>
      </c>
      <c r="G928" s="2" t="s">
        <v>122</v>
      </c>
      <c r="H928" s="2" t="s">
        <v>57</v>
      </c>
      <c r="I928" s="2" t="str">
        <f>IFERROR(__xludf.DUMMYFUNCTION("GOOGLETRANSLATE(C928,""fr"",""en"")"),"Until now no worries
Quick treatment and quick response
flawless
Ease of transmission of documents and TOPT
I remain no problem")</f>
        <v>Until now no worries
Quick treatment and quick response
flawless
Ease of transmission of documents and TOPT
I remain no problem</v>
      </c>
    </row>
    <row r="929" ht="15.75" customHeight="1">
      <c r="A929" s="2">
        <v>1.0</v>
      </c>
      <c r="B929" s="2" t="s">
        <v>2553</v>
      </c>
      <c r="C929" s="2" t="s">
        <v>2554</v>
      </c>
      <c r="D929" s="2" t="s">
        <v>125</v>
      </c>
      <c r="E929" s="2" t="s">
        <v>14</v>
      </c>
      <c r="F929" s="2" t="s">
        <v>15</v>
      </c>
      <c r="G929" s="2" t="s">
        <v>1217</v>
      </c>
      <c r="H929" s="2" t="s">
        <v>41</v>
      </c>
      <c r="I929" s="2" t="str">
        <f>IFERROR(__xludf.DUMMYFUNCTION("GOOGLETRANSLATE(C929,""fr"",""en"")"),"The silence of Cegema is worrying. If they have, as they claim a computer bugg, the least of things would have been to warn their members. Why don't they do it ?????")</f>
        <v>The silence of Cegema is worrying. If they have, as they claim a computer bugg, the least of things would have been to warn their members. Why don't they do it ?????</v>
      </c>
    </row>
    <row r="930" ht="15.75" customHeight="1">
      <c r="A930" s="2">
        <v>3.0</v>
      </c>
      <c r="B930" s="2" t="s">
        <v>2555</v>
      </c>
      <c r="C930" s="2" t="s">
        <v>2556</v>
      </c>
      <c r="D930" s="2" t="s">
        <v>55</v>
      </c>
      <c r="E930" s="2" t="s">
        <v>14</v>
      </c>
      <c r="F930" s="2" t="s">
        <v>15</v>
      </c>
      <c r="G930" s="2" t="s">
        <v>422</v>
      </c>
      <c r="H930" s="2" t="s">
        <v>422</v>
      </c>
      <c r="I930" s="2" t="str">
        <f>IFERROR(__xludf.DUMMYFUNCTION("GOOGLETRANSLATE(C930,""fr"",""en"")"),"I do not appreciate yesterday's telephone commercial approach where I find myself supposedly having agreed to subscribe to an IJH insurance contract without having understood how but of course with 14 days of withdrawal! Knowing that my mutual insurance c"&amp;"ompany already provides this service, I will hasten to send a letter to Néoliane to tell them my dissatisfaction with this forced canvassing and use the termination clause of a so-called contract subscribed by phone (! !!) without waiting for any mail tha"&amp;"t should happen to me by post. Their quality advisor has supposedly canceled this manipulation but no written trace has still reached me despite my insistence and the communication of my email ..... I hope that Neoliane will be in good faith ......")</f>
        <v>I do not appreciate yesterday's telephone commercial approach where I find myself supposedly having agreed to subscribe to an IJH insurance contract without having understood how but of course with 14 days of withdrawal! Knowing that my mutual insurance company already provides this service, I will hasten to send a letter to Néoliane to tell them my dissatisfaction with this forced canvassing and use the termination clause of a so-called contract subscribed by phone (! !!) without waiting for any mail that should happen to me by post. Their quality advisor has supposedly canceled this manipulation but no written trace has still reached me despite my insistence and the communication of my email ..... I hope that Neoliane will be in good faith ......</v>
      </c>
    </row>
    <row r="931" ht="15.75" customHeight="1">
      <c r="A931" s="2">
        <v>2.0</v>
      </c>
      <c r="B931" s="2" t="s">
        <v>2557</v>
      </c>
      <c r="C931" s="2" t="s">
        <v>2558</v>
      </c>
      <c r="D931" s="2" t="s">
        <v>26</v>
      </c>
      <c r="E931" s="2" t="s">
        <v>27</v>
      </c>
      <c r="F931" s="2" t="s">
        <v>15</v>
      </c>
      <c r="G931" s="2" t="s">
        <v>1815</v>
      </c>
      <c r="H931" s="2" t="s">
        <v>422</v>
      </c>
      <c r="I931" s="2" t="str">
        <f>IFERROR(__xludf.DUMMYFUNCTION("GOOGLETRANSLATE(C931,""fr"",""en"")"),"Impossible to reach them by email or by phone, shame in customer service I will terminate while my contract is not yet active")</f>
        <v>Impossible to reach them by email or by phone, shame in customer service I will terminate while my contract is not yet active</v>
      </c>
    </row>
    <row r="932" ht="15.75" customHeight="1">
      <c r="A932" s="2">
        <v>5.0</v>
      </c>
      <c r="B932" s="2" t="s">
        <v>2559</v>
      </c>
      <c r="C932" s="2" t="s">
        <v>2560</v>
      </c>
      <c r="D932" s="2" t="s">
        <v>44</v>
      </c>
      <c r="E932" s="2" t="s">
        <v>27</v>
      </c>
      <c r="F932" s="2" t="s">
        <v>15</v>
      </c>
      <c r="G932" s="2" t="s">
        <v>655</v>
      </c>
      <c r="H932" s="2" t="s">
        <v>35</v>
      </c>
      <c r="I932" s="2" t="str">
        <f>IFERROR(__xludf.DUMMYFUNCTION("GOOGLETRANSLATE(C932,""fr"",""en"")"),"I am satisfied with all direct insurance services and prices. Fantastic !
What a wonder of convenience and autonomy ... the taste for practical sense!")</f>
        <v>I am satisfied with all direct insurance services and prices. Fantastic !
What a wonder of convenience and autonomy ... the taste for practical sense!</v>
      </c>
    </row>
    <row r="933" ht="15.75" customHeight="1">
      <c r="A933" s="2">
        <v>2.0</v>
      </c>
      <c r="B933" s="2" t="s">
        <v>2561</v>
      </c>
      <c r="C933" s="2" t="s">
        <v>2562</v>
      </c>
      <c r="D933" s="2" t="s">
        <v>70</v>
      </c>
      <c r="E933" s="2" t="s">
        <v>14</v>
      </c>
      <c r="F933" s="2" t="s">
        <v>15</v>
      </c>
      <c r="G933" s="2" t="s">
        <v>2563</v>
      </c>
      <c r="H933" s="2" t="s">
        <v>192</v>
      </c>
      <c r="I933" s="2" t="str">
        <f>IFERROR(__xludf.DUMMYFUNCTION("GOOGLETRANSLATE(C933,""fr"",""en"")"),"It always takes a lot of time to obtain a refund. And that always involves a lot of effort.")</f>
        <v>It always takes a lot of time to obtain a refund. And that always involves a lot of effort.</v>
      </c>
    </row>
    <row r="934" ht="15.75" customHeight="1">
      <c r="A934" s="2">
        <v>1.0</v>
      </c>
      <c r="B934" s="2" t="s">
        <v>2564</v>
      </c>
      <c r="C934" s="2" t="s">
        <v>2565</v>
      </c>
      <c r="D934" s="2" t="s">
        <v>129</v>
      </c>
      <c r="E934" s="2" t="s">
        <v>27</v>
      </c>
      <c r="F934" s="2" t="s">
        <v>15</v>
      </c>
      <c r="G934" s="2" t="s">
        <v>1395</v>
      </c>
      <c r="H934" s="2" t="s">
        <v>529</v>
      </c>
      <c r="I934" s="2" t="str">
        <f>IFERROR(__xludf.DUMMYFUNCTION("GOOGLETRANSLATE(C934,""fr"",""en"")"),"Deplorable quality of service, no response by scandalous email avoided.")</f>
        <v>Deplorable quality of service, no response by scandalous email avoided.</v>
      </c>
    </row>
    <row r="935" ht="15.75" customHeight="1">
      <c r="A935" s="2">
        <v>5.0</v>
      </c>
      <c r="B935" s="2" t="s">
        <v>2566</v>
      </c>
      <c r="C935" s="2" t="s">
        <v>2567</v>
      </c>
      <c r="D935" s="2" t="s">
        <v>44</v>
      </c>
      <c r="E935" s="2" t="s">
        <v>27</v>
      </c>
      <c r="F935" s="2" t="s">
        <v>15</v>
      </c>
      <c r="G935" s="2" t="s">
        <v>2568</v>
      </c>
      <c r="H935" s="2" t="s">
        <v>35</v>
      </c>
      <c r="I935" s="2" t="str">
        <f>IFERROR(__xludf.DUMMYFUNCTION("GOOGLETRANSLATE(C935,""fr"",""en"")"),"I am satisfied with the speed and quality of services for subscription.
I hope that efficiency and speed will also be there in the event of a dispute.")</f>
        <v>I am satisfied with the speed and quality of services for subscription.
I hope that efficiency and speed will also be there in the event of a dispute.</v>
      </c>
    </row>
    <row r="936" ht="15.75" customHeight="1">
      <c r="A936" s="2">
        <v>2.0</v>
      </c>
      <c r="B936" s="2" t="s">
        <v>2569</v>
      </c>
      <c r="C936" s="2" t="s">
        <v>2570</v>
      </c>
      <c r="D936" s="2" t="s">
        <v>26</v>
      </c>
      <c r="E936" s="2" t="s">
        <v>27</v>
      </c>
      <c r="F936" s="2" t="s">
        <v>15</v>
      </c>
      <c r="G936" s="2" t="s">
        <v>2571</v>
      </c>
      <c r="H936" s="2" t="s">
        <v>1100</v>
      </c>
      <c r="I936" s="2" t="str">
        <f>IFERROR(__xludf.DUMMYFUNCTION("GOOGLETRANSLATE(C936,""fr"",""en"")"),"Hello,
To flee if you don't want to use your health!
Following a sinister broken ice (pebbles on windshield): no file follow-up, you are walked from one person to another, always harass the same information .... in short unbearable situation!
Always aw"&amp;"aiting reimbursement for 6 months. Yes yes I wrote 6 months well!
Every 2 weeks when they can take care of your case, he asks you for a new document and confirms that the file will be closed within 5 days ... but but but after 8 days no news and we send "&amp;"you A new file referent that starts again and finds you a new document to provide.
I made believe that the only goal and save time for me to continue to pay my subscription every month.")</f>
        <v>Hello,
To flee if you don't want to use your health!
Following a sinister broken ice (pebbles on windshield): no file follow-up, you are walked from one person to another, always harass the same information .... in short unbearable situation!
Always awaiting reimbursement for 6 months. Yes yes I wrote 6 months well!
Every 2 weeks when they can take care of your case, he asks you for a new document and confirms that the file will be closed within 5 days ... but but but after 8 days no news and we send you A new file referent that starts again and finds you a new document to provide.
I made believe that the only goal and save time for me to continue to pay my subscription every month.</v>
      </c>
    </row>
    <row r="937" ht="15.75" customHeight="1">
      <c r="A937" s="2">
        <v>1.0</v>
      </c>
      <c r="B937" s="2" t="s">
        <v>2572</v>
      </c>
      <c r="C937" s="2" t="s">
        <v>2573</v>
      </c>
      <c r="D937" s="2" t="s">
        <v>204</v>
      </c>
      <c r="E937" s="2" t="s">
        <v>33</v>
      </c>
      <c r="F937" s="2" t="s">
        <v>15</v>
      </c>
      <c r="G937" s="2" t="s">
        <v>2574</v>
      </c>
      <c r="H937" s="2" t="s">
        <v>17</v>
      </c>
      <c r="I937" s="2" t="str">
        <f>IFERROR(__xludf.DUMMYFUNCTION("GOOGLETRANSLATE(C937,""fr"",""en"")"),"In bad faith and do not comply with the conditions of contractual compensation. Extreme administrative heaviness. As with many of their colleagues, we are just good to pay.")</f>
        <v>In bad faith and do not comply with the conditions of contractual compensation. Extreme administrative heaviness. As with many of their colleagues, we are just good to pay.</v>
      </c>
    </row>
    <row r="938" ht="15.75" customHeight="1">
      <c r="A938" s="2">
        <v>4.0</v>
      </c>
      <c r="B938" s="2" t="s">
        <v>2575</v>
      </c>
      <c r="C938" s="2" t="s">
        <v>2576</v>
      </c>
      <c r="D938" s="2" t="s">
        <v>32</v>
      </c>
      <c r="E938" s="2" t="s">
        <v>27</v>
      </c>
      <c r="F938" s="2" t="s">
        <v>15</v>
      </c>
      <c r="G938" s="2" t="s">
        <v>2577</v>
      </c>
      <c r="H938" s="2" t="s">
        <v>184</v>
      </c>
      <c r="I938" s="2" t="str">
        <f>IFERROR(__xludf.DUMMYFUNCTION("GOOGLETRANSLATE(C938,""fr"",""en"")"),"I have been a member for many years at the Macif for my auto and home insurance and I have not encountered any problem with this company where I attached the vehicle of my partner ...
On August 21, 2020 on vacation in Brittany I had to involve the assist"&amp;"ance of the Macif for my vehicle a Dacia Lodgy of 2019 in Guarantee Builder buy 15 days earlier in a Renault dealership, the hose to diesel, immobilizing the vehicle Who had started to set fire, the nonexistent Renault assistance who did not want to take "&amp;"care of the vehicle pretending that he was registered in WW ...
Call for MACIF assistance for support and towing of the vehicle in a Renault garage (vehicle in manufacturer's warranty) Very good responsiveness of the assistance, support and towing of our"&amp;" vehicle on the RENAULT GARAGE requested, set up by The Macif of our repatriation by taxi in Paris of all my family, my dog, my luggage, now awaiting repairs from my vehicle or the Macif will still be present to ensure me by their assistance of a means of"&amp;" transport taxi or train to get my vehicle back in Brittany ...
Very good company, staff responsiveness, listening, advice, care, efficiency and correct price Mr François Brouaye 91800 Brunoy Essonne")</f>
        <v>I have been a member for many years at the Macif for my auto and home insurance and I have not encountered any problem with this company where I attached the vehicle of my partner ...
On August 21, 2020 on vacation in Brittany I had to involve the assistance of the Macif for my vehicle a Dacia Lodgy of 2019 in Guarantee Builder buy 15 days earlier in a Renault dealership, the hose to diesel, immobilizing the vehicle Who had started to set fire, the nonexistent Renault assistance who did not want to take care of the vehicle pretending that he was registered in WW ...
Call for MACIF assistance for support and towing of the vehicle in a Renault garage (vehicle in manufacturer's warranty) Very good responsiveness of the assistance, support and towing of our vehicle on the RENAULT GARAGE requested, set up by The Macif of our repatriation by taxi in Paris of all my family, my dog, my luggage, now awaiting repairs from my vehicle or the Macif will still be present to ensure me by their assistance of a means of transport taxi or train to get my vehicle back in Brittany ...
Very good company, staff responsiveness, listening, advice, care, efficiency and correct price Mr François Brouaye 91800 Brunoy Essonne</v>
      </c>
    </row>
    <row r="939" ht="15.75" customHeight="1">
      <c r="A939" s="2">
        <v>5.0</v>
      </c>
      <c r="B939" s="2" t="s">
        <v>2578</v>
      </c>
      <c r="C939" s="2" t="s">
        <v>2579</v>
      </c>
      <c r="D939" s="2" t="s">
        <v>26</v>
      </c>
      <c r="E939" s="2" t="s">
        <v>27</v>
      </c>
      <c r="F939" s="2" t="s">
        <v>15</v>
      </c>
      <c r="G939" s="2" t="s">
        <v>1444</v>
      </c>
      <c r="H939" s="2" t="s">
        <v>62</v>
      </c>
      <c r="I939" s="2" t="str">
        <f>IFERROR(__xludf.DUMMYFUNCTION("GOOGLETRANSLATE(C939,""fr"",""en"")"),"Good communication on the phone, best car price for the moment compared to other car insurers! Perfect, waiting for the continuation! thank you !")</f>
        <v>Good communication on the phone, best car price for the moment compared to other car insurers! Perfect, waiting for the continuation! thank you !</v>
      </c>
    </row>
    <row r="940" ht="15.75" customHeight="1">
      <c r="A940" s="2">
        <v>4.0</v>
      </c>
      <c r="B940" s="2" t="s">
        <v>2580</v>
      </c>
      <c r="C940" s="2" t="s">
        <v>2581</v>
      </c>
      <c r="D940" s="2" t="s">
        <v>38</v>
      </c>
      <c r="E940" s="2" t="s">
        <v>39</v>
      </c>
      <c r="F940" s="2" t="s">
        <v>15</v>
      </c>
      <c r="G940" s="2" t="s">
        <v>637</v>
      </c>
      <c r="H940" s="2" t="s">
        <v>159</v>
      </c>
      <c r="I940" s="2" t="str">
        <f>IFERROR(__xludf.DUMMYFUNCTION("GOOGLETRANSLATE(C940,""fr"",""en"")"),"Satisfied good insurance correct price good navigation on the site easy use good quality insurance at reasonable prices thank you cordially")</f>
        <v>Satisfied good insurance correct price good navigation on the site easy use good quality insurance at reasonable prices thank you cordially</v>
      </c>
    </row>
    <row r="941" ht="15.75" customHeight="1">
      <c r="A941" s="2">
        <v>4.0</v>
      </c>
      <c r="B941" s="2" t="s">
        <v>2582</v>
      </c>
      <c r="C941" s="2" t="s">
        <v>2583</v>
      </c>
      <c r="D941" s="2" t="s">
        <v>204</v>
      </c>
      <c r="E941" s="2" t="s">
        <v>33</v>
      </c>
      <c r="F941" s="2" t="s">
        <v>15</v>
      </c>
      <c r="G941" s="2" t="s">
        <v>2584</v>
      </c>
      <c r="H941" s="2" t="s">
        <v>767</v>
      </c>
      <c r="I941" s="2" t="str">
        <f>IFERROR(__xludf.DUMMYFUNCTION("GOOGLETRANSLATE(C941,""fr"",""en"")"),"From my first house, I choose Allianz as a home insurer and I have never been disappointed.")</f>
        <v>From my first house, I choose Allianz as a home insurer and I have never been disappointed.</v>
      </c>
    </row>
    <row r="942" ht="15.75" customHeight="1">
      <c r="A942" s="2">
        <v>1.0</v>
      </c>
      <c r="B942" s="2" t="s">
        <v>2585</v>
      </c>
      <c r="C942" s="2" t="s">
        <v>2586</v>
      </c>
      <c r="D942" s="2" t="s">
        <v>32</v>
      </c>
      <c r="E942" s="2" t="s">
        <v>33</v>
      </c>
      <c r="F942" s="2" t="s">
        <v>15</v>
      </c>
      <c r="G942" s="2" t="s">
        <v>1359</v>
      </c>
      <c r="H942" s="2" t="s">
        <v>230</v>
      </c>
      <c r="I942" s="2" t="str">
        <f>IFERROR(__xludf.DUMMYFUNCTION("GOOGLETRANSLATE(C942,""fr"",""en"")"),"Customer for 20 years Auto Moto Habitation Life Insurance, I have a warranty exterior pipes and leak outdoor gardening garden for 7 months and nothing moves !? !!! shameful I think to terminate everything")</f>
        <v>Customer for 20 years Auto Moto Habitation Life Insurance, I have a warranty exterior pipes and leak outdoor gardening garden for 7 months and nothing moves !? !!! shameful I think to terminate everything</v>
      </c>
    </row>
    <row r="943" ht="15.75" customHeight="1">
      <c r="A943" s="2">
        <v>5.0</v>
      </c>
      <c r="B943" s="2" t="s">
        <v>2587</v>
      </c>
      <c r="C943" s="2" t="s">
        <v>2588</v>
      </c>
      <c r="D943" s="2" t="s">
        <v>1523</v>
      </c>
      <c r="E943" s="2" t="s">
        <v>1524</v>
      </c>
      <c r="F943" s="2" t="s">
        <v>15</v>
      </c>
      <c r="G943" s="2" t="s">
        <v>2589</v>
      </c>
      <c r="H943" s="2" t="s">
        <v>571</v>
      </c>
      <c r="I943" s="2" t="str">
        <f>IFERROR(__xludf.DUMMYFUNCTION("GOOGLETRANSLATE(C943,""fr"",""en"")"),"Hello,
I have been insured at the Mapa d'Orléans for several years and I highly recommend this agency. They are reactive, attentive, always a smile and excellent guarantees (professional species ensured in my house, mechanical breakdown, ...). I regularl"&amp;"y recommend my insurance!")</f>
        <v>Hello,
I have been insured at the Mapa d'Orléans for several years and I highly recommend this agency. They are reactive, attentive, always a smile and excellent guarantees (professional species ensured in my house, mechanical breakdown, ...). I regularly recommend my insurance!</v>
      </c>
    </row>
    <row r="944" ht="15.75" customHeight="1">
      <c r="A944" s="2">
        <v>5.0</v>
      </c>
      <c r="B944" s="2" t="s">
        <v>2590</v>
      </c>
      <c r="C944" s="2" t="s">
        <v>2591</v>
      </c>
      <c r="D944" s="2" t="s">
        <v>44</v>
      </c>
      <c r="E944" s="2" t="s">
        <v>27</v>
      </c>
      <c r="F944" s="2" t="s">
        <v>15</v>
      </c>
      <c r="G944" s="2" t="s">
        <v>835</v>
      </c>
      <c r="H944" s="2" t="s">
        <v>41</v>
      </c>
      <c r="I944" s="2" t="str">
        <f>IFERROR(__xludf.DUMMYFUNCTION("GOOGLETRANSLATE(C944,""fr"",""en"")"),"very bad connection with the interlocutors and not easy to make by phone
I hope not to be disappointed because the fact of giving my bank details and identity document by email bothers me a lot")</f>
        <v>very bad connection with the interlocutors and not easy to make by phone
I hope not to be disappointed because the fact of giving my bank details and identity document by email bothers me a lot</v>
      </c>
    </row>
    <row r="945" ht="15.75" customHeight="1">
      <c r="A945" s="2">
        <v>1.0</v>
      </c>
      <c r="B945" s="2" t="s">
        <v>2592</v>
      </c>
      <c r="C945" s="2" t="s">
        <v>2593</v>
      </c>
      <c r="D945" s="2" t="s">
        <v>204</v>
      </c>
      <c r="E945" s="2" t="s">
        <v>27</v>
      </c>
      <c r="F945" s="2" t="s">
        <v>15</v>
      </c>
      <c r="G945" s="2" t="s">
        <v>1612</v>
      </c>
      <c r="H945" s="2" t="s">
        <v>571</v>
      </c>
      <c r="I945" s="2" t="str">
        <f>IFERROR(__xludf.DUMMYFUNCTION("GOOGLETRANSLATE(C945,""fr"",""en"")"),"I strongly advise against this company. Request exorbitant costs if you do not send a registered letter to terminate your contract. 12 years that I sit down vehicles in various company, quad motorcycle, boats, car ... I have never had the same mishap.")</f>
        <v>I strongly advise against this company. Request exorbitant costs if you do not send a registered letter to terminate your contract. 12 years that I sit down vehicles in various company, quad motorcycle, boats, car ... I have never had the same mishap.</v>
      </c>
    </row>
    <row r="946" ht="15.75" customHeight="1">
      <c r="A946" s="2">
        <v>3.0</v>
      </c>
      <c r="B946" s="2" t="s">
        <v>2594</v>
      </c>
      <c r="C946" s="2" t="s">
        <v>2595</v>
      </c>
      <c r="D946" s="2" t="s">
        <v>44</v>
      </c>
      <c r="E946" s="2" t="s">
        <v>27</v>
      </c>
      <c r="F946" s="2" t="s">
        <v>15</v>
      </c>
      <c r="G946" s="2" t="s">
        <v>2596</v>
      </c>
      <c r="H946" s="2" t="s">
        <v>35</v>
      </c>
      <c r="I946" s="2" t="str">
        <f>IFERROR(__xludf.DUMMYFUNCTION("GOOGLETRANSLATE(C946,""fr"",""en"")"),"I find that it is expensive, 120 euros, the 0 km assistance extension in the event of a breakdown.
And we cannot fully manage contracts through personal space, you have to call an advisor and stay 15 minutes waiting.")</f>
        <v>I find that it is expensive, 120 euros, the 0 km assistance extension in the event of a breakdown.
And we cannot fully manage contracts through personal space, you have to call an advisor and stay 15 minutes waiting.</v>
      </c>
    </row>
    <row r="947" ht="15.75" customHeight="1">
      <c r="A947" s="2">
        <v>2.0</v>
      </c>
      <c r="B947" s="2" t="s">
        <v>2597</v>
      </c>
      <c r="C947" s="2" t="s">
        <v>2598</v>
      </c>
      <c r="D947" s="2" t="s">
        <v>125</v>
      </c>
      <c r="E947" s="2" t="s">
        <v>14</v>
      </c>
      <c r="F947" s="2" t="s">
        <v>15</v>
      </c>
      <c r="G947" s="2" t="s">
        <v>2599</v>
      </c>
      <c r="H947" s="2" t="s">
        <v>41</v>
      </c>
      <c r="I947" s="2" t="str">
        <f>IFERROR(__xludf.DUMMYFUNCTION("GOOGLETRANSLATE(C947,""fr"",""en"")"),"GEGEMA regularly delays contributions
But Cegema does not reimburse:
I made a request for care in early March for a surgery, which remained unanswered.
During hospitalization on May 2 I communicated to the copy clinic of my member card.
When I left th"&amp;"e clinic on May 7, the clinic gave me an invoice of € 2600, because Cegema did not take care of. I communicated the invoice to Cegema.
Despite the revival by the broker, I did not receive any response from CFGEMA. The broker tells me that they are overwh"&amp;"elmed.
I am afraid of having come across a mutual that is not serious or that does not reimburse.")</f>
        <v>GEGEMA regularly delays contributions
But Cegema does not reimburse:
I made a request for care in early March for a surgery, which remained unanswered.
During hospitalization on May 2 I communicated to the copy clinic of my member card.
When I left the clinic on May 7, the clinic gave me an invoice of € 2600, because Cegema did not take care of. I communicated the invoice to Cegema.
Despite the revival by the broker, I did not receive any response from CFGEMA. The broker tells me that they are overwhelmed.
I am afraid of having come across a mutual that is not serious or that does not reimburse.</v>
      </c>
    </row>
    <row r="948" ht="15.75" customHeight="1">
      <c r="A948" s="2">
        <v>2.0</v>
      </c>
      <c r="B948" s="2" t="s">
        <v>2600</v>
      </c>
      <c r="C948" s="2" t="s">
        <v>2601</v>
      </c>
      <c r="D948" s="2" t="s">
        <v>32</v>
      </c>
      <c r="E948" s="2" t="s">
        <v>27</v>
      </c>
      <c r="F948" s="2" t="s">
        <v>15</v>
      </c>
      <c r="G948" s="2" t="s">
        <v>2602</v>
      </c>
      <c r="H948" s="2" t="s">
        <v>606</v>
      </c>
      <c r="I948" s="2" t="str">
        <f>IFERROR(__xludf.DUMMYFUNCTION("GOOGLETRANSLATE(C948,""fr"",""en"")"),"
I do not know why I am still a member of this company who is seriously starting to exchange myself today, especially when I know and I hear boastful playing operations aimed at paying the insurance companies.
But since everyone knows that the honest ci"&amp;"tizen, especially if he is of Christian education, is ultimately the neuneu of this system, there, it is not a question of asserting any racism!
But what revolts me today:
My son that I encouraged to choose the Macif, my daughter recently also) was "&amp;"the victim of a road accident on January 30.
A lady going to her workplace struck her by the left side then, that driving from the front (visibly pressed) she wanted to turn left.
This lady, at the end of her vehicle was crying and asked for forgivene"&amp;"ss from the partner of my son just extracted from the Renault Mégane who had found himself on the roof after a shock on the sidewalk.
No sliding, moreover in this regard, the expert told my son, according to the visualizations of the impact due to the "&amp;"shock, that it was clear not to be wrong
Except that the representative of the file manager indicates that this expert has no say in this area and that he has neither the skills nor been commissioned to determine the responsibilities.
Note that a mont"&amp;"h has almost passed and that ""Madame"" who had prepared the amicable observation, arrived instead of appointment with her dentist boss, very frowned upon (see opinions on Google), making a trial of intention to my son, threatened him and took a picture o"&amp;"f him before witness.
Faced with the aberration of the drawing presenting a completely different interpretation of the facts, my son refused to sign, but, he was exercised in time to submit his declaration in the observation.
Apparently some people, i"&amp;"n addition, do not seem worried about making their observation outside the time allocated ... Why?
IM asking you !
This is briefly the picture, while almost 2 months have passed, my son having lost a lot in this story (loss of the vehicle, impossibili"&amp;"ty of buying one, work stoppage, loss of salary, physically and morally affected as well as his partner , having to resume his work ... without a car and in the current circumstances, which you know of course.
And to conclude, the right company writes "&amp;"to him and has just made him a proposal for the sum of € 208, adding that the responsibilities, to this day, are not established!
He is asked to answer within 10 days, (as it is good in the current situation is they?) Threatened to have to pay the guar"&amp;"d costs while during my telephone interview with the manager to know why the Vehicle was removed from the garage, it was indicated to me that the latter had been placed in a storage space of the Macif (a breakage), this in order to avoid the guard costs !"&amp;"!!
Who do we laugh at ???
At this point, you have before your eyes, the same reaction as me, I do not doubt it for a moment, with the difference that it is not you that we insult in all this masquerade.
But can you imagine my decision?
Because"&amp;" in terms of insults we reached the summit.
It is certain that I will put this Couriel online, just to extend what we already know about the ways of acting fundraising!
Here is dear sir, know between us that I could never work in such a stench, my c"&amp;"onscience would not allow me, I refused things much more less than that!
I wish you good reception of this message and send you my distinguished greetings.")</f>
        <v>
I do not know why I am still a member of this company who is seriously starting to exchange myself today, especially when I know and I hear boastful playing operations aimed at paying the insurance companies.
But since everyone knows that the honest citizen, especially if he is of Christian education, is ultimately the neuneu of this system, there, it is not a question of asserting any racism!
But what revolts me today:
My son that I encouraged to choose the Macif, my daughter recently also) was the victim of a road accident on January 30.
A lady going to her workplace struck her by the left side then, that driving from the front (visibly pressed) she wanted to turn left.
This lady, at the end of her vehicle was crying and asked for forgiveness from the partner of my son just extracted from the Renault Mégane who had found himself on the roof after a shock on the sidewalk.
No sliding, moreover in this regard, the expert told my son, according to the visualizations of the impact due to the shock, that it was clear not to be wrong
Except that the representative of the file manager indicates that this expert has no say in this area and that he has neither the skills nor been commissioned to determine the responsibilities.
Note that a month has almost passed and that "Madame" who had prepared the amicable observation, arrived instead of appointment with her dentist boss, very frowned upon (see opinions on Google), making a trial of intention to my son, threatened him and took a picture of him before witness.
Faced with the aberration of the drawing presenting a completely different interpretation of the facts, my son refused to sign, but, he was exercised in time to submit his declaration in the observation.
Apparently some people, in addition, do not seem worried about making their observation outside the time allocated ... Why?
IM asking you !
This is briefly the picture, while almost 2 months have passed, my son having lost a lot in this story (loss of the vehicle, impossibility of buying one, work stoppage, loss of salary, physically and morally affected as well as his partner , having to resume his work ... without a car and in the current circumstances, which you know of course.
And to conclude, the right company writes to him and has just made him a proposal for the sum of € 208, adding that the responsibilities, to this day, are not established!
He is asked to answer within 10 days, (as it is good in the current situation is they?) Threatened to have to pay the guard costs while during my telephone interview with the manager to know why the Vehicle was removed from the garage, it was indicated to me that the latter had been placed in a storage space of the Macif (a breakage), this in order to avoid the guard costs !!!
Who do we laugh at ???
At this point, you have before your eyes, the same reaction as me, I do not doubt it for a moment, with the difference that it is not you that we insult in all this masquerade.
But can you imagine my decision?
Because in terms of insults we reached the summit.
It is certain that I will put this Couriel online, just to extend what we already know about the ways of acting fundraising!
Here is dear sir, know between us that I could never work in such a stench, my conscience would not allow me, I refused things much more less than that!
I wish you good reception of this message and send you my distinguished greetings.</v>
      </c>
    </row>
    <row r="949" ht="15.75" customHeight="1">
      <c r="A949" s="2">
        <v>1.0</v>
      </c>
      <c r="B949" s="2" t="s">
        <v>2603</v>
      </c>
      <c r="C949" s="2" t="s">
        <v>2604</v>
      </c>
      <c r="D949" s="2" t="s">
        <v>38</v>
      </c>
      <c r="E949" s="2" t="s">
        <v>39</v>
      </c>
      <c r="F949" s="2" t="s">
        <v>15</v>
      </c>
      <c r="G949" s="2" t="s">
        <v>2605</v>
      </c>
      <c r="H949" s="2" t="s">
        <v>403</v>
      </c>
      <c r="I949" s="2" t="str">
        <f>IFERROR(__xludf.DUMMYFUNCTION("GOOGLETRANSLATE(C949,""fr"",""en"")"),"Avoid if you don't want trouble and waste of time and money.
Their reputation is ahead of them apparently! Here are some details:
-Attention: young drivers, without the final permit: threat of termination with Ultimatum!
-If the vehicle was not insured"&amp;" during a certain
Taine period: not good that ... they come back down the guarantees.
- To join them: a good film, to pass the time ... The wait can be very Looooongue!
mistrust in the event of a claim.
much more complicated to explain and argue.
-Ch"&amp;"anges by email yes possible Waiting for approx. 48 hours for an answer.
-For the 2 wheels: very demanding on anti -thefts and compulsory engraving, which is not always the case elsewhere, notably among mutualists.
-And finally to finish: file fees and v"&amp;"ery expensive termination compared to the competition, pay attention to these costs which are not always clearly visible .... so the Hamon et Cie law is fine but it is Not always free. Here even in the event of amicable termination, you are a loser: on su"&amp;"bscription and termination. 2x costs charged!
Assessment: I went to MA..F and with my .... ut, weird no bp to ensure in all risks ... and for cheaper (resumption of the car bonus possible), and with fewer requirements .. .
And I am not ready to regain i"&amp;"nsurance by internet
Advice: go see in your city, and discuss and negotiate with the agents .... very informative and we are often winning at guarantees/price level, and the contract and green card bah is immediately in hand when leaving!")</f>
        <v>Avoid if you don't want trouble and waste of time and money.
Their reputation is ahead of them apparently! Here are some details:
-Attention: young drivers, without the final permit: threat of termination with Ultimatum!
-If the vehicle was not insured during a certain
Taine period: not good that ... they come back down the guarantees.
- To join them: a good film, to pass the time ... The wait can be very Looooongue!
mistrust in the event of a claim.
much more complicated to explain and argue.
-Changes by email yes possible Waiting for approx. 48 hours for an answer.
-For the 2 wheels: very demanding on anti -thefts and compulsory engraving, which is not always the case elsewhere, notably among mutualists.
-And finally to finish: file fees and very expensive termination compared to the competition, pay attention to these costs which are not always clearly visible .... so the Hamon et Cie law is fine but it is Not always free. Here even in the event of amicable termination, you are a loser: on subscription and termination. 2x costs charged!
Assessment: I went to MA..F and with my .... ut, weird no bp to ensure in all risks ... and for cheaper (resumption of the car bonus possible), and with fewer requirements .. .
And I am not ready to regain insurance by internet
Advice: go see in your city, and discuss and negotiate with the agents .... very informative and we are often winning at guarantees/price level, and the contract and green card bah is immediately in hand when leaving!</v>
      </c>
    </row>
    <row r="950" ht="15.75" customHeight="1">
      <c r="A950" s="2">
        <v>1.0</v>
      </c>
      <c r="B950" s="2" t="s">
        <v>2606</v>
      </c>
      <c r="C950" s="2" t="s">
        <v>2607</v>
      </c>
      <c r="D950" s="2" t="s">
        <v>100</v>
      </c>
      <c r="E950" s="2" t="s">
        <v>76</v>
      </c>
      <c r="F950" s="2" t="s">
        <v>15</v>
      </c>
      <c r="G950" s="2" t="s">
        <v>2608</v>
      </c>
      <c r="H950" s="2" t="s">
        <v>210</v>
      </c>
      <c r="I950" s="2" t="str">
        <f>IFERROR(__xludf.DUMMYFUNCTION("GOOGLETRANSLATE(C950,""fr"",""en"")"),"Following the comment that I left on this site, there are five days ago, I was contacted by their customer service. The person was most intentioned but could not do anything apart from making sure that they were going to prevent the provident service and "&amp;"that I was going to be contacted within 48 hours. Since March 28, I have been promised a contact in the 48h .... incredible!
To date, still no call from them. Ah I forgot, I learned by their care, that my former employer had changed provider at the end o"&amp;"f the year (Reunica passing AG2R). Besides, this is the period of the start of my reimbursement delays and others ...
The icing on the cake, I received a large envelope from the company on April 19. Inside, 5 letters dated April 10, 2017 and one of April"&amp;" 14. While I was waiting to regularize the amounts, these letters inform me that I am indebted for € 8,159, another of € 4922.22. Supposedly too perceived! Just that.
Of course, I contacted the only one and always even number and went again on the Marsei"&amp;"lle platform. You know, the same platform that can do nothing except to make your message and make commitments without return from the service concerned. Impossible to have information, explanations or other. Just a word: an advisor will remind you! When?"&amp;" Within 48 hours !!! To wonder if it's not 48 days ... In any case, there are the bowl. They have known my situation from the start, following my dismissal, I am in my portability rights. Worse, I am asked too much perceived during my so -called deficienc"&amp;"y period. It's beautiful, right? I have to reimburse what they have never given me !!!!
Another point, I am stipulated on the mail ""taking into account the difficulties that the reimbursement in its entirety could cause you we remain at your disposal fo"&amp;"r any proposal for an Echelonment"". Great right?
So already will have to explain my lively voice to me because there are error on many points. Or will have to explain many things to me. But the best, will also have to be contacted because it is impossib"&amp;"le for us to be able to do it ... Frankly, it is really a lightest company!
To ban....
")</f>
        <v>Following the comment that I left on this site, there are five days ago, I was contacted by their customer service. The person was most intentioned but could not do anything apart from making sure that they were going to prevent the provident service and that I was going to be contacted within 48 hours. Since March 28, I have been promised a contact in the 48h .... incredible!
To date, still no call from them. Ah I forgot, I learned by their care, that my former employer had changed provider at the end of the year (Reunica passing AG2R). Besides, this is the period of the start of my reimbursement delays and others ...
The icing on the cake, I received a large envelope from the company on April 19. Inside, 5 letters dated April 10, 2017 and one of April 14. While I was waiting to regularize the amounts, these letters inform me that I am indebted for € 8,159, another of € 4922.22. Supposedly too perceived! Just that.
Of course, I contacted the only one and always even number and went again on the Marseille platform. You know, the same platform that can do nothing except to make your message and make commitments without return from the service concerned. Impossible to have information, explanations or other. Just a word: an advisor will remind you! When? Within 48 hours !!! To wonder if it's not 48 days ... In any case, there are the bowl. They have known my situation from the start, following my dismissal, I am in my portability rights. Worse, I am asked too much perceived during my so -called deficiency period. It's beautiful, right? I have to reimburse what they have never given me !!!!
Another point, I am stipulated on the mail "taking into account the difficulties that the reimbursement in its entirety could cause you we remain at your disposal for any proposal for an Echelonment". Great right?
So already will have to explain my lively voice to me because there are error on many points. Or will have to explain many things to me. But the best, will also have to be contacted because it is impossible for us to be able to do it ... Frankly, it is really a lightest company!
To ban....
</v>
      </c>
    </row>
    <row r="951" ht="15.75" customHeight="1">
      <c r="A951" s="2">
        <v>5.0</v>
      </c>
      <c r="B951" s="2" t="s">
        <v>2609</v>
      </c>
      <c r="C951" s="2" t="s">
        <v>2610</v>
      </c>
      <c r="D951" s="2" t="s">
        <v>44</v>
      </c>
      <c r="E951" s="2" t="s">
        <v>27</v>
      </c>
      <c r="F951" s="2" t="s">
        <v>15</v>
      </c>
      <c r="G951" s="2" t="s">
        <v>201</v>
      </c>
      <c r="H951" s="2" t="s">
        <v>57</v>
      </c>
      <c r="I951" s="2" t="str">
        <f>IFERROR(__xludf.DUMMYFUNCTION("GOOGLETRANSLATE(C951,""fr"",""en"")"),"Very good services, personal listening to our requests, very lively responsiveness, assurance knowing how to recognize the seriousness of their customers, it is a shame that it is necessary to make the request otherwise I missed the discount granted")</f>
        <v>Very good services, personal listening to our requests, very lively responsiveness, assurance knowing how to recognize the seriousness of their customers, it is a shame that it is necessary to make the request otherwise I missed the discount granted</v>
      </c>
    </row>
    <row r="952" ht="15.75" customHeight="1">
      <c r="A952" s="2">
        <v>3.0</v>
      </c>
      <c r="B952" s="2" t="s">
        <v>2611</v>
      </c>
      <c r="C952" s="2" t="s">
        <v>2612</v>
      </c>
      <c r="D952" s="2" t="s">
        <v>148</v>
      </c>
      <c r="E952" s="2" t="s">
        <v>33</v>
      </c>
      <c r="F952" s="2" t="s">
        <v>15</v>
      </c>
      <c r="G952" s="2" t="s">
        <v>2613</v>
      </c>
      <c r="H952" s="2" t="s">
        <v>320</v>
      </c>
      <c r="I952" s="2" t="str">
        <f>IFERROR(__xludf.DUMMYFUNCTION("GOOGLETRANSLATE(C952,""fr"",""en"")"),"Affiliated to Maif for almost 50 years, I am amazed at the way my file has been managed. I summarize the facts: owner of 1 house, my land is adjoining with the courtyard of the neighboring building administered by the real estate agency Murcia. In April 2"&amp;"017, this one sent me 1 mail by registeredment informing me of the dilapidation of the adjoining wall, on the building side (which is impossible for me to see from my home); Indeed cracks would have appeared in December 2016.
The expertise carried out by"&amp;" Polyexperts (on behalf of the neighboring owner) accuses me of being responsible for the disaster and moreover, puts me the property of the 2 faces of this wall. I therefore inform the maif on April 21, 2017 of these facts which takes note of the disaste"&amp;"r on this date: I specify that there was no problem before December 2016. Except that at this period there were rains Diluvian, and not in 2014 as stipulated in the report of the Maif expert! After more than 2 months of waiting, on July 13, 2017, I receiv"&amp;"e 1 mail from Maif informing me of the appointment of an expert; This one visits me on August 17, more than a month later. At my request, if not I might still have it, on September 23, his report reaches me and only speaks of ""detachment of the plaster t"&amp;"o humidity, the wall having no damage ""And then contradicts"" the damage is not accidental but fall under 1 constructive defect "". It assumes that a big rain would not be enough to create 1 such problem! Do the rains cause humidity? Strange reasoning! L"&amp;"a MAIF indicates to me on September 25 that it is not intended to intervene as a guarantee ""damage to goods""!
I am outraged by the bad faith emanating from the expert and the position of the MAIF: everything seems to indicate a maneuver so as not to ta"&amp;"ke care of what the insureders contribute! Maybe I have to consider changing your insurance?")</f>
        <v>Affiliated to Maif for almost 50 years, I am amazed at the way my file has been managed. I summarize the facts: owner of 1 house, my land is adjoining with the courtyard of the neighboring building administered by the real estate agency Murcia. In April 2017, this one sent me 1 mail by registeredment informing me of the dilapidation of the adjoining wall, on the building side (which is impossible for me to see from my home); Indeed cracks would have appeared in December 2016.
The expertise carried out by Polyexperts (on behalf of the neighboring owner) accuses me of being responsible for the disaster and moreover, puts me the property of the 2 faces of this wall. I therefore inform the maif on April 21, 2017 of these facts which takes note of the disaster on this date: I specify that there was no problem before December 2016. Except that at this period there were rains Diluvian, and not in 2014 as stipulated in the report of the Maif expert! After more than 2 months of waiting, on July 13, 2017, I receive 1 mail from Maif informing me of the appointment of an expert; This one visits me on August 17, more than a month later. At my request, if not I might still have it, on September 23, his report reaches me and only speaks of "detachment of the plaster to humidity, the wall having no damage "And then contradicts" the damage is not accidental but fall under 1 constructive defect ". It assumes that a big rain would not be enough to create 1 such problem! Do the rains cause humidity? Strange reasoning! La MAIF indicates to me on September 25 that it is not intended to intervene as a guarantee "damage to goods"!
I am outraged by the bad faith emanating from the expert and the position of the MAIF: everything seems to indicate a maneuver so as not to take care of what the insureders contribute! Maybe I have to consider changing your insurance?</v>
      </c>
    </row>
    <row r="953" ht="15.75" customHeight="1">
      <c r="A953" s="2">
        <v>5.0</v>
      </c>
      <c r="B953" s="2" t="s">
        <v>2614</v>
      </c>
      <c r="C953" s="2" t="s">
        <v>2615</v>
      </c>
      <c r="D953" s="2" t="s">
        <v>26</v>
      </c>
      <c r="E953" s="2" t="s">
        <v>27</v>
      </c>
      <c r="F953" s="2" t="s">
        <v>15</v>
      </c>
      <c r="G953" s="2" t="s">
        <v>2616</v>
      </c>
      <c r="H953" s="2" t="s">
        <v>206</v>
      </c>
      <c r="I953" s="2" t="str">
        <f>IFERROR(__xludf.DUMMYFUNCTION("GOOGLETRANSLATE(C953,""fr"",""en"")"),"Cheap insurance for young drivers like me.
Telephone operators answer all your questions, and orrient you about the best prices.")</f>
        <v>Cheap insurance for young drivers like me.
Telephone operators answer all your questions, and orrient you about the best prices.</v>
      </c>
    </row>
    <row r="954" ht="15.75" customHeight="1">
      <c r="A954" s="2">
        <v>5.0</v>
      </c>
      <c r="B954" s="2" t="s">
        <v>2617</v>
      </c>
      <c r="C954" s="2" t="s">
        <v>2618</v>
      </c>
      <c r="D954" s="2" t="s">
        <v>26</v>
      </c>
      <c r="E954" s="2" t="s">
        <v>27</v>
      </c>
      <c r="F954" s="2" t="s">
        <v>15</v>
      </c>
      <c r="G954" s="2" t="s">
        <v>503</v>
      </c>
      <c r="H954" s="2" t="s">
        <v>41</v>
      </c>
      <c r="I954" s="2" t="str">
        <f>IFERROR(__xludf.DUMMYFUNCTION("GOOGLETRANSLATE(C954,""fr"",""en"")"),"Very satisfied with the service of the Olivier Insurance
Customer services are very listening and professional
In the event of a disaster declaration they are very fast and effective")</f>
        <v>Very satisfied with the service of the Olivier Insurance
Customer services are very listening and professional
In the event of a disaster declaration they are very fast and effective</v>
      </c>
    </row>
    <row r="955" ht="15.75" customHeight="1">
      <c r="A955" s="2">
        <v>4.0</v>
      </c>
      <c r="B955" s="2" t="s">
        <v>2619</v>
      </c>
      <c r="C955" s="2" t="s">
        <v>2620</v>
      </c>
      <c r="D955" s="2" t="s">
        <v>55</v>
      </c>
      <c r="E955" s="2" t="s">
        <v>14</v>
      </c>
      <c r="F955" s="2" t="s">
        <v>15</v>
      </c>
      <c r="G955" s="2" t="s">
        <v>1821</v>
      </c>
      <c r="H955" s="2" t="s">
        <v>46</v>
      </c>
      <c r="I955" s="2" t="str">
        <f>IFERROR(__xludf.DUMMYFUNCTION("GOOGLETRANSLATE(C955,""fr"",""en"")"),"Emelain
Exchange very pleasant good understanding of my requests. Responded to all my requests. Very pleasant person on the phone
Very satisfied
Thank you")</f>
        <v>Emelain
Exchange very pleasant good understanding of my requests. Responded to all my requests. Very pleasant person on the phone
Very satisfied
Thank you</v>
      </c>
    </row>
    <row r="956" ht="15.75" customHeight="1">
      <c r="A956" s="2">
        <v>5.0</v>
      </c>
      <c r="B956" s="2" t="s">
        <v>2621</v>
      </c>
      <c r="C956" s="2" t="s">
        <v>2622</v>
      </c>
      <c r="D956" s="2" t="s">
        <v>44</v>
      </c>
      <c r="E956" s="2" t="s">
        <v>27</v>
      </c>
      <c r="F956" s="2" t="s">
        <v>15</v>
      </c>
      <c r="G956" s="2" t="s">
        <v>45</v>
      </c>
      <c r="H956" s="2" t="s">
        <v>46</v>
      </c>
      <c r="I956" s="2" t="str">
        <f>IFERROR(__xludf.DUMMYFUNCTION("GOOGLETRANSLATE(C956,""fr"",""en"")"),"The prices are attractive, the online approach is very well explained and everything is clear. The management of termination is a plus for the member.")</f>
        <v>The prices are attractive, the online approach is very well explained and everything is clear. The management of termination is a plus for the member.</v>
      </c>
    </row>
    <row r="957" ht="15.75" customHeight="1">
      <c r="A957" s="2">
        <v>5.0</v>
      </c>
      <c r="B957" s="2" t="s">
        <v>2623</v>
      </c>
      <c r="C957" s="2" t="s">
        <v>2624</v>
      </c>
      <c r="D957" s="2" t="s">
        <v>560</v>
      </c>
      <c r="E957" s="2" t="s">
        <v>561</v>
      </c>
      <c r="F957" s="2" t="s">
        <v>15</v>
      </c>
      <c r="G957" s="2" t="s">
        <v>97</v>
      </c>
      <c r="H957" s="2" t="s">
        <v>41</v>
      </c>
      <c r="I957" s="2" t="str">
        <f>IFERROR(__xludf.DUMMYFUNCTION("GOOGLETRANSLATE(C957,""fr"",""en"")"),"Me at ECA Assurance it's been 2 years since I ensure a Malinois Belgian Shepherd frankly I have never had any problem he always reimbursed the entire less my deductible of 20 euros. Nothing to blame them.")</f>
        <v>Me at ECA Assurance it's been 2 years since I ensure a Malinois Belgian Shepherd frankly I have never had any problem he always reimbursed the entire less my deductible of 20 euros. Nothing to blame them.</v>
      </c>
    </row>
    <row r="958" ht="15.75" customHeight="1">
      <c r="A958" s="2">
        <v>5.0</v>
      </c>
      <c r="B958" s="2" t="s">
        <v>2625</v>
      </c>
      <c r="C958" s="2" t="s">
        <v>2626</v>
      </c>
      <c r="D958" s="2" t="s">
        <v>60</v>
      </c>
      <c r="E958" s="2" t="s">
        <v>14</v>
      </c>
      <c r="F958" s="2" t="s">
        <v>15</v>
      </c>
      <c r="G958" s="2" t="s">
        <v>2627</v>
      </c>
      <c r="H958" s="2" t="s">
        <v>685</v>
      </c>
      <c r="I958" s="2" t="str">
        <f>IFERROR(__xludf.DUMMYFUNCTION("GOOGLETRANSLATE(C958,""fr"",""en"")"),"From the beginning to the end the advisor it is well busy satisfying my needs asking me the subject of my call as well as if I had other requests that it could process. And did the necessary to change my new address.")</f>
        <v>From the beginning to the end the advisor it is well busy satisfying my needs asking me the subject of my call as well as if I had other requests that it could process. And did the necessary to change my new address.</v>
      </c>
    </row>
    <row r="959" ht="15.75" customHeight="1">
      <c r="A959" s="2">
        <v>1.0</v>
      </c>
      <c r="B959" s="2" t="s">
        <v>2628</v>
      </c>
      <c r="C959" s="2" t="s">
        <v>2629</v>
      </c>
      <c r="D959" s="2" t="s">
        <v>237</v>
      </c>
      <c r="E959" s="2" t="s">
        <v>14</v>
      </c>
      <c r="F959" s="2" t="s">
        <v>15</v>
      </c>
      <c r="G959" s="2" t="s">
        <v>2630</v>
      </c>
      <c r="H959" s="2" t="s">
        <v>922</v>
      </c>
      <c r="I959" s="2" t="str">
        <f>IFERROR(__xludf.DUMMYFUNCTION("GOOGLETRANSLATE(C959,""fr"",""en"")"),"I ask for the disconnection CPAM they send me radiation certificates.
Maybe they don't know the process to follow. He asks me for a full month when I left on February 8. No pro rata.
 incompetent do not respond to requests made by email. See even other "&amp;"requests. A simple demand seems to be very complicated for them.")</f>
        <v>I ask for the disconnection CPAM they send me radiation certificates.
Maybe they don't know the process to follow. He asks me for a full month when I left on February 8. No pro rata.
 incompetent do not respond to requests made by email. See even other requests. A simple demand seems to be very complicated for them.</v>
      </c>
    </row>
    <row r="960" ht="15.75" customHeight="1">
      <c r="A960" s="2">
        <v>3.0</v>
      </c>
      <c r="B960" s="2" t="s">
        <v>2631</v>
      </c>
      <c r="C960" s="2" t="s">
        <v>2632</v>
      </c>
      <c r="D960" s="2" t="s">
        <v>55</v>
      </c>
      <c r="E960" s="2" t="s">
        <v>14</v>
      </c>
      <c r="F960" s="2" t="s">
        <v>15</v>
      </c>
      <c r="G960" s="2" t="s">
        <v>2633</v>
      </c>
      <c r="H960" s="2" t="s">
        <v>35</v>
      </c>
      <c r="I960" s="2" t="str">
        <f>IFERROR(__xludf.DUMMYFUNCTION("GOOGLETRANSLATE(C960,""fr"",""en"")"),"My opinion concerns Léa, operator with whom I was dealing today. I came across an excellent person, available and pleasant to the voice to satisfy my problem of third -party payment neoliane following loss of my wallet where it was. Thank you for the prof"&amp;"essionalism of this person who deserves a wage gratuity that meets his skills.")</f>
        <v>My opinion concerns Léa, operator with whom I was dealing today. I came across an excellent person, available and pleasant to the voice to satisfy my problem of third -party payment neoliane following loss of my wallet where it was. Thank you for the professionalism of this person who deserves a wage gratuity that meets his skills.</v>
      </c>
    </row>
    <row r="961" ht="15.75" customHeight="1">
      <c r="A961" s="2">
        <v>1.0</v>
      </c>
      <c r="B961" s="2" t="s">
        <v>2634</v>
      </c>
      <c r="C961" s="2" t="s">
        <v>2635</v>
      </c>
      <c r="D961" s="2" t="s">
        <v>2636</v>
      </c>
      <c r="E961" s="2" t="s">
        <v>33</v>
      </c>
      <c r="F961" s="2" t="s">
        <v>15</v>
      </c>
      <c r="G961" s="2" t="s">
        <v>2637</v>
      </c>
      <c r="H961" s="2" t="s">
        <v>268</v>
      </c>
      <c r="I961" s="2" t="str">
        <f>IFERROR(__xludf.DUMMYFUNCTION("GOOGLETRANSLATE(C961,""fr"",""en"")"),"Managers are unreachable and do not communicate by email but by fax or post. Damage agreement over 3 months ago, still no compensation! Mail sent in RAR on 10/17/17 without response to date 07/11/17")</f>
        <v>Managers are unreachable and do not communicate by email but by fax or post. Damage agreement over 3 months ago, still no compensation! Mail sent in RAR on 10/17/17 without response to date 07/11/17</v>
      </c>
    </row>
    <row r="962" ht="15.75" customHeight="1">
      <c r="A962" s="2">
        <v>5.0</v>
      </c>
      <c r="B962" s="2" t="s">
        <v>2638</v>
      </c>
      <c r="C962" s="2" t="s">
        <v>2639</v>
      </c>
      <c r="D962" s="2" t="s">
        <v>44</v>
      </c>
      <c r="E962" s="2" t="s">
        <v>27</v>
      </c>
      <c r="F962" s="2" t="s">
        <v>15</v>
      </c>
      <c r="G962" s="2" t="s">
        <v>737</v>
      </c>
      <c r="H962" s="2" t="s">
        <v>159</v>
      </c>
      <c r="I962" s="2" t="str">
        <f>IFERROR(__xludf.DUMMYFUNCTION("GOOGLETRANSLATE(C962,""fr"",""en"")"),"The price is correct. The transactions are simple and quick.
Payments are secured by bank identity verification. Navigation on the site is easy.")</f>
        <v>The price is correct. The transactions are simple and quick.
Payments are secured by bank identity verification. Navigation on the site is easy.</v>
      </c>
    </row>
    <row r="963" ht="15.75" customHeight="1">
      <c r="A963" s="2">
        <v>5.0</v>
      </c>
      <c r="B963" s="2" t="s">
        <v>2640</v>
      </c>
      <c r="C963" s="2" t="s">
        <v>2641</v>
      </c>
      <c r="D963" s="2" t="s">
        <v>26</v>
      </c>
      <c r="E963" s="2" t="s">
        <v>27</v>
      </c>
      <c r="F963" s="2" t="s">
        <v>15</v>
      </c>
      <c r="G963" s="2" t="s">
        <v>1964</v>
      </c>
      <c r="H963" s="2" t="s">
        <v>57</v>
      </c>
      <c r="I963" s="2" t="str">
        <f>IFERROR(__xludf.DUMMYFUNCTION("GOOGLETRANSLATE(C963,""fr"",""en"")"),"Very good and very fast, prices are the cheapest currently and in addition if you have several cars, that is less 10 % with each contracts.")</f>
        <v>Very good and very fast, prices are the cheapest currently and in addition if you have several cars, that is less 10 % with each contracts.</v>
      </c>
    </row>
    <row r="964" ht="15.75" customHeight="1">
      <c r="A964" s="2">
        <v>3.0</v>
      </c>
      <c r="B964" s="2" t="s">
        <v>2642</v>
      </c>
      <c r="C964" s="2" t="s">
        <v>2643</v>
      </c>
      <c r="D964" s="2" t="s">
        <v>44</v>
      </c>
      <c r="E964" s="2" t="s">
        <v>27</v>
      </c>
      <c r="F964" s="2" t="s">
        <v>15</v>
      </c>
      <c r="G964" s="2" t="s">
        <v>2126</v>
      </c>
      <c r="H964" s="2" t="s">
        <v>57</v>
      </c>
      <c r="I964" s="2" t="str">
        <f>IFERROR(__xludf.DUMMYFUNCTION("GOOGLETRANSLATE(C964,""fr"",""en"")"),"Communication with Direct Insurance Difficult for the moment!
No opinion on satisfaction at the moment!
Price related to services, satisfactory!")</f>
        <v>Communication with Direct Insurance Difficult for the moment!
No opinion on satisfaction at the moment!
Price related to services, satisfactory!</v>
      </c>
    </row>
    <row r="965" ht="15.75" customHeight="1">
      <c r="A965" s="2">
        <v>1.0</v>
      </c>
      <c r="B965" s="2" t="s">
        <v>2644</v>
      </c>
      <c r="C965" s="2" t="s">
        <v>2645</v>
      </c>
      <c r="D965" s="2" t="s">
        <v>252</v>
      </c>
      <c r="E965" s="2" t="s">
        <v>14</v>
      </c>
      <c r="F965" s="2" t="s">
        <v>15</v>
      </c>
      <c r="G965" s="2" t="s">
        <v>2646</v>
      </c>
      <c r="H965" s="2" t="s">
        <v>119</v>
      </c>
      <c r="I965" s="2" t="str">
        <f>IFERROR(__xludf.DUMMYFUNCTION("GOOGLETRANSLATE(C965,""fr"",""en"")"),"Mutual especially to avoid even worse than my previous mutual. Does not even deserve a star. Watch out for the management of management fees")</f>
        <v>Mutual especially to avoid even worse than my previous mutual. Does not even deserve a star. Watch out for the management of management fees</v>
      </c>
    </row>
    <row r="966" ht="15.75" customHeight="1">
      <c r="A966" s="2">
        <v>1.0</v>
      </c>
      <c r="B966" s="2" t="s">
        <v>2647</v>
      </c>
      <c r="C966" s="2" t="s">
        <v>2648</v>
      </c>
      <c r="D966" s="2" t="s">
        <v>26</v>
      </c>
      <c r="E966" s="2" t="s">
        <v>27</v>
      </c>
      <c r="F966" s="2" t="s">
        <v>15</v>
      </c>
      <c r="G966" s="2" t="s">
        <v>2649</v>
      </c>
      <c r="H966" s="2" t="s">
        <v>184</v>
      </c>
      <c r="I966" s="2" t="str">
        <f>IFERROR(__xludf.DUMMYFUNCTION("GOOGLETRANSLATE(C966,""fr"",""en"")"),"My vehicle was hailed in July 2019.
Here begins our hassle, the olive tree we send to a garage more than an hour from our home .... Naked are not supported given the large number of vehicles impacted in the regions, after several telephone reminders we o"&amp;"btain An appointment to encrypt repairs.
After several months we are relating the garage in order to know the deadlines .....
We are informed that the expertise has been made and that we are awaiting costing.
Then begins a one -year journey where the"&amp;" olive tree will do absolutely nothing for us (we had to contact the expert and recover the documents in order to restart the file and find a garage to repair ... and yes we drive with a car has been updated by all a year).
Finally in June 2020 our mec"&amp;"hanic supported repairs at his expense.
For 4 months we have revived the Olivier Insurance so that our mechanic be paid.
Everything is OK expertise, costing repairs € 7,500, may be expected that we pay the invoice from our pocket.
In summary the olive "&amp;"tree is incompetent.
Customer service is nonexistent.
We will have to contact the insurance mediator soon to assert our rights.
The Olivier Assurance offers attractive faees but the service is not up to it is even worrying that this kind of undertaking"&amp;" exists .....")</f>
        <v>My vehicle was hailed in July 2019.
Here begins our hassle, the olive tree we send to a garage more than an hour from our home .... Naked are not supported given the large number of vehicles impacted in the regions, after several telephone reminders we obtain An appointment to encrypt repairs.
After several months we are relating the garage in order to know the deadlines .....
We are informed that the expertise has been made and that we are awaiting costing.
Then begins a one -year journey where the olive tree will do absolutely nothing for us (we had to contact the expert and recover the documents in order to restart the file and find a garage to repair ... and yes we drive with a car has been updated by all a year).
Finally in June 2020 our mechanic supported repairs at his expense.
For 4 months we have revived the Olivier Insurance so that our mechanic be paid.
Everything is OK expertise, costing repairs € 7,500, may be expected that we pay the invoice from our pocket.
In summary the olive tree is incompetent.
Customer service is nonexistent.
We will have to contact the insurance mediator soon to assert our rights.
The Olivier Assurance offers attractive faees but the service is not up to it is even worrying that this kind of undertaking exists .....</v>
      </c>
    </row>
    <row r="967" ht="15.75" customHeight="1">
      <c r="A967" s="2">
        <v>5.0</v>
      </c>
      <c r="B967" s="2" t="s">
        <v>2650</v>
      </c>
      <c r="C967" s="2" t="s">
        <v>2651</v>
      </c>
      <c r="D967" s="2" t="s">
        <v>332</v>
      </c>
      <c r="E967" s="2" t="s">
        <v>21</v>
      </c>
      <c r="F967" s="2" t="s">
        <v>15</v>
      </c>
      <c r="G967" s="2" t="s">
        <v>441</v>
      </c>
      <c r="H967" s="2" t="s">
        <v>57</v>
      </c>
      <c r="I967" s="2" t="str">
        <f>IFERROR(__xludf.DUMMYFUNCTION("GOOGLETRANSLATE(C967,""fr"",""en"")"),"I am satisfied with the reception received and the precious advice provided by the manager who is) listening and who is very professional.
Thank you for your help")</f>
        <v>I am satisfied with the reception received and the precious advice provided by the manager who is) listening and who is very professional.
Thank you for your help</v>
      </c>
    </row>
    <row r="968" ht="15.75" customHeight="1">
      <c r="A968" s="2">
        <v>4.0</v>
      </c>
      <c r="B968" s="2" t="s">
        <v>2652</v>
      </c>
      <c r="C968" s="2" t="s">
        <v>2653</v>
      </c>
      <c r="D968" s="2" t="s">
        <v>26</v>
      </c>
      <c r="E968" s="2" t="s">
        <v>27</v>
      </c>
      <c r="F968" s="2" t="s">
        <v>15</v>
      </c>
      <c r="G968" s="2" t="s">
        <v>1185</v>
      </c>
      <c r="H968" s="2" t="s">
        <v>46</v>
      </c>
      <c r="I968" s="2" t="str">
        <f>IFERROR(__xludf.DUMMYFUNCTION("GOOGLETRANSLATE(C968,""fr"",""en"")"),"I am satisfied with the price and the staff I had on the phone.
I highly recommend and I can't wait to see how this year will go this year with the insurance olive tree.")</f>
        <v>I am satisfied with the price and the staff I had on the phone.
I highly recommend and I can't wait to see how this year will go this year with the insurance olive tree.</v>
      </c>
    </row>
    <row r="969" ht="15.75" customHeight="1">
      <c r="A969" s="2">
        <v>4.0</v>
      </c>
      <c r="B969" s="2" t="s">
        <v>2654</v>
      </c>
      <c r="C969" s="2" t="s">
        <v>2655</v>
      </c>
      <c r="D969" s="2" t="s">
        <v>332</v>
      </c>
      <c r="E969" s="2" t="s">
        <v>21</v>
      </c>
      <c r="F969" s="2" t="s">
        <v>15</v>
      </c>
      <c r="G969" s="2" t="s">
        <v>745</v>
      </c>
      <c r="H969" s="2" t="s">
        <v>23</v>
      </c>
      <c r="I969" s="2" t="str">
        <f>IFERROR(__xludf.DUMMYFUNCTION("GOOGLETRANSLATE(C969,""fr"",""en"")"),"Very warm telephone reception A very available and professional advisor according to the questions of my coverage needs I think the advisor to friends")</f>
        <v>Very warm telephone reception A very available and professional advisor according to the questions of my coverage needs I think the advisor to friends</v>
      </c>
    </row>
    <row r="970" ht="15.75" customHeight="1">
      <c r="A970" s="2">
        <v>4.0</v>
      </c>
      <c r="B970" s="2" t="s">
        <v>2656</v>
      </c>
      <c r="C970" s="2" t="s">
        <v>2657</v>
      </c>
      <c r="D970" s="2" t="s">
        <v>60</v>
      </c>
      <c r="E970" s="2" t="s">
        <v>14</v>
      </c>
      <c r="F970" s="2" t="s">
        <v>15</v>
      </c>
      <c r="G970" s="2" t="s">
        <v>2658</v>
      </c>
      <c r="H970" s="2" t="s">
        <v>1100</v>
      </c>
      <c r="I970" s="2" t="str">
        <f>IFERROR(__xludf.DUMMYFUNCTION("GOOGLETRANSLATE(C970,""fr"",""en"")"),"I had a reimbursement concerns I had a young man who sent me to shift and give that false info then I recalled I had a young prenovated woman tess who was of a kindness and compete super I thank it strongly for his efficiency and its speed adjusted my con"&amp;"cerns thank you very much")</f>
        <v>I had a reimbursement concerns I had a young man who sent me to shift and give that false info then I recalled I had a young prenovated woman tess who was of a kindness and compete super I thank it strongly for his efficiency and its speed adjusted my concerns thank you very much</v>
      </c>
    </row>
    <row r="971" ht="15.75" customHeight="1">
      <c r="A971" s="2">
        <v>3.0</v>
      </c>
      <c r="B971" s="2" t="s">
        <v>2659</v>
      </c>
      <c r="C971" s="2" t="s">
        <v>2660</v>
      </c>
      <c r="D971" s="2" t="s">
        <v>44</v>
      </c>
      <c r="E971" s="2" t="s">
        <v>27</v>
      </c>
      <c r="F971" s="2" t="s">
        <v>15</v>
      </c>
      <c r="G971" s="2" t="s">
        <v>1315</v>
      </c>
      <c r="H971" s="2" t="s">
        <v>35</v>
      </c>
      <c r="I971" s="2" t="str">
        <f>IFERROR(__xludf.DUMMYFUNCTION("GOOGLETRANSLATE(C971,""fr"",""en"")"),"Too bad because I would like to change my vehicle soon and buy a recent vehicle but I find you dear compared to some of your competitors. My insurance would double by taking all risks around 500 euros more than at present so I will think because I think t"&amp;"o change my vehicle in June 2021 thank you")</f>
        <v>Too bad because I would like to change my vehicle soon and buy a recent vehicle but I find you dear compared to some of your competitors. My insurance would double by taking all risks around 500 euros more than at present so I will think because I think to change my vehicle in June 2021 thank you</v>
      </c>
    </row>
    <row r="972" ht="15.75" customHeight="1">
      <c r="A972" s="2">
        <v>4.0</v>
      </c>
      <c r="B972" s="2" t="s">
        <v>2661</v>
      </c>
      <c r="C972" s="2" t="s">
        <v>2662</v>
      </c>
      <c r="D972" s="2" t="s">
        <v>38</v>
      </c>
      <c r="E972" s="2" t="s">
        <v>39</v>
      </c>
      <c r="F972" s="2" t="s">
        <v>15</v>
      </c>
      <c r="G972" s="2" t="s">
        <v>1639</v>
      </c>
      <c r="H972" s="2" t="s">
        <v>46</v>
      </c>
      <c r="I972" s="2" t="str">
        <f>IFERROR(__xludf.DUMMYFUNCTION("GOOGLETRANSLATE(C972,""fr"",""en"")"),"Perfect impeccable service
Top Telephonic welcome
I recommend
Too bad the flight cover costs as cheap as for a 300 cc petrol scooter")</f>
        <v>Perfect impeccable service
Top Telephonic welcome
I recommend
Too bad the flight cover costs as cheap as for a 300 cc petrol scooter</v>
      </c>
    </row>
    <row r="973" ht="15.75" customHeight="1">
      <c r="A973" s="2">
        <v>5.0</v>
      </c>
      <c r="B973" s="2" t="s">
        <v>2663</v>
      </c>
      <c r="C973" s="2" t="s">
        <v>2664</v>
      </c>
      <c r="D973" s="2" t="s">
        <v>134</v>
      </c>
      <c r="E973" s="2" t="s">
        <v>27</v>
      </c>
      <c r="F973" s="2" t="s">
        <v>15</v>
      </c>
      <c r="G973" s="2" t="s">
        <v>1821</v>
      </c>
      <c r="H973" s="2" t="s">
        <v>46</v>
      </c>
      <c r="I973" s="2" t="str">
        <f>IFERROR(__xludf.DUMMYFUNCTION("GOOGLETRANSLATE(C973,""fr"",""en"")"),"I am satisfied with the service
Prices suit me
Simple and practical.
You are always listening to your customers and always meet as soon as possible.")</f>
        <v>I am satisfied with the service
Prices suit me
Simple and practical.
You are always listening to your customers and always meet as soon as possible.</v>
      </c>
    </row>
    <row r="974" ht="15.75" customHeight="1">
      <c r="A974" s="2">
        <v>2.0</v>
      </c>
      <c r="B974" s="2" t="s">
        <v>2665</v>
      </c>
      <c r="C974" s="2" t="s">
        <v>2666</v>
      </c>
      <c r="D974" s="2" t="s">
        <v>109</v>
      </c>
      <c r="E974" s="2" t="s">
        <v>33</v>
      </c>
      <c r="F974" s="2" t="s">
        <v>15</v>
      </c>
      <c r="G974" s="2" t="s">
        <v>586</v>
      </c>
      <c r="H974" s="2" t="s">
        <v>17</v>
      </c>
      <c r="I974" s="2" t="str">
        <f>IFERROR(__xludf.DUMMYFUNCTION("GOOGLETRANSLATE(C974,""fr"",""en"")"),"In my apartment I had to undergo a disaster (water damage), from the common areas. An amicable observation was drawn up with the building insurer and I had a quote established by a serious painter. A priori therefore no problem. I have been a Matmut custo"&amp;"mer for all my contracts for over forty years and I have never had a claim. So I saw how compensation takes place. Inter-mutual assistance manages the file on behalf of the two insurers, with the sole objective of limiting compensation as much as possible"&amp;". The person I had on the phone finally advised me to do the work myself (!) And my insurance sent me an amount corresponding to less than a quarter of the quote. In short, in principle I will change insurer (even if the new one will not be better). But a"&amp;"t least the Matmut will lose bonuses of an insured without disaster. Basically, sinister, it is the insurers who are!")</f>
        <v>In my apartment I had to undergo a disaster (water damage), from the common areas. An amicable observation was drawn up with the building insurer and I had a quote established by a serious painter. A priori therefore no problem. I have been a Matmut customer for all my contracts for over forty years and I have never had a claim. So I saw how compensation takes place. Inter-mutual assistance manages the file on behalf of the two insurers, with the sole objective of limiting compensation as much as possible. The person I had on the phone finally advised me to do the work myself (!) And my insurance sent me an amount corresponding to less than a quarter of the quote. In short, in principle I will change insurer (even if the new one will not be better). But at least the Matmut will lose bonuses of an insured without disaster. Basically, sinister, it is the insurers who are!</v>
      </c>
    </row>
    <row r="975" ht="15.75" customHeight="1">
      <c r="A975" s="2">
        <v>2.0</v>
      </c>
      <c r="B975" s="2" t="s">
        <v>2667</v>
      </c>
      <c r="C975" s="2" t="s">
        <v>2668</v>
      </c>
      <c r="D975" s="2" t="s">
        <v>117</v>
      </c>
      <c r="E975" s="2" t="s">
        <v>27</v>
      </c>
      <c r="F975" s="2" t="s">
        <v>15</v>
      </c>
      <c r="G975" s="2" t="s">
        <v>1964</v>
      </c>
      <c r="H975" s="2" t="s">
        <v>57</v>
      </c>
      <c r="I975" s="2" t="str">
        <f>IFERROR(__xludf.DUMMYFUNCTION("GOOGLETRANSLATE(C975,""fr"",""en"")"),"Hello, I give my opinion following a disastrous experience lived today.
I leave my car to my trusted mechanic for various repairs, some of which are due to a small car accident. So I call on assistance for a vehicle loan that I pay with my insurance.
On"&amp;"line reservation for the first agency (10 min from my home) and arrived with a taxi which deposits me before and result the agency had been closed following a liquidation for several months.
After 45 min of waiting, a second taxi comes to pick me up to d"&amp;"rop me off at a second rental agency (30 minutes from my home in the 77) Rebelotte, closed! The agency owner has a second in the 95, the latter even in which my loan car was reserved. Very big lack of communication between the assistance and the second ca"&amp;"r rental company (the agency thought it had reserved for the agency of 77 and the owner made the reservation in the agency of 95). So after spending my afternoon between taxi and waiting, I decided to find a vehicle on my own.
I therefore ask for a comme"&amp;"rcial gesture from insurance following the uninformed, their response: you have to see with the head office but it is not sure that they accept and it can be long.
I do not recommend this insurance at all (for auto assistance at least) because it does no"&amp;"t know how to choose reliable car rental agencies.")</f>
        <v>Hello, I give my opinion following a disastrous experience lived today.
I leave my car to my trusted mechanic for various repairs, some of which are due to a small car accident. So I call on assistance for a vehicle loan that I pay with my insurance.
Online reservation for the first agency (10 min from my home) and arrived with a taxi which deposits me before and result the agency had been closed following a liquidation for several months.
After 45 min of waiting, a second taxi comes to pick me up to drop me off at a second rental agency (30 minutes from my home in the 77) Rebelotte, closed! The agency owner has a second in the 95, the latter even in which my loan car was reserved. Very big lack of communication between the assistance and the second car rental company (the agency thought it had reserved for the agency of 77 and the owner made the reservation in the agency of 95). So after spending my afternoon between taxi and waiting, I decided to find a vehicle on my own.
I therefore ask for a commercial gesture from insurance following the uninformed, their response: you have to see with the head office but it is not sure that they accept and it can be long.
I do not recommend this insurance at all (for auto assistance at least) because it does not know how to choose reliable car rental agencies.</v>
      </c>
    </row>
    <row r="976" ht="15.75" customHeight="1">
      <c r="A976" s="2">
        <v>1.0</v>
      </c>
      <c r="B976" s="2" t="s">
        <v>2669</v>
      </c>
      <c r="C976" s="2" t="s">
        <v>2670</v>
      </c>
      <c r="D976" s="2" t="s">
        <v>75</v>
      </c>
      <c r="E976" s="2" t="s">
        <v>76</v>
      </c>
      <c r="F976" s="2" t="s">
        <v>15</v>
      </c>
      <c r="G976" s="2" t="s">
        <v>582</v>
      </c>
      <c r="H976" s="2" t="s">
        <v>583</v>
      </c>
      <c r="I976" s="2" t="str">
        <f>IFERROR(__xludf.DUMMYFUNCTION("GOOGLETRANSLATE(C976,""fr"",""en"")"),"Frankly they deserve a total zero. It is a bunch of incompetents. I have never seen this and you have to live it to believe it. I have a life insurance contract. I sent my file two and a half months before without having any answer. When I phone I am told"&amp;" that my file is complete and then I am asked for additional proof. This adds a month of delay each time. It is a band of incapable")</f>
        <v>Frankly they deserve a total zero. It is a bunch of incompetents. I have never seen this and you have to live it to believe it. I have a life insurance contract. I sent my file two and a half months before without having any answer. When I phone I am told that my file is complete and then I am asked for additional proof. This adds a month of delay each time. It is a band of incapable</v>
      </c>
    </row>
    <row r="977" ht="15.75" customHeight="1">
      <c r="A977" s="2">
        <v>1.0</v>
      </c>
      <c r="B977" s="2" t="s">
        <v>2671</v>
      </c>
      <c r="C977" s="2" t="s">
        <v>2672</v>
      </c>
      <c r="D977" s="2" t="s">
        <v>105</v>
      </c>
      <c r="E977" s="2" t="s">
        <v>39</v>
      </c>
      <c r="F977" s="2" t="s">
        <v>15</v>
      </c>
      <c r="G977" s="2" t="s">
        <v>2673</v>
      </c>
      <c r="H977" s="2" t="s">
        <v>234</v>
      </c>
      <c r="I977" s="2" t="str">
        <f>IFERROR(__xludf.DUMMYFUNCTION("GOOGLETRANSLATE(C977,""fr"",""en"")"),"Hello I fell from a scooter following the blockage of the accelerator of my scooter bought nine 3 months ago. The scooter A was assembled twice with the conclusion of manufacturing. AMV this returns against the dealership but since no response, AMV has re"&amp;"vived all the temp but always no response. I am obliged to take a lawyer because nothing moves I am told to wait for her it's been 6 months that I expect, my scooter is in a garage dismantled and under the scales must be brought me back to this state at m"&amp;"y home. 150 euros in fees, I can no longer work from this temp because to operate on the back following this accident. And today we have to wait for my patience to limits, I pay insurance for a scooter dismantle and under seal. If I take no lawyer it will"&amp;" not move in fact amv you are useless.")</f>
        <v>Hello I fell from a scooter following the blockage of the accelerator of my scooter bought nine 3 months ago. The scooter A was assembled twice with the conclusion of manufacturing. AMV this returns against the dealership but since no response, AMV has revived all the temp but always no response. I am obliged to take a lawyer because nothing moves I am told to wait for her it's been 6 months that I expect, my scooter is in a garage dismantled and under the scales must be brought me back to this state at my home. 150 euros in fees, I can no longer work from this temp because to operate on the back following this accident. And today we have to wait for my patience to limits, I pay insurance for a scooter dismantle and under seal. If I take no lawyer it will not move in fact amv you are useless.</v>
      </c>
    </row>
    <row r="978" ht="15.75" customHeight="1">
      <c r="A978" s="2">
        <v>1.0</v>
      </c>
      <c r="B978" s="2" t="s">
        <v>2674</v>
      </c>
      <c r="C978" s="2" t="s">
        <v>2675</v>
      </c>
      <c r="D978" s="2" t="s">
        <v>148</v>
      </c>
      <c r="E978" s="2" t="s">
        <v>33</v>
      </c>
      <c r="F978" s="2" t="s">
        <v>15</v>
      </c>
      <c r="G978" s="2" t="s">
        <v>2676</v>
      </c>
      <c r="H978" s="2" t="s">
        <v>94</v>
      </c>
      <c r="I978" s="2" t="str">
        <f>IFERROR(__xludf.DUMMYFUNCTION("GOOGLETRANSLATE(C978,""fr"",""en"")"),"I can no longer bear their slogan ... militant insurer .... no assistance during my daughter's deception in a car accident ... RT Disability. Active for us to have our rights recognized")</f>
        <v>I can no longer bear their slogan ... militant insurer .... no assistance during my daughter's deception in a car accident ... RT Disability. Active for us to have our rights recognized</v>
      </c>
    </row>
    <row r="979" ht="15.75" customHeight="1">
      <c r="A979" s="2">
        <v>5.0</v>
      </c>
      <c r="B979" s="2" t="s">
        <v>2677</v>
      </c>
      <c r="C979" s="2" t="s">
        <v>2678</v>
      </c>
      <c r="D979" s="2" t="s">
        <v>332</v>
      </c>
      <c r="E979" s="2" t="s">
        <v>21</v>
      </c>
      <c r="F979" s="2" t="s">
        <v>15</v>
      </c>
      <c r="G979" s="2" t="s">
        <v>2679</v>
      </c>
      <c r="H979" s="2" t="s">
        <v>46</v>
      </c>
      <c r="I979" s="2" t="str">
        <f>IFERROR(__xludf.DUMMYFUNCTION("GOOGLETRANSLATE(C979,""fr"",""en"")"),"Easy to use site interface
The elements received by email are clear.
Advisor reception, follow -up of the file = efficient, pro, pleasant
I advise.")</f>
        <v>Easy to use site interface
The elements received by email are clear.
Advisor reception, follow -up of the file = efficient, pro, pleasant
I advise.</v>
      </c>
    </row>
    <row r="980" ht="15.75" customHeight="1">
      <c r="A980" s="2">
        <v>4.0</v>
      </c>
      <c r="B980" s="2" t="s">
        <v>2680</v>
      </c>
      <c r="C980" s="2" t="s">
        <v>2681</v>
      </c>
      <c r="D980" s="2" t="s">
        <v>26</v>
      </c>
      <c r="E980" s="2" t="s">
        <v>27</v>
      </c>
      <c r="F980" s="2" t="s">
        <v>15</v>
      </c>
      <c r="G980" s="2" t="s">
        <v>1164</v>
      </c>
      <c r="H980" s="2" t="s">
        <v>41</v>
      </c>
      <c r="I980" s="2" t="str">
        <f>IFERROR(__xludf.DUMMYFUNCTION("GOOGLETRANSLATE(C980,""fr"",""en"")"),"Competent teleoperator.
Price on new satisfactory contract. Abnormal that the price is much higher if I had followed my new car on the contract of my old one.
I would be fully satisfied if the price does not increase each year in an exaggerated and unju"&amp;"stified manner.
")</f>
        <v>Competent teleoperator.
Price on new satisfactory contract. Abnormal that the price is much higher if I had followed my new car on the contract of my old one.
I would be fully satisfied if the price does not increase each year in an exaggerated and unjustified manner.
</v>
      </c>
    </row>
    <row r="981" ht="15.75" customHeight="1">
      <c r="A981" s="2">
        <v>5.0</v>
      </c>
      <c r="B981" s="2" t="s">
        <v>2682</v>
      </c>
      <c r="C981" s="2" t="s">
        <v>2683</v>
      </c>
      <c r="D981" s="2" t="s">
        <v>26</v>
      </c>
      <c r="E981" s="2" t="s">
        <v>27</v>
      </c>
      <c r="F981" s="2" t="s">
        <v>15</v>
      </c>
      <c r="G981" s="2" t="s">
        <v>666</v>
      </c>
      <c r="H981" s="2" t="s">
        <v>46</v>
      </c>
      <c r="I981" s="2" t="str">
        <f>IFERROR(__xludf.DUMMYFUNCTION("GOOGLETRANSLATE(C981,""fr"",""en"")"),"At the top reasonable price; Very welcome and very fast telephone reception. The site is easy to access and not complicated. Nice and fast service.")</f>
        <v>At the top reasonable price; Very welcome and very fast telephone reception. The site is easy to access and not complicated. Nice and fast service.</v>
      </c>
    </row>
    <row r="982" ht="15.75" customHeight="1">
      <c r="A982" s="2">
        <v>3.0</v>
      </c>
      <c r="B982" s="2" t="s">
        <v>2684</v>
      </c>
      <c r="C982" s="2" t="s">
        <v>2685</v>
      </c>
      <c r="D982" s="2" t="s">
        <v>105</v>
      </c>
      <c r="E982" s="2" t="s">
        <v>39</v>
      </c>
      <c r="F982" s="2" t="s">
        <v>15</v>
      </c>
      <c r="G982" s="2" t="s">
        <v>2139</v>
      </c>
      <c r="H982" s="2" t="s">
        <v>23</v>
      </c>
      <c r="I982" s="2" t="str">
        <f>IFERROR(__xludf.DUMMYFUNCTION("GOOGLETRANSLATE(C982,""fr"",""en"")"),"1st time I assure myself at AMV, but biker friend swears by them.
From what I have seen in relation to other insurance, their prices are reasonable.
")</f>
        <v>1st time I assure myself at AMV, but biker friend swears by them.
From what I have seen in relation to other insurance, their prices are reasonable.
</v>
      </c>
    </row>
    <row r="983" ht="15.75" customHeight="1">
      <c r="A983" s="2">
        <v>1.0</v>
      </c>
      <c r="B983" s="2" t="s">
        <v>2686</v>
      </c>
      <c r="C983" s="2" t="s">
        <v>2687</v>
      </c>
      <c r="D983" s="2" t="s">
        <v>44</v>
      </c>
      <c r="E983" s="2" t="s">
        <v>27</v>
      </c>
      <c r="F983" s="2" t="s">
        <v>15</v>
      </c>
      <c r="G983" s="2" t="s">
        <v>2022</v>
      </c>
      <c r="H983" s="2" t="s">
        <v>35</v>
      </c>
      <c r="I983" s="2" t="str">
        <f>IFERROR(__xludf.DUMMYFUNCTION("GOOGLETRANSLATE(C983,""fr"",""en"")"),"Very very bad experience with this insurance. It costs a fortune, we are very badly reimbursed in the event of an accident, even in any risk, a huge deductible and also 10 % of the amount of work to pay! A claim that lasted more than seven months, for whi"&amp;"ch I had to defend myself alone with the opposing insurance. And to say I was successful !!
Are not able to do their job. Really to flee as quickly as possible!")</f>
        <v>Very very bad experience with this insurance. It costs a fortune, we are very badly reimbursed in the event of an accident, even in any risk, a huge deductible and also 10 % of the amount of work to pay! A claim that lasted more than seven months, for which I had to defend myself alone with the opposing insurance. And to say I was successful !!
Are not able to do their job. Really to flee as quickly as possible!</v>
      </c>
    </row>
    <row r="984" ht="15.75" customHeight="1">
      <c r="A984" s="2">
        <v>3.0</v>
      </c>
      <c r="B984" s="2" t="s">
        <v>2688</v>
      </c>
      <c r="C984" s="2" t="s">
        <v>2689</v>
      </c>
      <c r="D984" s="2" t="s">
        <v>134</v>
      </c>
      <c r="E984" s="2" t="s">
        <v>27</v>
      </c>
      <c r="F984" s="2" t="s">
        <v>15</v>
      </c>
      <c r="G984" s="2" t="s">
        <v>2690</v>
      </c>
      <c r="H984" s="2" t="s">
        <v>23</v>
      </c>
      <c r="I984" s="2" t="str">
        <f>IFERROR(__xludf.DUMMYFUNCTION("GOOGLETRANSLATE(C984,""fr"",""en"")"),"I want an insurance certificate and I can't find it. I only find a certificate to go abroad or carpooling.
Impossible to take the next step without validating this questionnaire?")</f>
        <v>I want an insurance certificate and I can't find it. I only find a certificate to go abroad or carpooling.
Impossible to take the next step without validating this questionnaire?</v>
      </c>
    </row>
    <row r="985" ht="15.75" customHeight="1">
      <c r="A985" s="2">
        <v>1.0</v>
      </c>
      <c r="B985" s="2" t="s">
        <v>2691</v>
      </c>
      <c r="C985" s="2" t="s">
        <v>2692</v>
      </c>
      <c r="D985" s="2" t="s">
        <v>129</v>
      </c>
      <c r="E985" s="2" t="s">
        <v>27</v>
      </c>
      <c r="F985" s="2" t="s">
        <v>15</v>
      </c>
      <c r="G985" s="2" t="s">
        <v>2693</v>
      </c>
      <c r="H985" s="2" t="s">
        <v>343</v>
      </c>
      <c r="I985" s="2" t="str">
        <f>IFERROR(__xludf.DUMMYFUNCTION("GOOGLETRANSLATE(C985,""fr"",""en"")"),"Insurance paid at the end of July ... On June 9, we receive a recommended recommended that insurance will be canceled .... Impossible to connect in early July to settle my insurance.
Without spoken that he does not respond to messages ....")</f>
        <v>Insurance paid at the end of July ... On June 9, we receive a recommended recommended that insurance will be canceled .... Impossible to connect in early July to settle my insurance.
Without spoken that he does not respond to messages ....</v>
      </c>
    </row>
    <row r="986" ht="15.75" customHeight="1">
      <c r="A986" s="2">
        <v>4.0</v>
      </c>
      <c r="B986" s="2" t="s">
        <v>2694</v>
      </c>
      <c r="C986" s="2" t="s">
        <v>2695</v>
      </c>
      <c r="D986" s="2" t="s">
        <v>44</v>
      </c>
      <c r="E986" s="2" t="s">
        <v>27</v>
      </c>
      <c r="F986" s="2" t="s">
        <v>15</v>
      </c>
      <c r="G986" s="2" t="s">
        <v>1261</v>
      </c>
      <c r="H986" s="2" t="s">
        <v>57</v>
      </c>
      <c r="I986" s="2" t="str">
        <f>IFERROR(__xludf.DUMMYFUNCTION("GOOGLETRANSLATE(C986,""fr"",""en"")"),"I find the increase of this year very important this year, it is all the more heavily in part for this payment, I did not have to use your services.")</f>
        <v>I find the increase of this year very important this year, it is all the more heavily in part for this payment, I did not have to use your services.</v>
      </c>
    </row>
    <row r="987" ht="15.75" customHeight="1">
      <c r="A987" s="2">
        <v>1.0</v>
      </c>
      <c r="B987" s="2" t="s">
        <v>2696</v>
      </c>
      <c r="C987" s="2" t="s">
        <v>2697</v>
      </c>
      <c r="D987" s="2" t="s">
        <v>129</v>
      </c>
      <c r="E987" s="2" t="s">
        <v>27</v>
      </c>
      <c r="F987" s="2" t="s">
        <v>15</v>
      </c>
      <c r="G987" s="2" t="s">
        <v>1206</v>
      </c>
      <c r="H987" s="2" t="s">
        <v>41</v>
      </c>
      <c r="I987" s="2" t="str">
        <f>IFERROR(__xludf.DUMMYFUNCTION("GOOGLETRANSLATE(C987,""fr"",""en"")"),"Assurance to flee big blah blah and that's all because taking money does not even give back a coefficient after terminating the key birthday and having no accident even in any risk because you will be forced to do criminal procedures which are very very l"&amp;"ong and while waiting for these you who pay then stop assurance to flee especially not to be trapped by offers of beautiful to believe in it, moreover foreign insurance no advisor by correctly French and I am not racist")</f>
        <v>Assurance to flee big blah blah and that's all because taking money does not even give back a coefficient after terminating the key birthday and having no accident even in any risk because you will be forced to do criminal procedures which are very very long and while waiting for these you who pay then stop assurance to flee especially not to be trapped by offers of beautiful to believe in it, moreover foreign insurance no advisor by correctly French and I am not racist</v>
      </c>
    </row>
    <row r="988" ht="15.75" customHeight="1">
      <c r="A988" s="2">
        <v>1.0</v>
      </c>
      <c r="B988" s="2" t="s">
        <v>2698</v>
      </c>
      <c r="C988" s="2" t="s">
        <v>2699</v>
      </c>
      <c r="D988" s="2" t="s">
        <v>204</v>
      </c>
      <c r="E988" s="2" t="s">
        <v>27</v>
      </c>
      <c r="F988" s="2" t="s">
        <v>15</v>
      </c>
      <c r="G988" s="2" t="s">
        <v>1191</v>
      </c>
      <c r="H988" s="2" t="s">
        <v>111</v>
      </c>
      <c r="I988" s="2" t="str">
        <f>IFERROR(__xludf.DUMMYFUNCTION("GOOGLETRANSLATE(C988,""fr"",""en"")"),"To flee absolutely !!!
I recently had a car accident on the highway. My car was towed by the company in charge of highways and stored on their park. This company not being approved to carry out repairs, Allianz asked me if he could transfer the vehicle t"&amp;"o another garage. I gave my agreement.
However, to be able to transfer the vehicle, I had to pay the towing costs and the guard costs or more than € 600.
Allianz took 5 months to reimburse € 52. After receiving a complaint letter, they shamelessly tell "&amp;"me that my contract provides for a reimbursement of € 250 and that the security fees are not covered.
So I find myself having to pay more than 350 € just so that my insurer can work with an approved garage
For my part, I had not asked anything and I sho"&amp;"uld have refused the transfer.
I am angry with Allianz and I will change company")</f>
        <v>To flee absolutely !!!
I recently had a car accident on the highway. My car was towed by the company in charge of highways and stored on their park. This company not being approved to carry out repairs, Allianz asked me if he could transfer the vehicle to another garage. I gave my agreement.
However, to be able to transfer the vehicle, I had to pay the towing costs and the guard costs or more than € 600.
Allianz took 5 months to reimburse € 52. After receiving a complaint letter, they shamelessly tell me that my contract provides for a reimbursement of € 250 and that the security fees are not covered.
So I find myself having to pay more than 350 € just so that my insurer can work with an approved garage
For my part, I had not asked anything and I should have refused the transfer.
I am angry with Allianz and I will change company</v>
      </c>
    </row>
    <row r="989" ht="15.75" customHeight="1">
      <c r="A989" s="2">
        <v>1.0</v>
      </c>
      <c r="B989" s="2" t="s">
        <v>2700</v>
      </c>
      <c r="C989" s="2" t="s">
        <v>2701</v>
      </c>
      <c r="D989" s="2" t="s">
        <v>32</v>
      </c>
      <c r="E989" s="2" t="s">
        <v>33</v>
      </c>
      <c r="F989" s="2" t="s">
        <v>15</v>
      </c>
      <c r="G989" s="2" t="s">
        <v>2702</v>
      </c>
      <c r="H989" s="2" t="s">
        <v>86</v>
      </c>
      <c r="I989" s="2" t="str">
        <f>IFERROR(__xludf.DUMMYFUNCTION("GOOGLETRANSLATE(C989,""fr"",""en"")"),"Be careful, the Macif earns its life thanks to burglaries .. it reports, it is the jackpot ...
We were robbed, damage 15,000 EU in HI FI Silver Watches ...
La Macif, 20 years old with them reimburses 0 eu ... but general surprise .. claims 4,500 has fil"&amp;"e fees for expertise ...
Clear for each burglary the Macif is 4,500 eu ..
My depressive husband and at the RSA insult them .. suddenly he was put in prison for a few days.
Thank you the Macif ...
His trial took place the Macif claimed 254 in expense ."&amp;"..
Fuele this insurance, Inch Allah, the worst of France ..
Make a comparison they are very expensive and love money ...")</f>
        <v>Be careful, the Macif earns its life thanks to burglaries .. it reports, it is the jackpot ...
We were robbed, damage 15,000 EU in HI FI Silver Watches ...
La Macif, 20 years old with them reimburses 0 eu ... but general surprise .. claims 4,500 has file fees for expertise ...
Clear for each burglary the Macif is 4,500 eu ..
My depressive husband and at the RSA insult them .. suddenly he was put in prison for a few days.
Thank you the Macif ...
His trial took place the Macif claimed 254 in expense ...
Fuele this insurance, Inch Allah, the worst of France ..
Make a comparison they are very expensive and love money ...</v>
      </c>
    </row>
    <row r="990" ht="15.75" customHeight="1">
      <c r="A990" s="2">
        <v>2.0</v>
      </c>
      <c r="B990" s="2" t="s">
        <v>2703</v>
      </c>
      <c r="C990" s="2" t="s">
        <v>2704</v>
      </c>
      <c r="D990" s="2" t="s">
        <v>44</v>
      </c>
      <c r="E990" s="2" t="s">
        <v>27</v>
      </c>
      <c r="F990" s="2" t="s">
        <v>15</v>
      </c>
      <c r="G990" s="2" t="s">
        <v>1545</v>
      </c>
      <c r="H990" s="2" t="s">
        <v>382</v>
      </c>
      <c r="I990" s="2" t="str">
        <f>IFERROR(__xludf.DUMMYFUNCTION("GOOGLETRANSLATE(C990,""fr"",""en"")"),"I got up my car since May 2017 my insurance, my insurance has been a direct insurance for a walk for months and in months your file is in survey I heard this response at least 39 times but worse, it is that we tells you that the sinister service will reme"&amp;"mber you and I still really expect this customer crazy but wait for it is not the worst is that you are asked of email but which remains unanswered it is true that price level this insurance is Very attractive but I conjure you never take direct insurance")</f>
        <v>I got up my car since May 2017 my insurance, my insurance has been a direct insurance for a walk for months and in months your file is in survey I heard this response at least 39 times but worse, it is that we tells you that the sinister service will remember you and I still really expect this customer crazy but wait for it is not the worst is that you are asked of email but which remains unanswered it is true that price level this insurance is Very attractive but I conjure you never take direct insurance</v>
      </c>
    </row>
    <row r="991" ht="15.75" customHeight="1">
      <c r="A991" s="2">
        <v>4.0</v>
      </c>
      <c r="B991" s="2" t="s">
        <v>2705</v>
      </c>
      <c r="C991" s="2" t="s">
        <v>2706</v>
      </c>
      <c r="D991" s="2" t="s">
        <v>540</v>
      </c>
      <c r="E991" s="2" t="s">
        <v>14</v>
      </c>
      <c r="F991" s="2" t="s">
        <v>15</v>
      </c>
      <c r="G991" s="2" t="s">
        <v>2707</v>
      </c>
      <c r="H991" s="2" t="s">
        <v>1100</v>
      </c>
      <c r="I991" s="2" t="str">
        <f>IFERROR(__xludf.DUMMYFUNCTION("GOOGLETRANSLATE(C991,""fr"",""en"")"),"With the MGP it is simple fast and effective, there is the possibility of doing this removal if no advisor is available, always pleasant and listening service.")</f>
        <v>With the MGP it is simple fast and effective, there is the possibility of doing this removal if no advisor is available, always pleasant and listening service.</v>
      </c>
    </row>
    <row r="992" ht="15.75" customHeight="1">
      <c r="A992" s="2">
        <v>3.0</v>
      </c>
      <c r="B992" s="2" t="s">
        <v>2708</v>
      </c>
      <c r="C992" s="2" t="s">
        <v>2709</v>
      </c>
      <c r="D992" s="2" t="s">
        <v>165</v>
      </c>
      <c r="E992" s="2" t="s">
        <v>27</v>
      </c>
      <c r="F992" s="2" t="s">
        <v>15</v>
      </c>
      <c r="G992" s="2" t="s">
        <v>2710</v>
      </c>
      <c r="H992" s="2" t="s">
        <v>922</v>
      </c>
      <c r="I992" s="2" t="str">
        <f>IFERROR(__xludf.DUMMYFUNCTION("GOOGLETRANSLATE(C992,""fr"",""en"")"),"Hello
Eurofil Auto Insurance, it's okay ,,,,, it is cheap and customer service is ,,, no problem, I am satisfied, no problem.")</f>
        <v>Hello
Eurofil Auto Insurance, it's okay ,,,,, it is cheap and customer service is ,,, no problem, I am satisfied, no problem.</v>
      </c>
    </row>
    <row r="993" ht="15.75" customHeight="1">
      <c r="A993" s="2">
        <v>3.0</v>
      </c>
      <c r="B993" s="2" t="s">
        <v>2711</v>
      </c>
      <c r="C993" s="2" t="s">
        <v>2712</v>
      </c>
      <c r="D993" s="2" t="s">
        <v>26</v>
      </c>
      <c r="E993" s="2" t="s">
        <v>27</v>
      </c>
      <c r="F993" s="2" t="s">
        <v>15</v>
      </c>
      <c r="G993" s="2" t="s">
        <v>162</v>
      </c>
      <c r="H993" s="2" t="s">
        <v>29</v>
      </c>
      <c r="I993" s="2" t="str">
        <f>IFERROR(__xludf.DUMMYFUNCTION("GOOGLETRANSLATE(C993,""fr"",""en"")"),"Fairly high price linked to the secondary driver but complete guarantees
Easy to subscribe by internet
Good reputation of the olive assurance reassuring")</f>
        <v>Fairly high price linked to the secondary driver but complete guarantees
Easy to subscribe by internet
Good reputation of the olive assurance reassuring</v>
      </c>
    </row>
    <row r="994" ht="15.75" customHeight="1">
      <c r="A994" s="2">
        <v>1.0</v>
      </c>
      <c r="B994" s="2" t="s">
        <v>2713</v>
      </c>
      <c r="C994" s="2" t="s">
        <v>2714</v>
      </c>
      <c r="D994" s="2" t="s">
        <v>60</v>
      </c>
      <c r="E994" s="2" t="s">
        <v>14</v>
      </c>
      <c r="F994" s="2" t="s">
        <v>15</v>
      </c>
      <c r="G994" s="2" t="s">
        <v>2715</v>
      </c>
      <c r="H994" s="2" t="s">
        <v>1100</v>
      </c>
      <c r="I994" s="2" t="str">
        <f>IFERROR(__xludf.DUMMYFUNCTION("GOOGLETRANSLATE(C994,""fr"",""en"")"),"I just subscribed a month and a half ago and I send a hospitalization quote for my son on the Santiane site and for 1 and a half week I have not been an answer, I try to call. morning and all day long that the number registered on the mutual card and ther"&amp;"e is no tone and then beep 2 times and then hangs up, I had to call my legal service which gives me the steps to follow because I pay a mutual which is not Not available and not responsive, I find it shameful on the part of a mutual to take money and not "&amp;"give any sign of life ....")</f>
        <v>I just subscribed a month and a half ago and I send a hospitalization quote for my son on the Santiane site and for 1 and a half week I have not been an answer, I try to call. morning and all day long that the number registered on the mutual card and there is no tone and then beep 2 times and then hangs up, I had to call my legal service which gives me the steps to follow because I pay a mutual which is not Not available and not responsive, I find it shameful on the part of a mutual to take money and not give any sign of life ....</v>
      </c>
    </row>
    <row r="995" ht="15.75" customHeight="1">
      <c r="A995" s="2">
        <v>2.0</v>
      </c>
      <c r="B995" s="2" t="s">
        <v>2716</v>
      </c>
      <c r="C995" s="2" t="s">
        <v>2717</v>
      </c>
      <c r="D995" s="2" t="s">
        <v>315</v>
      </c>
      <c r="E995" s="2" t="s">
        <v>21</v>
      </c>
      <c r="F995" s="2" t="s">
        <v>15</v>
      </c>
      <c r="G995" s="2" t="s">
        <v>2718</v>
      </c>
      <c r="H995" s="2" t="s">
        <v>268</v>
      </c>
      <c r="I995" s="2" t="str">
        <f>IFERROR(__xludf.DUMMYFUNCTION("GOOGLETRANSLATE(C995,""fr"",""en"")"),"In ITT for 8 months and the file is still being processed. You have to constantly provide a new part which were not requested before.")</f>
        <v>In ITT for 8 months and the file is still being processed. You have to constantly provide a new part which were not requested before.</v>
      </c>
    </row>
    <row r="996" ht="15.75" customHeight="1">
      <c r="A996" s="2">
        <v>4.0</v>
      </c>
      <c r="B996" s="2" t="s">
        <v>2719</v>
      </c>
      <c r="C996" s="2" t="s">
        <v>2720</v>
      </c>
      <c r="D996" s="2" t="s">
        <v>26</v>
      </c>
      <c r="E996" s="2" t="s">
        <v>27</v>
      </c>
      <c r="F996" s="2" t="s">
        <v>15</v>
      </c>
      <c r="G996" s="2" t="s">
        <v>2403</v>
      </c>
      <c r="H996" s="2" t="s">
        <v>62</v>
      </c>
      <c r="I996" s="2" t="str">
        <f>IFERROR(__xludf.DUMMYFUNCTION("GOOGLETRANSLATE(C996,""fr"",""en"")"),"I am satisfied with your prices you are much cheaper than elsewhere and with much more guarantee than anywhere not to change thank you")</f>
        <v>I am satisfied with your prices you are much cheaper than elsewhere and with much more guarantee than anywhere not to change thank you</v>
      </c>
    </row>
    <row r="997" ht="15.75" customHeight="1">
      <c r="A997" s="2">
        <v>4.0</v>
      </c>
      <c r="B997" s="2" t="s">
        <v>2721</v>
      </c>
      <c r="C997" s="2" t="s">
        <v>2722</v>
      </c>
      <c r="D997" s="2" t="s">
        <v>109</v>
      </c>
      <c r="E997" s="2" t="s">
        <v>27</v>
      </c>
      <c r="F997" s="2" t="s">
        <v>15</v>
      </c>
      <c r="G997" s="2" t="s">
        <v>1024</v>
      </c>
      <c r="H997" s="2" t="s">
        <v>159</v>
      </c>
      <c r="I997" s="2" t="str">
        <f>IFERROR(__xludf.DUMMYFUNCTION("GOOGLETRANSLATE(C997,""fr"",""en"")"),"Insurer who fulfills his insurer role by taking care of you in the event of a breakdown (vehicle, hotel, taxi) and compensates you correctly. I keep him and entrust him in addition to my home insurance")</f>
        <v>Insurer who fulfills his insurer role by taking care of you in the event of a breakdown (vehicle, hotel, taxi) and compensates you correctly. I keep him and entrust him in addition to my home insurance</v>
      </c>
    </row>
    <row r="998" ht="15.75" customHeight="1">
      <c r="A998" s="2">
        <v>3.0</v>
      </c>
      <c r="B998" s="2" t="s">
        <v>2723</v>
      </c>
      <c r="C998" s="2" t="s">
        <v>2724</v>
      </c>
      <c r="D998" s="2" t="s">
        <v>26</v>
      </c>
      <c r="E998" s="2" t="s">
        <v>27</v>
      </c>
      <c r="F998" s="2" t="s">
        <v>15</v>
      </c>
      <c r="G998" s="2" t="s">
        <v>2633</v>
      </c>
      <c r="H998" s="2" t="s">
        <v>35</v>
      </c>
      <c r="I998" s="2" t="str">
        <f>IFERROR(__xludf.DUMMYFUNCTION("GOOGLETRANSLATE(C998,""fr"",""en"")"),"Tissue is pretty fast understands your request what you have to expect from a professional now having when I have a sinister.")</f>
        <v>Tissue is pretty fast understands your request what you have to expect from a professional now having when I have a sinister.</v>
      </c>
    </row>
    <row r="999" ht="15.75" customHeight="1">
      <c r="A999" s="2">
        <v>1.0</v>
      </c>
      <c r="B999" s="2" t="s">
        <v>2725</v>
      </c>
      <c r="C999" s="2" t="s">
        <v>2726</v>
      </c>
      <c r="D999" s="2" t="s">
        <v>44</v>
      </c>
      <c r="E999" s="2" t="s">
        <v>27</v>
      </c>
      <c r="F999" s="2" t="s">
        <v>15</v>
      </c>
      <c r="G999" s="2" t="s">
        <v>640</v>
      </c>
      <c r="H999" s="2" t="s">
        <v>159</v>
      </c>
      <c r="I999" s="2" t="str">
        <f>IFERROR(__xludf.DUMMYFUNCTION("GOOGLETRANSLATE(C999,""fr"",""en"")"),"Inadmissible !!!!
The sinister has lasted for more than 1 month! The start of the solution has been brought but Direct Assurance challenges everything on the pretext that they are not the same services. Suddenly we leave at 0! Sinister declared on 04/16 "&amp;"and our vehicle is still at more than 350kms.")</f>
        <v>Inadmissible !!!!
The sinister has lasted for more than 1 month! The start of the solution has been brought but Direct Assurance challenges everything on the pretext that they are not the same services. Suddenly we leave at 0! Sinister declared on 04/16 and our vehicle is still at more than 350kms.</v>
      </c>
    </row>
    <row r="1000" ht="15.75" customHeight="1">
      <c r="A1000" s="2">
        <v>4.0</v>
      </c>
      <c r="B1000" s="2" t="s">
        <v>2727</v>
      </c>
      <c r="C1000" s="2" t="s">
        <v>2728</v>
      </c>
      <c r="D1000" s="2" t="s">
        <v>26</v>
      </c>
      <c r="E1000" s="2" t="s">
        <v>27</v>
      </c>
      <c r="F1000" s="2" t="s">
        <v>15</v>
      </c>
      <c r="G1000" s="2" t="s">
        <v>637</v>
      </c>
      <c r="H1000" s="2" t="s">
        <v>159</v>
      </c>
      <c r="I1000" s="2" t="str">
        <f>IFERROR(__xludf.DUMMYFUNCTION("GOOGLETRANSLATE(C1000,""fr"",""en"")"),"I just made sure I wait to see later with customer service or in the event of a problem, but for the moment the price made me want to make sure at home.")</f>
        <v>I just made sure I wait to see later with customer service or in the event of a problem, but for the moment the price made me want to make sure at home.</v>
      </c>
    </row>
    <row r="1001" ht="15.75" customHeight="1">
      <c r="A1001" s="2">
        <v>5.0</v>
      </c>
      <c r="B1001" s="2" t="s">
        <v>2729</v>
      </c>
      <c r="C1001" s="2" t="s">
        <v>2730</v>
      </c>
      <c r="D1001" s="2" t="s">
        <v>44</v>
      </c>
      <c r="E1001" s="2" t="s">
        <v>27</v>
      </c>
      <c r="F1001" s="2" t="s">
        <v>15</v>
      </c>
      <c r="G1001" s="2" t="s">
        <v>579</v>
      </c>
      <c r="H1001" s="2" t="s">
        <v>23</v>
      </c>
      <c r="I1001" s="2" t="str">
        <f>IFERROR(__xludf.DUMMYFUNCTION("GOOGLETRANSLATE(C1001,""fr"",""en"")"),"Ras
I am delighted to be able to centralize my auto and home insurance.
The subscription was carried out quickly and very simply.
I recommend
")</f>
        <v>Ras
I am delighted to be able to centralize my auto and home insurance.
The subscription was carried out quickly and very simply.
I recommend
</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2022-12-16T15:48:22Z</dcterms:created>
</cp:coreProperties>
</file>