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h1iGd00E0GrLauxy7janSTVCOVxg=="/>
    </ext>
  </extLst>
</workbook>
</file>

<file path=xl/sharedStrings.xml><?xml version="1.0" encoding="utf-8"?>
<sst xmlns="http://schemas.openxmlformats.org/spreadsheetml/2006/main" count="7011" uniqueCount="2747">
  <si>
    <t>note</t>
  </si>
  <si>
    <t>auteur</t>
  </si>
  <si>
    <t>avis</t>
  </si>
  <si>
    <t>assureur</t>
  </si>
  <si>
    <t>produit</t>
  </si>
  <si>
    <t>type</t>
  </si>
  <si>
    <t>date_publication</t>
  </si>
  <si>
    <t>date_exp</t>
  </si>
  <si>
    <t>avis_en</t>
  </si>
  <si>
    <t>avis_cor</t>
  </si>
  <si>
    <t>avis_cor_en</t>
  </si>
  <si>
    <t>dos-santos-r-137652</t>
  </si>
  <si>
    <t>Très bien un peut cher pour un jeune permis. 
Dommage qu’il n’y est pas d’application pour tout ce qui est (papier) cela serais plus simple 
(Manque de communication)</t>
  </si>
  <si>
    <t>L'olivier Assurance</t>
  </si>
  <si>
    <t>auto</t>
  </si>
  <si>
    <t>train</t>
  </si>
  <si>
    <t>18/10/2021</t>
  </si>
  <si>
    <t>01/10/2021</t>
  </si>
  <si>
    <t>mezine-n-114393</t>
  </si>
  <si>
    <t xml:space="preserve">Je suis plutôt satisfait dans l'ensemble ! Très bon service, personnels agréables et efficaces au téléphone. Je commanderai cette assurance à n'importe qui ! </t>
  </si>
  <si>
    <t>20/05/2021</t>
  </si>
  <si>
    <t>01/05/2021</t>
  </si>
  <si>
    <t>roger-r-112122</t>
  </si>
  <si>
    <t>Je suis très satisfaite du service client. Les prix sont largement abordable pour tout les budgets. Désormais je le recommande a tout mes proches !!!!</t>
  </si>
  <si>
    <t>29/04/2021</t>
  </si>
  <si>
    <t>01/04/2021</t>
  </si>
  <si>
    <t>philippe-g-130333</t>
  </si>
  <si>
    <t xml:space="preserve">je suis satisfait de l'assurance GMF. les prix me conviennent et le service est à la hauteur concernant la responsabilité civile, les assurances  habitation et les assurances pour nos deux voitures </t>
  </si>
  <si>
    <t>GMF</t>
  </si>
  <si>
    <t>01/09/2021</t>
  </si>
  <si>
    <t>patmul-111050</t>
  </si>
  <si>
    <t xml:space="preserve">Concerne mon contrat assurance arrêt de travail emprunteur.
Un assureur à fuir à tout prix
6 mois d arrêt et tout les mois on me demande les mêmes documents sans aucune indemnisation à l horizon.
Assureur demandant des documents n ayant aucun rapport avec son contrat
Les enveloppes expédiées par R. À. R. ne contiennent pas les documents., donc j envoi du sable à mes frais pour me nuire.
Catastrophique
</t>
  </si>
  <si>
    <t>Sogecap</t>
  </si>
  <si>
    <t>vie</t>
  </si>
  <si>
    <t>20/04/2021</t>
  </si>
  <si>
    <t>marki-59476</t>
  </si>
  <si>
    <t>et bien ..apres avoir lu tout cela jai ete a la banque postale avec qui j avais souscrit mon assurance vie cnp et je lui ai demande de racheter la quasi totalite de mon assurance vie..je lui ai dis celane rapporte pas grand chose...je ne suis pas banquier ..mais je trouverai un autre produit mieux que le leur...
en 6 jours  cetait fait ....j ai laisse seulement 1000 euros ..qui dorment ...que je retirerai plus tard</t>
  </si>
  <si>
    <t>CNP Assurances</t>
  </si>
  <si>
    <t>prevoyance</t>
  </si>
  <si>
    <t>22/12/2017</t>
  </si>
  <si>
    <t>01/12/2017</t>
  </si>
  <si>
    <t>chantalou-110073</t>
  </si>
  <si>
    <t xml:space="preserve">Surtout ne souscrivez pas d’assurance à la CEGEMA. Ils ne répondent ni au téléphone ni aux mails. J’essaie de me faire rembourser des dépassements d’honoraires depuis fin janvier. J’essaie de résilier mon contrat depuis le26 février nous sommes le 12 avril toujours pas de réponse  et donc pas de déconnexion avec la sécurité sociale. J’ai donc fait opposition sur les prélèvements depuis le mois de mars toujours pas de nouvelles. </t>
  </si>
  <si>
    <t>Cegema Assurances</t>
  </si>
  <si>
    <t>sante</t>
  </si>
  <si>
    <t>12/04/2021</t>
  </si>
  <si>
    <t>christophe-c-128036</t>
  </si>
  <si>
    <t xml:space="preserve">Tarif intéressant pour de bonnes prestations, tout se fait via internet, ce qui est confortable et c'est simple
Je vais télécharger l'application pour gérer mon contrat </t>
  </si>
  <si>
    <t>Direct Assurance</t>
  </si>
  <si>
    <t>14/08/2021</t>
  </si>
  <si>
    <t>01/08/2021</t>
  </si>
  <si>
    <t>ricaria-87872</t>
  </si>
  <si>
    <t>Service client déplorable ! Impossible avoir quelqu'un au téléphone et délais de réponse a des prises en charge astronomique   c'est a dire au delà d'un mois  ( depuis le 3 février j'attend toujours la reponse</t>
  </si>
  <si>
    <t>Néoliane Santé</t>
  </si>
  <si>
    <t>03/03/2020</t>
  </si>
  <si>
    <t>01/03/2020</t>
  </si>
  <si>
    <t>topolina-86039</t>
  </si>
  <si>
    <t>C'est une véritable galère pour avoir un renseignement. La mutuelle ne répond pas aux mails, aux messages sur l'espace personnel et les avoir au téléphone est une véritable galère. Si j'avais pu ne mettre aucune étoile pour la qualité du service client, je l'aurais fait.</t>
  </si>
  <si>
    <t>Harmonie Mutuelle</t>
  </si>
  <si>
    <t>17/01/2020</t>
  </si>
  <si>
    <t>01/01/2020</t>
  </si>
  <si>
    <t>takvorian-v-129086</t>
  </si>
  <si>
    <t>Très agréablement surpris de la qualité des services de l’olivier assurance. Je le recommande vivement déjà à mes amis. Hâte de voir l’évolution de relation.</t>
  </si>
  <si>
    <t>23/08/2021</t>
  </si>
  <si>
    <t>alanbzh22-107811</t>
  </si>
  <si>
    <t>Je recommande l'olivier assurance par rapport aux prix proposés, la simplicité des démarches administratives et de la réactivité de leur service, ainsi que de leur aimabilité.</t>
  </si>
  <si>
    <t>24/03/2021</t>
  </si>
  <si>
    <t>01/03/2021</t>
  </si>
  <si>
    <t>jean-luc-v-112411</t>
  </si>
  <si>
    <t>je trouve que le prix est un peu eleve car ayant 46%de bonus j aurai pense que ce serait moins cher car d autres assurances voiture me demande moins cher</t>
  </si>
  <si>
    <t>02/05/2021</t>
  </si>
  <si>
    <t>donjuliano-111394</t>
  </si>
  <si>
    <t>Nous sommes vraiment  face  à une situation ou l'usure du temps et la culture de l'incompétence sont des mode de gestion pour SOGECAP et la sa tutrice la banque Société Générale                                                                               
Cela fait plusieurs messages que je leur adresse et ils sont tous resté sans réponse.  Que faut-il faire? Une campagne de presse,  créer une association  de mécontents, les adhérents ne manqueront pas si je vois tous les messages</t>
  </si>
  <si>
    <t>23/04/2021</t>
  </si>
  <si>
    <t>laaroussi-m-114971</t>
  </si>
  <si>
    <t>Tarif cohérent et convenable. Les procédures de souscription sont faciles et rapide.  je suis satisfait de mon assurance. Je recommande vivement      .</t>
  </si>
  <si>
    <t>26/05/2021</t>
  </si>
  <si>
    <t>beatrice66-89698</t>
  </si>
  <si>
    <t>Très bonne assurance auto à un prix raisonnable et de très bonnes garanties. C'est la première année que je suis assurée chez L'OLIVIER ASSURANCE et jusqu'à aujourd'hui j'en suis très satisfaite. Excellente assurance conducteur d'un montant important.</t>
  </si>
  <si>
    <t>17/05/2020</t>
  </si>
  <si>
    <t>01/05/2020</t>
  </si>
  <si>
    <t>bernardco-97808</t>
  </si>
  <si>
    <t>Aucune compréhension, après 30 années d'assurance chez eux, et vous n’êtes pas considéré, je ne suis pas comptant du tous. ils m'ont perdu comme client.</t>
  </si>
  <si>
    <t>Matmut</t>
  </si>
  <si>
    <t>24/09/2020</t>
  </si>
  <si>
    <t>01/09/2020</t>
  </si>
  <si>
    <t>pierre-b-122758</t>
  </si>
  <si>
    <t>Je recommande la souscription auprès de cette compagnie d'assurance tout d'abord pour l'ergonomie de son site et sa simplicité d’utilisation (accès espace client et devis en ligne) ainsi que pour la transmission des documents.
Il sera temps de voir, le cas échéant, le bon traitement des sinistres.</t>
  </si>
  <si>
    <t>08/07/2021</t>
  </si>
  <si>
    <t>01/07/2021</t>
  </si>
  <si>
    <t>domi-61570</t>
  </si>
  <si>
    <t>Très compliqué  pour être indemnisé  lorsque l on est en arrêt maladie. Leur service est difficilement  joignable et malgré  des réclamations rien avance</t>
  </si>
  <si>
    <t>Mgen</t>
  </si>
  <si>
    <t>19/02/2018</t>
  </si>
  <si>
    <t>01/02/2018</t>
  </si>
  <si>
    <t>yaya-117517</t>
  </si>
  <si>
    <t>J'ai souscrit mon contrat il y a plus de 25 ans; je suis retraitée et je reçois encore mes pensions. on me demande tous les 6 mois de certifier que je suis encore en vie et je me connecter sur internet. Mon n° de contrat est visiblement inconnu et je ne peux joindre personne : ni par courrier, ni par téléphone. Toutes mes démarches débouchent sur un serveur vocal LEO qui ne sait pas répondre ou donne des informations à toute vitesse.
Même les agences Generali sont dans l'incapacité de me répondre et je ne peux retrouver l'agent auprès duquel j'ai souscrit mon contrat.
DEPLORABLE</t>
  </si>
  <si>
    <t>Generali</t>
  </si>
  <si>
    <t>18/06/2021</t>
  </si>
  <si>
    <t>01/06/2021</t>
  </si>
  <si>
    <t>albert-104389</t>
  </si>
  <si>
    <t>Suite à un vol de véhicule le service sinistre me dit depuis 2 mois qu'il y a des investigations en cours et qu'ils ne peuvent pas me donner plus d'informations !
Le plus c'est qu'ils ne savent pas quand j'aurai une réponse 1 mois 2 mois 6 mois....</t>
  </si>
  <si>
    <t>MAAF</t>
  </si>
  <si>
    <t>aurelie-55256</t>
  </si>
  <si>
    <t>Depuis le mois de février 2017 suite à un accident de travail je n'ai toujours pas eu mon complément de ma prévoyance santé toujours dossier en attente tout document envoyé on me dit toujours la même chose il faut attendre le délai de traitement mais 4 mois ça fait quand même beaucoup je pense il faut pas abuser</t>
  </si>
  <si>
    <t>Ag2r La Mondiale</t>
  </si>
  <si>
    <t>09/06/2017</t>
  </si>
  <si>
    <t>01/06/2017</t>
  </si>
  <si>
    <t>karim-b-138470</t>
  </si>
  <si>
    <t>J'ai apprécié le parcours de souscription en ligne, c'est simple et surtout très clair c'est l'une des choses qui m'ont convaincu pour souscrire, le service fait plus modernes que celui des concurrents</t>
  </si>
  <si>
    <t>APRIL</t>
  </si>
  <si>
    <t>28/10/2021</t>
  </si>
  <si>
    <t>laurent-c-112107</t>
  </si>
  <si>
    <t xml:space="preserve">déçue est mal assurez en tout risque je compte vraiment pas rester a cette assurance qui est revient chère au final  quand il arrive un évenement assez enbetant </t>
  </si>
  <si>
    <t>fuyezactiveassurances-68692</t>
  </si>
  <si>
    <t>319 E de frais de rejet alors que compte créditeur ! Prime annuelle due était de 117,90 E.</t>
  </si>
  <si>
    <t>Active Assurances</t>
  </si>
  <si>
    <t>17/11/2018</t>
  </si>
  <si>
    <t>01/11/2018</t>
  </si>
  <si>
    <t>xavassur-54677</t>
  </si>
  <si>
    <t>Bonjours
Au cours des 2 dernières années, nous avons fait appel 2 fois à la protection juridique de la MAIF pour nos 2 voitures.
La 1ère fois, la protection a refusé d'intervenir sur un défaut de pneumatique de grande marque au motif que je les avais acheté sur internet (la MAIF ne semble pas savoir que le commerce en ligne existe).
La 2nde fois, la MAIF a accepté d'intervenir sur un souci d’à coups moteur sur notre voiture récente sous garantie. Mais quelle déception : après avoir tenté de m'imposer un expert qui n'y connaissait rien, ça fait plus d'un mois que j'attends leur intervention auprès du constructeur. Je les ai relancé 3 fois, ça ne réagit pas.</t>
  </si>
  <si>
    <t>MAIF</t>
  </si>
  <si>
    <t>22/03/2018</t>
  </si>
  <si>
    <t>01/03/2018</t>
  </si>
  <si>
    <t>loic-l-138508</t>
  </si>
  <si>
    <t>souscription rapide et prix attractif, que demander de plus pour assurer un moto cross facilement et rapidement, tout etait parfait, merci pour tout à april moto</t>
  </si>
  <si>
    <t>APRIL Moto</t>
  </si>
  <si>
    <t>moto</t>
  </si>
  <si>
    <t>recher-y-131516</t>
  </si>
  <si>
    <t xml:space="preserve">Satisfait du service, ainsi que du conseil 
le prix proposé est a la hauteur de mes attentes
je pense vraiment recommandé l'olivier assurance
je vous remercie </t>
  </si>
  <si>
    <t>06/09/2021</t>
  </si>
  <si>
    <t>benj-j-112395</t>
  </si>
  <si>
    <t>je suis en litige actuellement avec vous (dossier au médiateur).
Je pense résilier un à un mes contrats.;
Mes cotisations ont augmenté malgré 8 années de fidélité,  contrats tous risques, 0 sinistre et bonus 50%</t>
  </si>
  <si>
    <t>herjoc-123094</t>
  </si>
  <si>
    <t>Bonjour, Après avoir discuté avec un courtier, je me suis laissée aller à lui fournir les renseignements qu'il me demandait jusqu'au rib, trouvant la proposition intéressante mais en demandant réflexion. Je n'ai rien signé électroniquement ni envoyé les attestations sécu qu'il me demandait ; et au final, je lui ai dit que je ne donnait pas suite ayant trouvé une autre agence. Evidemment, pas très content le monsieur à la limite de me faire culpabiliser de mon choix ! Et puis voilà que je m'aperçois que Néoliane va procéder le 15 juillet à un prélèvement de 20€, pour qui, pour quoi, je ne sais pas. Toujours est-il que j'ai mis le prélèvement en liste noire et qu'il ne pourra rien faire. S'il y a problème, j'ai imprimé le blocage.</t>
  </si>
  <si>
    <t>Santiane</t>
  </si>
  <si>
    <t>12/07/2021</t>
  </si>
  <si>
    <t>guiom-97437</t>
  </si>
  <si>
    <t xml:space="preserve">aucun conseils .... ils sont injoignables .... même au service gestion de sinistre !!! 
Quand on a un soucis de taille on peut espérer un minimum de suivi de dossier, meme en cette période compliqué.
</t>
  </si>
  <si>
    <t>Assur Bon Plan</t>
  </si>
  <si>
    <t>15/09/2020</t>
  </si>
  <si>
    <t>annie-122092</t>
  </si>
  <si>
    <t>Bonjour, je constate avec regret que je ne suis pas seule à être mécontente de la gestion d'AG2R... Je leur ai envoyé mes relevés de la sécurité sociale pour le paiement de ma rente invalidité du 1 er trimestre de l'année en cours, en avril 2021. Nous sommes le 1er Juillet 2021 et je suis inquiète de la situation car jusqu'à présent je n'ai rien perçu et je n'ai aucun retour... 
Entre-temps, j'ai contacté leur service de prévoyance qui est dans l'incapacité de m'apporter une justification sur le non traitement de mon dossier, pourtant complet selon leur retour... Je suis totalement dépité...
Actuellement, sans revenu je rencontre de grosses difficultés financières...</t>
  </si>
  <si>
    <t>anis-b-134532</t>
  </si>
  <si>
    <t>Je suis satisfait
Les tarifs sont plutot interessants
Je pense que je vais souscrire tout mes véhicule chez vous je vais changer pour l'un des meilleurs Direct Assurance</t>
  </si>
  <si>
    <t>25/09/2021</t>
  </si>
  <si>
    <t>fkkeal-75048</t>
  </si>
  <si>
    <t>Personne au bout du mail
Sinistre!</t>
  </si>
  <si>
    <t>13/04/2019</t>
  </si>
  <si>
    <t>01/04/2019</t>
  </si>
  <si>
    <t>tarik-a-127099</t>
  </si>
  <si>
    <t xml:space="preserve">Très bonne assurance  a savoir l'assistance en cas de problème et la réactivité de l'équipe . Il s'agit de ma première assurance chez eux a on verrait pour plutard </t>
  </si>
  <si>
    <t>08/08/2021</t>
  </si>
  <si>
    <t>khalilo-67343</t>
  </si>
  <si>
    <t xml:space="preserve">service client 0 troooop d'attente au téléphone ils disent 3 minutes mais finalement au moins de 15 minutes </t>
  </si>
  <si>
    <t>Allianz</t>
  </si>
  <si>
    <t>04/10/2018</t>
  </si>
  <si>
    <t>01/10/2018</t>
  </si>
  <si>
    <t>pat-126444</t>
  </si>
  <si>
    <t>tres bon accueil j ai bien ete renseigne par la personne que j'ai eu au bout du fil ce jour et mon probleme a ete resolu. Cette personne a bien ete a mon ecoute et je la remercie pour sa patience.</t>
  </si>
  <si>
    <t>04/08/2021</t>
  </si>
  <si>
    <t>philfch-77617</t>
  </si>
  <si>
    <t xml:space="preserve">Fuyez....!!! Ils veulent m'obliger à signer un mandat SEPA de prélèvement sinon ils ne m’envoient pas ma carte verte !!! Avec eux vous aurez problèmes sur problème et li pire étant leur service téléphonique : Là vous allez comprendre ce que c'est qu’un service qui se fout outrageusement de vous
</t>
  </si>
  <si>
    <t>15/02/2021</t>
  </si>
  <si>
    <t>01/02/2021</t>
  </si>
  <si>
    <t>nassou1309-60568</t>
  </si>
  <si>
    <t>Je suis profession libérale et  adhérente à la Swisslife depuis quelques années. En 2017, j'ai pris une collaboratrice, car j'ai des petits problèmes de santé qui m'ont contraint à réduire mes jours de travail car je ne souhaitai pas arrêter mon activité professionnelle. Le 17 novembre (enveloppe faisant foi), je reçois l'appel de cotisation pour l'année 2018 avec une augmentation de 70 euros par mois sans motifs ni explication justifiant une telle augmentation. J'envoie donc une lettre de résiliation de contrat en recommandé. La Swisslife me répond que je n'ai pas respecté le délai de 2 mois (date anniversaire le 1/01/2018) Loi Madelin ! Par quelle opération divine j'aurai pu respecté ce délai de 2 mois ayant reçu l'appel de cotisation le 17 novembre ? Depuis, j'envoie des mails et personne n'arrive à répondre à cette question, on me renvoie toujours à ce délai de 2 mois. Donc, je me retrouve dans une impasse, il suffirait que l'on m'explique pour quelle raison l'appel de cotisation n'est pas envoyé à temps à savoir septembre ou octobre. Et là les adhérents pourraient respecter ce délai de 2 mois. La difficulté avec la Swisslife, c'est d'avoir un interlocuteur capable de répondre aux questions posées. Si quelqu'un est dans la même situation que moi, n'hésitez pas à me contacter (0610802133).</t>
  </si>
  <si>
    <t>SwissLife</t>
  </si>
  <si>
    <t>18/01/2018</t>
  </si>
  <si>
    <t>01/01/2018</t>
  </si>
  <si>
    <t>matouille25-95308</t>
  </si>
  <si>
    <t xml:space="preserve">La pire mutuelle à qui vous pourriez faire confiance, aucune garantie, aucun service client, s'apparente à la vente mensuelle d'un abonnement dans le vent </t>
  </si>
  <si>
    <t>27/07/2020</t>
  </si>
  <si>
    <t>01/07/2020</t>
  </si>
  <si>
    <t>jean-luc-54966</t>
  </si>
  <si>
    <t>Depuis cette année, les avis d'échéance auto ont été "simplifiés" pour les rendre plus "conviviaux", dixit la Macif. Résultat : on y retrouve plus le bonus et le montant de la réduction correspondante, idem pour la réduction spéciale bon conducteur. Après plusieurs échanges sur l'espace personnel, on me dit et confirme que ces réductions sont automatiquement incluses dans la prime, mais que la Macif ne peut plus les faire figurer dans les avis... retour à une opacité des avis d'échéance? Et à l'heure ou on parle d'une bonne gestion des ressources naturelles, l'avis fait maintenant deux pages.. belle simplification! J'ai répondu que j'allais voir d'autres assureurs, après plus de 35 ans chez eux.</t>
  </si>
  <si>
    <t>MACIF</t>
  </si>
  <si>
    <t>29/05/2017</t>
  </si>
  <si>
    <t>01/05/2017</t>
  </si>
  <si>
    <t>dos-santos-l-133937</t>
  </si>
  <si>
    <t>je suis très satisfaite de mon étude ; prix raisonnable ; rapidité ; simple ; efficace ;
première fois je suis cliente chez vous à voir dans l'avenir...</t>
  </si>
  <si>
    <t>22/09/2021</t>
  </si>
  <si>
    <t>ayat85-102221</t>
  </si>
  <si>
    <t xml:space="preserve">Impossible de les avoir au téléphone je les appel depuis 2 jours je reste des 30 min à attendre mais personne juste pour avoir un relevé d'information que je dois donner d'urgence à une autre assurance ou ils vont me résilier. Je vous recommande pas du tous vous augmenter tous les ans pour un service qui se réduit de plus en plus. </t>
  </si>
  <si>
    <t>05/01/2021</t>
  </si>
  <si>
    <t>01/01/2021</t>
  </si>
  <si>
    <t>mid-56606</t>
  </si>
  <si>
    <t>Démarchage téléphonique , mise en place d'un contrat jamais signé et le pire le prélèvement d'une cotisation sur votre compte alors que vous n'avez jamais donné l'autorisation. Ou va-t-on? C'est du piratage c'est scandaleux pour des gens qui ont pignon sur rue.</t>
  </si>
  <si>
    <t>10/08/2017</t>
  </si>
  <si>
    <t>01/08/2017</t>
  </si>
  <si>
    <t>frank123-105885</t>
  </si>
  <si>
    <t>Il est quand même incroyable en 2021 de ne PAS pouvoir obtenir un relevé d'information directement sur le site internet... On nous renvoie un numéro de téléphone qui ne répond JAMAIS !!
Pour information après des années d'assurance je reçois une demande de cotisation bien supérieur à l'année précédente et qui ne correspond pas au tarif indiqué sur le site...
Prenez le temps de regarder autour de vous et SURTOUT contrôlez vos futures échéances... 
A bon entendeur...
M. Ballouard 34</t>
  </si>
  <si>
    <t>Mutuelle des Motards</t>
  </si>
  <si>
    <t>08/03/2021</t>
  </si>
  <si>
    <t>athos93700-55687</t>
  </si>
  <si>
    <t>sa fait un an chez eux je les quitte sans assurance completement pourris absence de service client impossible a les joindre et parler a un conseiller imaginer le jour ou vous avez un sinistre a fuir a fuir !!!</t>
  </si>
  <si>
    <t>28/06/2017</t>
  </si>
  <si>
    <t>willytrzavers-63229</t>
  </si>
  <si>
    <t>super et merci pour le service</t>
  </si>
  <si>
    <t>13/04/2018</t>
  </si>
  <si>
    <t>01/04/2018</t>
  </si>
  <si>
    <t>beverly-87421</t>
  </si>
  <si>
    <t>Si je pouvais je mettrais aucune étoile service désagréable toujour des probleme avec eu même pour modifier un contrat. Vraiment très très incompétent et me demander de réglez leur bêtise je suis vraiment en colère contre eux a FUIRE INPERATIVEMENT 
Pour un contrat que jai signé en aout 2019 toujour pas de situation debloquer</t>
  </si>
  <si>
    <t>20/02/2020</t>
  </si>
  <si>
    <t>01/02/2020</t>
  </si>
  <si>
    <t>delafaite---105597</t>
  </si>
  <si>
    <t>je regrette de ne pouvoir bénéficier du contrat AXA pour les voitures anciennes ne parcourant qu'un kilométrage réduit je ne fait en effet pas 1000 km par an  De ce fait j'ai décidé de vendre  mon second véhicule qui me revient plus cher en assurance qu'en carburant
NB bien vouloir prendre note que SFR  ne fonctionne plus</t>
  </si>
  <si>
    <t>05/03/2021</t>
  </si>
  <si>
    <t>raksha-52863</t>
  </si>
  <si>
    <t>Une étoile car il est impossible d'en mettre zéro.
J'ai été démarchée par téléphone et de manière particulièrement insistante et agressive. Et n'ayant pas accès au net à ce moment-là. Au vu des autres commentaires ici, je me suis bien faite embrouillée. Bref, la personne m'a donné un nom (est-il vraiment le sien ?), une adresse d'assurance réelle et un numéro de téléphone qui si il est bien réel ne répond jamais aux soi-disant heures ouvrables. La personne m'a assurée l'envoi d'un mail que je n'ai toujours pas reçu, de même que le contrat papier.
Bref un démarchage abusif qui ne respecte pas la loi, envoi d'un contrat papier trop tardif, elle m'a dit être mandatée, et qu'il s'agissait d'une aide potentielle, sans jamais mentionné de prix réel mais seulement une contribution possible et indéfinie selon mon cas (bien sûr sans me donner les conditions de ventes qui déterminent ces distinctions de prix), sauf à la fin de la communication où elle m'a donner un tarif après le code par sms. 
Je viens de vérifier les textes de loi, il me semble bien que cela rentre à minima dans ce qui est qualifié de "Pratiques commerciales trompeuses".
Article L.121-24 du code de la consommation
J'envoie donc dès demain un LRAR pour faire valoir mon droit de rétractation. Et je viens de faire le nécessaire auprès de ma banque pour bloquer tout prélèvement indu. Le code reçu par sms que j'ai transmis m'a été présenté juste comme validation de l'enregistrement des données, et non comme consentement à la souscription du contrat (signature électronique), ce qui n'a été suggéré qu'à demi-mot avec le prix par la suite. En tout cas, en dehors de toute signature papier, l'enregistrement de cette conversation va à l'encontre de la fourniture de la preuve de mon consentement et exclut une mise en œuvre légale de ce contrat. Je suis quand même furieuse et bien dégoûtée. D'autant plus que m'étant inscrite sur bloctel, je ne pensais pas qu'un tel démarchage puisse passer !</t>
  </si>
  <si>
    <t>28/02/2017</t>
  </si>
  <si>
    <t>01/02/2017</t>
  </si>
  <si>
    <t>k64340-116424</t>
  </si>
  <si>
    <t xml:space="preserve">Obligée de lettre 1 etoile j en mettrai zéro.
Ce sont des voleus.
Ils ne proposent pas de devis leur devis es déjà une acceptation.
Et malgré une lettre AR avec 15 jours ils n annulent pas l inscription.
De plus ils trouvent tj  moyen pour ne pas rembourser les frais petso j ai déjà 3 feuilles de soins entre 280 et 400€. 
Je NE CONSELLE PS CET ASSUREUR. Les commerciaux sont très gentils et des que c'est singne par internet plus personne ne répond zu tel, aux mails, aux courriers RAR. 
FUYEZ.
</t>
  </si>
  <si>
    <t>Eca Assurances</t>
  </si>
  <si>
    <t>animaux</t>
  </si>
  <si>
    <t>09/06/2021</t>
  </si>
  <si>
    <t>nouche-112120</t>
  </si>
  <si>
    <t>chaque situation est différente, mais les clauses du contrat sont les mêmes pour tout le monde ! cette assurance est tout sauf humaine...LA COVID-19... AAAAAAh heureusement pour eux que cette pandémie est là, car avant cela s'était pas le top ! mais là on touche le fond !!!! plus de contact ni par mail ni par téléphone...ils sont incompétents sur tout, ils ont du embaucher des intérimaires car les réponses sont " je transfert votre demande on vous rappelleras..." pour ma part, je les envoie au TRIBUNAL car là au moins ils vont prendre le temps de répondre au Juge...ASSURANCE A FUIR...bonne chance pour les autres !</t>
  </si>
  <si>
    <t>Gan</t>
  </si>
  <si>
    <t>pascal-p-109025</t>
  </si>
  <si>
    <t>je vous ai envoyé mon permis de conduire à plusieurs reprises, mais vous semblez ne pas pouvoir le lire alors qu'il est très lisible. C'est embetant :-(</t>
  </si>
  <si>
    <t>03/04/2021</t>
  </si>
  <si>
    <t>dimitre-h-133149</t>
  </si>
  <si>
    <t xml:space="preserve">Je sui satisfait est rapide , maintenant laisser moi tranquille avec votre avis , je n est pas que sa a faire et j ai plus beaucoup de baterie , merci </t>
  </si>
  <si>
    <t>16/09/2021</t>
  </si>
  <si>
    <t>angelica86-98634</t>
  </si>
  <si>
    <t>MULTIRISQUE PROFESSIONNELLE- Je ne conseillerai à personne AXA Assurance car ça se fait très facilement pour contractualiser une assurance avec eux, par contre quand il s'agit de résiliation c'est d'une galère pas possible, pas de réponse au téléphone et de démarches très compliqués. J'ai envoyé la résiliation du bail de mon cabinet effectué en Septembre 2019 (qui était assuré par eux), je leur demande de m'envoyer les informations pour payer le prorata (4 mois) ou l'année (avec remboursement des mois non utilisés), jamais de réponse ni d'informations quant au moyen de paiement, donc je reçois plusieurs mois après un courrier d'un huissier de Justice où ils m'exigent de payer la cotisation annuelle complète et où ils vont garder comme "indemnisation" le reste du montant annuelle d'un cabinet que je n'ai pas utilisé pendant ces 8 mois, pour moi ce qu'ils font c'est un délit. Je ne conseil à personne cette compagnie d'Assurance et je ne reprendrai aucune type d'assurance plus jamais avec eux.</t>
  </si>
  <si>
    <t>AXA</t>
  </si>
  <si>
    <t>multirisque-professionnelle</t>
  </si>
  <si>
    <t>12/10/2020</t>
  </si>
  <si>
    <t>01/10/2020</t>
  </si>
  <si>
    <t>martra-86388</t>
  </si>
  <si>
    <t>Attention fuyez ! Des conseillers qui se contredisent et qui mentent par omission sur les termes du contrat pour vous obligez à souscrire. Je suis obligée de rester chez eux pour 1 an avec la loi Hamon mais dès la fin de l'échéance je partirai et ne reviendrai plus jamais ! Vous avez perdu un client et je ne serai pas la dernière !</t>
  </si>
  <si>
    <t>27/01/2020</t>
  </si>
  <si>
    <t>morgane2210-70407</t>
  </si>
  <si>
    <t>Apres  un accident  j ai du attendre 4 mois pour me faire rembourser pas de dedommagement
J ai fais le travail de l assureur aupres  de l expert 
 Il me resilie  et apres  je dois payer des frais
Je les appelle ils me disent que c est moi qui ai demander la resialiation alors que c est bien eux sans me demander mon avis
 Lors du demenagement  ils me disent que c est plus chere  alors que tout les assurances eux me disent que c est  moins chere
Mon malus est augmenter alors qu il devait baisser
Ils pensent qu a  Faire de l argent sur le dos des clients</t>
  </si>
  <si>
    <t>21/01/2019</t>
  </si>
  <si>
    <t>01/01/2019</t>
  </si>
  <si>
    <t>edmond-n-111884</t>
  </si>
  <si>
    <t xml:space="preserve">Rapide , simple,  claire et  efficace. Très bon support, poli  et convivial.
A conseiller à tout ceux qui recherche un e assurance pour leur prêt immobilier </t>
  </si>
  <si>
    <t>Zen'Up</t>
  </si>
  <si>
    <t>credit</t>
  </si>
  <si>
    <t>27/04/2021</t>
  </si>
  <si>
    <t>cornelius75-139188</t>
  </si>
  <si>
    <t>Service honteux.
Impossible à joindre par téléphone. Dès le 1er remboursement demandé, une grossière erreur est commise m'informant qu'en fait, je n'ai droit à rien alors qu'en fait, si.
Tout ça m'a fait perdre 2h00 de ma vie et une vingtaine de cheveux.
Je ne recommande absolument pas.
A fuir.</t>
  </si>
  <si>
    <t>08/11/2021</t>
  </si>
  <si>
    <t>01/11/2021</t>
  </si>
  <si>
    <t>kevin-g-126927</t>
  </si>
  <si>
    <t>Le prix est convenable, après c'est a voir sur le long terme, en temps que jeune conducteur, j'èspère que cette assurance saura convenir a mes besoins</t>
  </si>
  <si>
    <t>06/08/2021</t>
  </si>
  <si>
    <t>lili89-63975</t>
  </si>
  <si>
    <t xml:space="preserve">ancienne cliente neolianne très satisfaite contactée pour actualisée mon dossier 
</t>
  </si>
  <si>
    <t>14/05/2018</t>
  </si>
  <si>
    <t>01/05/2018</t>
  </si>
  <si>
    <t>franck-k-117059</t>
  </si>
  <si>
    <t xml:space="preserve">je suis satisfais  de cette assurance depuis quelques années mais hélas je suis aussi chez d'autres confrères pour assurer mes véhicules deux roues et quatre roues </t>
  </si>
  <si>
    <t>15/06/2021</t>
  </si>
  <si>
    <t>fd-96432</t>
  </si>
  <si>
    <t xml:space="preserve">Suite au vol de ma voiture, j’ai fait appel à l’assistance AXA : résultat j’ai dû chercher moi même une voiture. 15 jours de mails, d’appels téléphoniques. Les salariés sont incompétents. Fuyez cette assurance </t>
  </si>
  <si>
    <t>18/08/2020</t>
  </si>
  <si>
    <t>01/08/2020</t>
  </si>
  <si>
    <t>flo-63055</t>
  </si>
  <si>
    <t>Nous sommes clients chez Axa depuis des années sans avoir eu un seul pépin...nous avons toutes nos assurances chez eux et le jour où nous avons une panne en plein Paris c'est tout un problème pour nous rapatrier a notre domicile qui se trouve à 500 kms de Paris...on paie une assurance tous les mois et au final on a pas de solution quand il y a un soucis...on paie pourquoi Alors??? Demain on change d assurance et je ferai en sorte que vous ayez moins de clients....</t>
  </si>
  <si>
    <t>08/04/2018</t>
  </si>
  <si>
    <t>germain-m-111777</t>
  </si>
  <si>
    <t xml:space="preserve">je suis très satisfait du service, pas mieux  pas mieux ailleurs . services de qualité, réactivité remarquable, contact facile, service 7 étoile je dirai franchement très content </t>
  </si>
  <si>
    <t>vikkk-109565</t>
  </si>
  <si>
    <t xml:space="preserve">Alors là c est la pire des assurances. Pas d’aide ni conseil lors de mon sinistre sachant que je les ai appelé avant de remplir le constat à l amiable!!!! Vraiment déçue </t>
  </si>
  <si>
    <t>08/04/2021</t>
  </si>
  <si>
    <t>damien-g-113066</t>
  </si>
  <si>
    <t>je suis satisfait. connu grâce au comparateur, les tarifs sont attrayant et surtout personnalisable , ce qui est intéressant quand on ne souhaite pas tous souscrire</t>
  </si>
  <si>
    <t>07/05/2021</t>
  </si>
  <si>
    <t>thomas-g-105258</t>
  </si>
  <si>
    <t xml:space="preserve">Je suis satisfait du tarif et des prestations fournies et d'avoir pu souscrire l'abonnement en ligne en quelques minutes uniquement. pour mon nouvel appartement
</t>
  </si>
  <si>
    <t>03/03/2021</t>
  </si>
  <si>
    <t>yassine-h-111567</t>
  </si>
  <si>
    <t>simple pratique et rapide. Je suis satisfait du service en ligne. très interactif et les récapitulatifs sont clairs. Le système des questions réponses est très pratique pour faciliter l'inscription.</t>
  </si>
  <si>
    <t>25/04/2021</t>
  </si>
  <si>
    <t>ahmed-s-106359</t>
  </si>
  <si>
    <t>je suis pas satisfait de vos services , on essaye de vous joindre au téléphone c est super long... par messagerie  via le site web aucun conseiller disponible pendant plus de 15 min. j ai appeler y a 3 semaines pour ma carter verte non reçu vous me l avez envoyé par mail , mais je n ai toujours pas reçu l orignal par courrier .</t>
  </si>
  <si>
    <t>12/03/2021</t>
  </si>
  <si>
    <t>mfcassaigne-75665</t>
  </si>
  <si>
    <t>Sogessur fait appel à Saretec, qui prend plus que son temps pour répondre efficacement au traitement de notre dossier. Aucun recours possible, aucune indemnisation pour les délais extrêmement long de traitement de notre dossier....dégât des eaux déclaré fin novembre et à ce jour notre dossier toujours en attente car entre la filiale et Sogessur la transmission d'information est très lente....bref lamentable. On paye notre assurance depuis des années et qu'en on a besoin plus personne pour traiter dans l'efficience notre demande.</t>
  </si>
  <si>
    <t>Sogessur</t>
  </si>
  <si>
    <t>habitation</t>
  </si>
  <si>
    <t>06/05/2019</t>
  </si>
  <si>
    <t>01/05/2019</t>
  </si>
  <si>
    <t>mgenpandemie-88369</t>
  </si>
  <si>
    <t>En cette période de quarantaine, la MGEN ne permet qu'à ses employés parisiens de faire du télétravail, les autres ont le luxe de prendre des risques de se faire contaminer en allant tous se retrouver dans les locaux.</t>
  </si>
  <si>
    <t>17/03/2020</t>
  </si>
  <si>
    <t>stephane-p-116584</t>
  </si>
  <si>
    <t xml:space="preserve">très satisfait du service .
bon rapport qualité et service.
facile à contacter et avec des solution rapide et claire .
je le recommande pour tous les monde </t>
  </si>
  <si>
    <t>10/06/2021</t>
  </si>
  <si>
    <t>cunningman-78453</t>
  </si>
  <si>
    <t>Tout va bien quand il n'y a pas de problèmes. En cas d'accident, cela devient vite compliqué pour se faire rembourser.</t>
  </si>
  <si>
    <t>Eurofil</t>
  </si>
  <si>
    <t>15/08/2019</t>
  </si>
  <si>
    <t>01/08/2019</t>
  </si>
  <si>
    <t>christophe-j-103578</t>
  </si>
  <si>
    <t xml:space="preserve">L acceuil a ete tres bon et a l écoute 
Benjamin a ete tres Reactif et disponible pour mettre en place notre simulation et devis. Precis, tarif très intéressant. </t>
  </si>
  <si>
    <t>02/02/2021</t>
  </si>
  <si>
    <t>sofia-55772</t>
  </si>
  <si>
    <t xml:space="preserve">Le temps d'attente du service client n'est pas respecté plus de 10 minutes d'attente alors que 3 minutes sont annoncés, augmentation de l'échéancier de plus de 300€ par rapport au devis effectué mais contrat signé donc pas de marche arriere , le temps de réponse par mail est anormalement long (compter 10 jours), </t>
  </si>
  <si>
    <t>10/07/2017</t>
  </si>
  <si>
    <t>01/07/2017</t>
  </si>
  <si>
    <t>jaime-d-124166</t>
  </si>
  <si>
    <t>je ne suis pas satisfait au niveau du prix  je n'ai pas déclare de sinistre ,mon véhicule vieilli, l'assurance augmente? j'aimerais avoir une autre proposition , merci</t>
  </si>
  <si>
    <t>22/07/2021</t>
  </si>
  <si>
    <t>manx-112283</t>
  </si>
  <si>
    <t>Dégradation de la relation avec les assurés du fait du tout informatique, exagéré par la crise sanitaire. J'exprime mon mécontentement de ne pas pouvir joindre le conseiller, toujours en communication. Je reçois alors une lettre m'informant que mon compte est suspendu et que mon dossier est classé sans suite ! Au bon vouloir du Prince ! Tu te tais ou l'on te vire !
Je souligne que je suis sociétaire depuis la création, soit 1978 !
Mais le monde change et les financiers ont pris le pouvoir !
Motards en colère, réveillez vous !</t>
  </si>
  <si>
    <t>farida-s-117586</t>
  </si>
  <si>
    <t>Le Conseiller clientèle très poli et réactif. Il a fait preuve de patience et bienveillance et bien expliqué mes garanties. Merci bien de cet accueil.</t>
  </si>
  <si>
    <t>19/06/2021</t>
  </si>
  <si>
    <t>gregory--d-131881</t>
  </si>
  <si>
    <t xml:space="preserve">Je suis satisfait du contrat d assurance aux quelle que je vient de souscrire. Merci de votre compréhension. Je vous souhaite une bonne et excellente journée </t>
  </si>
  <si>
    <t>08/09/2021</t>
  </si>
  <si>
    <t>remele671-86933</t>
  </si>
  <si>
    <t>3 mois que je suis baladé entre constatel et dynarem! Sinistre dégât des eaux déclaré le 9 novembre 2019. Réparation de fuite effectuée , resta à réparer les murs (ouverts pour effectuer la réparation)Toujours balladé que ce soit par téléphone (attente interminable) ou par mail, réponses n'aboutissant que sur des ( on va vous contacter mais sans suite)J'en ai ras le bol et je pense changer d'assurance car c'est intolérable, il y a de quoi perdre confiance en tout leurs produits!</t>
  </si>
  <si>
    <t>Crédit Mutuel</t>
  </si>
  <si>
    <t>10/02/2020</t>
  </si>
  <si>
    <t>viiie-79471</t>
  </si>
  <si>
    <t xml:space="preserve">Service sinistre injoignable, répondeur en permanence m'indiquant que tous les conseillers sont déjà en communication. Même en envoyant les documents via la messagerie sur le site, aucune réponse. Attente du remboursement depuis des mois. </t>
  </si>
  <si>
    <t>25/09/2019</t>
  </si>
  <si>
    <t>01/09/2019</t>
  </si>
  <si>
    <t>thibco-52495</t>
  </si>
  <si>
    <t>Comme de nombreuses personnes, je n'ai toujours pas reçu ma carte verte malgré l'envoi rapîde,par internet, des documents, qui sont "en attente" depuis 2 mois maintenant...</t>
  </si>
  <si>
    <t>16/02/2017</t>
  </si>
  <si>
    <t>syldie-97959</t>
  </si>
  <si>
    <t>Je suis fidèle et solidaire avec la MGP même si j’ai reçu de nombreuses autres propositions de mutuelles.
La cotisation est élevée en particulier pour les cadres puisqu’elle est calculée en fonction de l’indice de traitement.
je pense que la fidélité devrait être récompensée par une remise sur le montant de la cotisation.
Sinon, je suis pleinement satisfait des prestations.</t>
  </si>
  <si>
    <t>MGP</t>
  </si>
  <si>
    <t>29/09/2020</t>
  </si>
  <si>
    <t>chris-81727</t>
  </si>
  <si>
    <t>Impossible de récupérer mon argent! Depuis Aout, mon compte est fermé, rachat total, puisque j'ai besoin de liquidité. L'argent n'a toujours pas été transféré, m'obligeant à faire un prêt.</t>
  </si>
  <si>
    <t>Afer</t>
  </si>
  <si>
    <t>07/12/2019</t>
  </si>
  <si>
    <t>01/12/2019</t>
  </si>
  <si>
    <t>grece21---103594</t>
  </si>
  <si>
    <t xml:space="preserve">Mutuelle à bannir résiliation en Octobre 2020 avec la loi chatel aucune communication de cette mutuelle sauf mail interdisant la résiliation au bout de 4 mois Mail disant résiliation or date au bout de 5 mois la menace d'un avocat il accepte la résiliation et reconnaisse qu'il connaissait la date déposé en octobre, au bout de 5 mois et 1 semaine attente du papier de résiliation qui n'arrive pas malgré la promesse qu'il arrive sous peu. Donc conseil bannir cette mutuelle aux tarifs exorbitants et inflationniste. Nioliane ne réponds jamais aux mails et 20 mn d'attente minimum aus appels téléphoniques </t>
  </si>
  <si>
    <t>03/02/2021</t>
  </si>
  <si>
    <t>medusa--96235</t>
  </si>
  <si>
    <t xml:space="preserve">Retire des garantie sans prévenir (ici le brise-glace) aucun gestes n’a été fait lorsque je me suis retrouvé à devoir utiliser celui-ci 
Je compte changer dans les plus bref délais 
</t>
  </si>
  <si>
    <t>12/08/2020</t>
  </si>
  <si>
    <t>gillet-stacy-130499</t>
  </si>
  <si>
    <t xml:space="preserve">Ma femme a été victime d'un accident en mars dernier, elle a été declaree non responsable la macif nous a indemnisé pour une voiture parfaitement entretenu et en parfait état 233 euros avec une multitude de factures à l'appui de l'entretien etc la voiture était complètement HS 233 euros pour une voiture mais dans quel pays on est ???  Plus jamais je ne viendrais chez vous !!! On payent une fortune pour au final ne rien avoir en retour.... une société comme celle ci ne mérite pas d'être encore sur le marché </t>
  </si>
  <si>
    <t>31/08/2021</t>
  </si>
  <si>
    <t>loulou-96749</t>
  </si>
  <si>
    <t>mon avis dit axa augment trop en pourcentage ses bon client . il faut récupérer les perte pour les autres sinistre qu'ils on indemnisé au compte goutte .</t>
  </si>
  <si>
    <t>27/08/2020</t>
  </si>
  <si>
    <t>myriam-h-125589</t>
  </si>
  <si>
    <t>je viens à peine de souscrire donc j'attends de voir comment se déroule la suite...
 les tarifs pour le moment sont compétitifs, j'espére qu'en cas de sinistre il n' y aura pas de difficultés</t>
  </si>
  <si>
    <t>30/07/2021</t>
  </si>
  <si>
    <t>paule-k-130018</t>
  </si>
  <si>
    <t>Les prix me conviennent,  c 'est simple et rapide. L'accueil téléphonique efficace, sans trop d'attente. Je recommanderai les services de direct assurance.</t>
  </si>
  <si>
    <t>29/08/2021</t>
  </si>
  <si>
    <t>maya-114140</t>
  </si>
  <si>
    <t>Je viens d’arriver comme nouveau souscripteur pour une mutuelle j’attends de voir comment la société va se comporter avec mes remboursements et la rapidité d’exécution de vos services je vous prie de croire à mes salutations</t>
  </si>
  <si>
    <t>18/05/2021</t>
  </si>
  <si>
    <t>tanyikoy-a-116099</t>
  </si>
  <si>
    <t>Les prix me conviennent.
Pour l'instant je ne peux pas vraiment donner un avis cohérent, besoin d'un peu de recul.
Service clientèle accueillant et interface web intuitive, et donc simple.</t>
  </si>
  <si>
    <t>05/06/2021</t>
  </si>
  <si>
    <t>nini-63110</t>
  </si>
  <si>
    <t>Suite a un sinistre debut février 2018 (on a incendier ma voiture) j'ai contacté mon assurance afin de prévenir du sinistre et de faire expertiser ma voiture. Rien que l'expertise a durée 2 semaines... avant que l'ont m'envoie quelqu'un. Ensuite le suivi de mon dossier a été mal fait. AXA a missionné une autre compagnie d'expertise soit disant que la première avait été annulé alors quie je venais de recevoir le rapport d'expertise. Ce qui a bloqué mon indemnisation. Cela fait maintenant 3 mois et je suis toubours en attente d'indemnisation. Ils prennent leurs temps pour rembourser par contre ils ont pas perdu de temps pour augmenter mon assurance sans même m'en informer. C'est vraiment une assurance que je ne recommande pas.!</t>
  </si>
  <si>
    <t>10/04/2018</t>
  </si>
  <si>
    <t>martinez-54836</t>
  </si>
  <si>
    <t>Assuré tout risque depuis plusieurs années, 50% de bonus. 2 voitures et 1 habitation assurées chez eux. Aucun dommage déclaré depuis que nous sommes chez eux. La société de ma femme rachète son véhicule qu'elle continuera à conduire. L'assurance passe de  395 euros à 622 euros par an pour les mêmes conditions. Soit 63% d'augmentation. Soit disant, applications des nouvelles conditions tarifaires. Nous sommes considérés comme de nouveaux clients. Belle façon de récompenser la fidélité.  Du coup, nous allons résilier l'ensemble des contrats... Il n'y a pas de raison que nous soyons les seuls perdants.</t>
  </si>
  <si>
    <t>22/05/2017</t>
  </si>
  <si>
    <t>phillipe-117975</t>
  </si>
  <si>
    <t xml:space="preserve">Je suis entierement satisfait de l'échange en ligne à l'établissement du contrat final.
Je recommanderai votre assurance à un tier dans mes prochains écha,nges </t>
  </si>
  <si>
    <t>12/08/2021</t>
  </si>
  <si>
    <t>christophe-d-130960</t>
  </si>
  <si>
    <t xml:space="preserve">JE SUIS SATISFAIT DU SERVICE 
TRES SIMPLE ET TRES RAPIDE POUR TOUT REMPLIR 
LES TARIFS  SONT TRES ATRACTIFS LES OPTIONS SONT CLAIRE 
MERCI BEAUCOUP 
CORDIALLEMENT  </t>
  </si>
  <si>
    <t>AMV</t>
  </si>
  <si>
    <t>02/09/2021</t>
  </si>
  <si>
    <t>ham-79273</t>
  </si>
  <si>
    <t xml:space="preserve">AMV manque totalement de sérieux et de professionnalisme pour une compagnie d'assurance cela est désastreux. Irrespect envers la clientèle au téléphone. 
J'ai eu un sinistre le 6 juin 2019, nous sommes le 18 septembre 2019 et je n'ai à ce jour et après plusieurs relances de ma part aucune réponse concernant la date de prise en charge de mon sinistre et donc des réparations bien que l'expert soit passé entre temps. Je précise que je suis motard et c'est le véhicule qui me permet d'aller TRAVAILLER. 
Comble de l'incompétence d' AMV j'ai même du moi même appeler la compagnie d'assurance adverse afin d'obtenir des réponses à mes questions tant il est inacceptable de se faire balader à ce point par AMV. et celle-ci m'a simplement rétorqué qu'elle s'occupait de gérer les intérêts de leurs clients contrairement à AMV.
Je patienterai jusqu'à la fin du mois de septembre et si la prise en charge de ma moto n'est effectuée d'ici la je ferais appel à une association de consommateurs afin de regrouper les plaintes d'autres clients et d'attenter une action en justice si tel devait en être le cas.
Honteux !!!! </t>
  </si>
  <si>
    <t>18/09/2019</t>
  </si>
  <si>
    <t>zoe-117941</t>
  </si>
  <si>
    <t>Nul.
Bon courage pour récupérer l'avance de votre franchise dans un sinistre non responsable et en étant "tous risques"....
Il vous font juste tourner en bourrique et ne vous rappelle jamais
Honteux!</t>
  </si>
  <si>
    <t>23/06/2021</t>
  </si>
  <si>
    <t>rafik--s-133142</t>
  </si>
  <si>
    <t xml:space="preserve">Je suis très satisfait des prix que propose direct assurance 
Simple est très rapide à en bénéficier j'ai déjà été client chez vous et j'en ai gardé un bon souvenir 
Et j'en parlerai à mon entourage. Merci </t>
  </si>
  <si>
    <t>maely-136689</t>
  </si>
  <si>
    <t>Avec cette assurance, il ne faut pas avoir d'accident, j'ai eu un accident non responsable avec une personne non assuré, obligé de prendre un avocat pour que ça bouge, ma voiture est restée en épave plus de 3 semaines, avant que l'expert ne passe, on devait me prêter une voiture, mais ils se renvoient la balle, on n'a jamais la même personne au bout du fil, donc pas le même son de cloche. une vrai galère. fuyez cette assurance. pas chère certes, mais on le paie d'une autre façon.</t>
  </si>
  <si>
    <t>08/10/2021</t>
  </si>
  <si>
    <t>georgio-115241</t>
  </si>
  <si>
    <t xml:space="preserve">Nouvel adhérent chez NEOLIANE, je n'ai pour l'instant pas à me plaindre de cette mutuelle 
je dirai même que je la trouve efficace grâce a la dispo de LAMIA qui a résolu mon problème. </t>
  </si>
  <si>
    <t>29/05/2021</t>
  </si>
  <si>
    <t>gabory-76906</t>
  </si>
  <si>
    <t>Ma mère m'avait désigné comme bénéficiaire de deux assurances-vie souscrites auprès de la BNP Paribas.
Décédée début mars, je n'ai finalement pu recevoir le capital qu'elle me destinait que 3 mois et demi après.
Cardif a été en possession de toutes les pièces dès le 21 mai. Elle s'est abstenue bien entendu d'accuser reception de ces documents ; d'où la nécessité de recourir systématiquement à des envois recommandés dans tout échanges de correspondances avec ces assureurs qui jouent la montre. Les fonds n'ont été versés sur mon compte que le 20 juin seulement soit un jour avant expiration du délai au-delà duquel l'assureur devra des intérêts à des taux supérieurs fixés par la loi.
C'est que qui s'appelle retarder au maximum le versement de ce qui est du au bénéficiaire.
Édifiant non!</t>
  </si>
  <si>
    <t>Cardif</t>
  </si>
  <si>
    <t>03/07/2019</t>
  </si>
  <si>
    <t>01/07/2019</t>
  </si>
  <si>
    <t>duchene-131642</t>
  </si>
  <si>
    <t>Très bonne conseillère bon résultat Emeline à fait tout son possible afin d'avoir tous mes renseignements à recommander j'espère pouvoir avoir affaire a elle la prochaine fois Merci.</t>
  </si>
  <si>
    <t>07/09/2021</t>
  </si>
  <si>
    <t>doudou33110-104168</t>
  </si>
  <si>
    <t>Etant une PMR, j'ai pris toutes les options pour me couvrir. J'en suis très satisfaite. Même quand je dois faire une avance, je suis remboursée rapidement.</t>
  </si>
  <si>
    <t>dan83-68485</t>
  </si>
  <si>
    <t xml:space="preserve">A fuir de toute urgence quad vous demandez un relevé d'information pour changer d'assureur il vous compte un incident  pas de possibilité de faire marche arrière car vous avez que 48h </t>
  </si>
  <si>
    <t>Pacifica</t>
  </si>
  <si>
    <t>09/11/2018</t>
  </si>
  <si>
    <t>camillette-49532</t>
  </si>
  <si>
    <t>j'ai opté pour cette mutuelle car ils ont de vrais remboursements optique ce qui se fait rare de nos jours donc j'ai commencé sur ce critére et aujourd'hui j'ai parrainné certaine personne de ma famille car le service est au RDV donc pour éviter de dépenser inutilement cet assureur et un bon compromis.</t>
  </si>
  <si>
    <t>24/11/2016</t>
  </si>
  <si>
    <t>01/11/2016</t>
  </si>
  <si>
    <t>celine-l-131822</t>
  </si>
  <si>
    <t>je suis de plus en plus déçu de mon assurance l'assistante téléphonique est pas clair et les prix augmente... à la Tv tout est formidable mais dans le réel c'est autre chose vraiment dommage</t>
  </si>
  <si>
    <t>francky-52348</t>
  </si>
  <si>
    <t xml:space="preserve">Ma mère décédée subitement en août 2016 avait souscrit un crédit à la consommation avec une assurance décès CARDIF. Dans les jours qui ont suivi son décès, nous  avons informé CETELEM de son décès  et envoyé le certificat de mort naturelle. 
4 mois plus tard,  CARDIF se réveille et nous demande un questionnaire médical du médecin, chose faite et envoyée. … 
Aujourd’hui nous apprenons que CARDIF refuse la prise en charge du prêt sous motif que ma mère n’a pas signalé prendre un traitement médical lors de sa souscription  alors qu’aucun questionnaire général de santé et de traitement n’avait été rempli à  la souscription. 
Cette méthode est  cavalière et abusive et ne respecte pas le droit à la consommation Bien évidemment nous n’allons pas en rester là. 
</t>
  </si>
  <si>
    <t>12/02/2017</t>
  </si>
  <si>
    <t>gabrac71-79076</t>
  </si>
  <si>
    <t xml:space="preserve">j'ai reçu le devis pour le renouvellement (au deuxième année avec l'Olivier) et il y a un incrément de la tarifassions du 40% sans aucune sinistre. 
Je trouve cette pratique commerciale honteux et irrespectueux du consommateur.
J'ai écrit plusieurs fois au service client et je n'a eu aucune réponse.
Je suis très déçu par l'Olivier assurance!! </t>
  </si>
  <si>
    <t>26/09/2020</t>
  </si>
  <si>
    <t>imarvin45-79226</t>
  </si>
  <si>
    <t xml:space="preserve"> Bonjour j'ai été très content des prix de la MAIF mais très déçu par leur service sinistre j'ai eu un accrochage le 26 juin je devais faire réparer mon véhicule le 5 septembre suite à un acte de vandalisme sur mon véhicule les réparations ont été reporté je n'étais vraiment pas en hauteur pour les deux sinistres il y a quelques jours j'appelle la MAIF je leur demande de me faire rembourser le premier sinistre il me réponde que la personne avec qui j'ai eu le sinistre n'a pas envoyé tous les Documents pour que je sois remboursé je leur ai fait comprendre que si le garage réparer le véhicule le 5 septembre est-ce que vous l'auriez dit la même chose je comprends pas pourquoi ils mettent autant de temps à rembourser franchement je recommande pas cette assurance ça fait plus de un mois que mon véhicule est dans un garage qui ne veulent pas commencer les réparations je n'ai pas eu de véhicule de prêt voilà je suis vraiment très déçu de la MAIF</t>
  </si>
  <si>
    <t>16/09/2019</t>
  </si>
  <si>
    <t>guy-maxime-d-98086</t>
  </si>
  <si>
    <t xml:space="preserve">Les prix me semblent plus abordables que la concurrence à garanties égales.
Reste à voir le service réellement rendu lors d'un sinistre.A noter la franchise élevée par le rehaussement de  10% des montants de réparation "Vol/incendie et Dommages tous accidents" </t>
  </si>
  <si>
    <t>30/09/2020</t>
  </si>
  <si>
    <t>fredmoun-110727</t>
  </si>
  <si>
    <t xml:space="preserve"> Pour reprendre la Publicité d’autre assurances Pas de bla-bla quelques documents à réunir rapidité d’exécution et tarifs voilà c’est tout vous êtes assuré le jour même et vous recevez votre carte verte dans les huit jours </t>
  </si>
  <si>
    <t>17/04/2021</t>
  </si>
  <si>
    <t>ahmed210297-107220</t>
  </si>
  <si>
    <t xml:space="preserve">On m’a volé m’a voiture ça fait 4 mois que je suis en attente d’indemnisation. La gestionnaire me demande des documents que l’expert a déjà en sa possession depuis le début et que elle même possède . A chaque fois que j’appelle on me promet un délai d’Appel de la gestionnaire dans les 48h mais je reste toujours sans nouvelles de sa part ça fait 1 mois . Malgré les appels cela fait très long 4 mois sans indemnisation et on va bientôt entamer le 5ème moi c’est pas normal . Pour souscrire on me demande pas des justificatifs d’achat mais pour m’indemniser on me demande je comprends pas mais cela dit j’ai tout fourni et toujours pas de réponse </t>
  </si>
  <si>
    <t>19/03/2021</t>
  </si>
  <si>
    <t>mwiccart-52657</t>
  </si>
  <si>
    <t>Bonsoir,
il serait convenable de diminuer la prime d'assurance à ceux qui n'ont pas eu de sinistre, sans qu'il soit nécessaire de quémander une remise ou en changeant d'assureur
cordialement
marc wiccart</t>
  </si>
  <si>
    <t>22/02/2017</t>
  </si>
  <si>
    <t>labrousse-e-136031</t>
  </si>
  <si>
    <t>Satisfait des différents contact avec les conseillés.
Prix plus qu'attractif pour pour les jeunes conducteur (-50% par rapport a la proposition de mon assurance)</t>
  </si>
  <si>
    <t>05/10/2021</t>
  </si>
  <si>
    <t>marie-68838</t>
  </si>
  <si>
    <t xml:space="preserve">1 an et 3 mois après mon dégât des eaux, après de multiples relances par tel/email, multiples expertises et contre-expertises, dossier toujours non clôturé. Prestataire commandité par leur soin totalement incompétent et de mauvaise foi, a causé plein de dégâts (carrelage cuisine, parquet salon, fils audio arrachés, peinture sur meubles neufs...). En litige avec eux afin d'être remboursée de tous ces dégâts. Honteux ! Surtout que la 1ere réponse suite à ces dégâts a été "que l'expertise pour vérifier les dégâts causés par ce prestataire se ferait par ce même prestataire car "c'était les règles de l'art ! On croit rêver ! </t>
  </si>
  <si>
    <t>22/11/2018</t>
  </si>
  <si>
    <t>chris-75704</t>
  </si>
  <si>
    <t>Service client en Afrique du Nord avec au téléphone des personnes qui ne parlent pas trés bien notre langue et par conséquent ne la comprenne pas. Ils répètent des phrases toutes faites sans en comprendre le sens. On en revient à parler à un mur, qui, encore est plus intelligent. A fuir!</t>
  </si>
  <si>
    <t>07/05/2019</t>
  </si>
  <si>
    <t>redjal-a-137677</t>
  </si>
  <si>
    <t xml:space="preserve">Service professionnel et efficace 
Je recommande cette assurance pour ses tarifs . Son application très intuitive et la qualité de la personne qui a pris mon adhésion en charge </t>
  </si>
  <si>
    <t>alain-96634</t>
  </si>
  <si>
    <t>Assurance incompétent . J'ai fait un sinistre pour mon pare-brise le montants de la facture s'élève a 1 600 euros environ ça fait 2 mois j'attends le remboursement . Soit disant que le montant était trop élevée il ont fait partir le dossier a un expert .... Mais je sais pas où il les trouvez leur expert si en 2 mois il a pas pu expertiser c'est qu'il sont incompétent . Ont paie tout les mois l'assurance là il on pas de mal a prendre l'argent , mais pour rembourser ya plus personne . Je ne conseille pas du tout cette assurance mais vraiment pas !</t>
  </si>
  <si>
    <t>25/08/2020</t>
  </si>
  <si>
    <t>bouzgarrou-m-134437</t>
  </si>
  <si>
    <t>Je suis satisfait. Le service est rapide . le rapport qualité prix est bien étudié. La réponse est conforme à mes attentes. Tout est fait rapidement et efficacement .</t>
  </si>
  <si>
    <t>seif-eddine-h-133959</t>
  </si>
  <si>
    <t>Je suis pas trop  satisfait de vos services car le prix est trop chère
Manque prix spécial étudiants !!
Meilleures compagnie service après vente
Merci
Cordialement</t>
  </si>
  <si>
    <t>nans-104978</t>
  </si>
  <si>
    <t>Service client à l’écoute et très agréable pour tous renseignements.
Rapide et efficace en terme de remboursement cependant un peu cher en fonction du contrat souscrit.</t>
  </si>
  <si>
    <t>bens-80810</t>
  </si>
  <si>
    <t>Complètement déçue par cette soit disant assurance.
Ayant subit un acte de vandalisme immobilisant complètement mon véhicule et ce depuis le 18 septembre!!!Ce dernier se trouve toujours au garage en attente d'un retour de l'expert qui est passé il y a un mois alors que tous les papiers ont étés faits en règle!!Les appels et les mails se suivent mais aucune réponse claire.De plus je reçois aujourd'hui un courrier de résiliation en "raison de l'altération de notre relation commerciale".
Car biensur,vouloir obtenir des réponses et récuperer son véhicule immobilisé depuis 2 mois justifie une résiliation de contrat.Que la maif se rassure,je ne comptais pas rester chez elle après tout ceci.Très mauvaise expérience sachant que je suis jeune conductrice et qu'il s'agit de mon premier contrat d'assurance.En espèrant que la concurrance sera bien meilleure que cette piètre assurance!!</t>
  </si>
  <si>
    <t>07/11/2019</t>
  </si>
  <si>
    <t>01/11/2019</t>
  </si>
  <si>
    <t>arezki-b-117528</t>
  </si>
  <si>
    <t>pas satisfait le prix est trop élever 
l'assurance ne couvre pas grand choses 
je vous remercie de résilier mon contrat et de m'effectuer un remboursement du dernier prélèvement 
cordialement</t>
  </si>
  <si>
    <t>jean-marc-a-106750</t>
  </si>
  <si>
    <t xml:space="preserve">Je suis satisfait du service. la proposition tarifaire me convient.
le site permet aisément de prendre une décision assez rapidement.
Le choix des propositions aide à prendre une bonne décision.
</t>
  </si>
  <si>
    <t>16/03/2021</t>
  </si>
  <si>
    <t>yip-k-135638</t>
  </si>
  <si>
    <t>Le prix me convient pour le moment. Mais je ne comprends pourquoi il y a une demande de signature pour le sepa si le paiement est annuel. J'esperes ne pas etre débité plusieurs fois.</t>
  </si>
  <si>
    <t>02/10/2021</t>
  </si>
  <si>
    <t>danielle-r-131717</t>
  </si>
  <si>
    <t>Très satisfaite du service et de l'accueil cela fait longtemps que je suis à la GMF j'y ai tous mes contrats et je n'ai pas l'intention de changer d'assureur.</t>
  </si>
  <si>
    <t>pat-110079</t>
  </si>
  <si>
    <t>Je remercie lamia d'avoir été à mon écoute et répondu à toutes mes questions.très bon accueil et très agréable, réactive et disponible et professionnelle</t>
  </si>
  <si>
    <t>yukoseznec-90129</t>
  </si>
  <si>
    <t xml:space="preserve">Des téléconseillers forts polis et c'est tant mieux car on doit les appeler souvent : ils égarent les courriers. </t>
  </si>
  <si>
    <t>02/06/2020</t>
  </si>
  <si>
    <t>01/06/2020</t>
  </si>
  <si>
    <t>cracou62-57157</t>
  </si>
  <si>
    <t>Je l'aurai, je l'aurai, qu'ils dises.
Ils vous ont eut ..............................................
..............................................................
...................................................................
..................................</t>
  </si>
  <si>
    <t>15/10/2017</t>
  </si>
  <si>
    <t>01/10/2017</t>
  </si>
  <si>
    <t>benjamin-71417</t>
  </si>
  <si>
    <t>Depuis 3 ans chez eux pour une assurance emprunteur. Aucun retour de leur part malgré plusieurs mails et 1 lettre recommandée. Par contre ils connaissent bien mon adresse pour m'envoyer l'appel a cotisation. A éviter a tout prix.</t>
  </si>
  <si>
    <t>MetLife</t>
  </si>
  <si>
    <t>18/02/2019</t>
  </si>
  <si>
    <t>01/02/2019</t>
  </si>
  <si>
    <t>richard-55970</t>
  </si>
  <si>
    <t xml:space="preserve">Active assurances s'occupe de tout pour résilier mon ancienne assurance et la souscription c'est faite rapidement sur internet. Tout est nickel, en plus les tarifs sont bas. Je suis satisfait, Ca a été très  </t>
  </si>
  <si>
    <t>12/07/2017</t>
  </si>
  <si>
    <t>joao-carlos-d-106799</t>
  </si>
  <si>
    <t xml:space="preserve">Je suis satisfait du service, le prix malheureusement  j été obligé  de faire plusieurs réclamations pour avoir satisfaction pour cette année,  et les montants que je payé en plus dans les années précédents!!!! Merci d une réponse. </t>
  </si>
  <si>
    <t>paulinelp-130537</t>
  </si>
  <si>
    <t xml:space="preserve">J'ai été appelé hier par cette compagnie chez qui je ne suis pas assuré pour me rendre coupable d'un accident dont je ne suis même pas responsable !!!! On m'a rendu coupable de complicité, délit de fuite et j'en passe, le plus drôle c'est que c'est sur un accident sur Paris mais j'habite à coté de Brest !!!!! UNE HONTE !!!!! Jamais au plus grand jamais je ne m'assurerai chez vous !!!!! </t>
  </si>
  <si>
    <t>laurent-g-133400</t>
  </si>
  <si>
    <t xml:space="preserve">bien rapide et efficace, je recommande vivement.  surtout n'hésitez pas à souscrire ,vous verrez,  vous ne serez pas déçu. Je n'hesiterai pas a recommander a mon entourage </t>
  </si>
  <si>
    <t>18/09/2021</t>
  </si>
  <si>
    <t>noney-109202</t>
  </si>
  <si>
    <t xml:space="preserve">Satisfait d'avoir trouvé une assurance qui veuille bien assurer les jeunes conducteurs à prix relativement raisonnable. Conducteur heureux. Merci beaucoup. 
</t>
  </si>
  <si>
    <t>05/04/2021</t>
  </si>
  <si>
    <t>khedidja95-85662</t>
  </si>
  <si>
    <t>heureusement que la révocation bancaire  mutuelle a fuire !!! J ai fais une année pas deux  te raccroche au nez se contredisent du coup ont y comprend rien sans scrupule on a l impression d' avoir un dialogue de sourd</t>
  </si>
  <si>
    <t>08/01/2020</t>
  </si>
  <si>
    <t>pat-69531</t>
  </si>
  <si>
    <t xml:space="preserve">J'ai de la chance cette année ,les mutuelles se sont engagées a la demande du gouvernement de Mr Macron de modérer leur augmentation de tarif pour 2019 ,la Cegema a comprit le message elle n'augmente ces tarifs que de 10%.
Cette mutuelle est a éviter. </t>
  </si>
  <si>
    <t>19/12/2018</t>
  </si>
  <si>
    <t>01/12/2018</t>
  </si>
  <si>
    <t>marineal-65888</t>
  </si>
  <si>
    <t xml:space="preserve">Expérience dissuasive lors d'une première souscription : présomption de fausse déclaration concernant l'ancienneté du bonus de 50 % malgré le relevé d'information du précédent assureur, impression fort désagréable (je vous épargne le récit de mes péripéties) et surtout aucune confiance s'il devait se produire un sinistre. Je ne resterai donc pas au delà de la première année. </t>
  </si>
  <si>
    <t>02/08/2018</t>
  </si>
  <si>
    <t>01/08/2018</t>
  </si>
  <si>
    <t>neji-77928</t>
  </si>
  <si>
    <t>Assureur en lui même est très bien et très réactif en  revanche en ce qui concerne les cabinet expert Pierre et vraiment à éviter je vais d ailleurs demander des demain un autre expert après avoir été fauché par une jeune femme qui a griller un stop en scooter je me retrouve avec mon R6 tout amoché mais réparable cependant pour faire traîner le dossier cette expert est injoignable les emails que vous recevez sont bien sûr envoyer après fermeture des bureaux à la minute près donc encore une fois impossible de les joindre  ayant eu un disque de frein avant de voilée celui ci refuse de prendre le deuxième cependant il se change par paire les deux garages très consciencieux demain sécurité me dit qu'il n  interviendra pas sur ma moto sans me la rendre saine je suis pourtant en tout risque toutes options et je ne suis pas responsable de l'accident  mais vu les avis de cet expert sur google je suis maintenant convaincu qu il cherche la petite bête je vais donc demander une contre expertise  la référence de l'expert en question 21906142  je me demande pourquoi il me demande les mêmes pièces et document   à chaque e-mail</t>
  </si>
  <si>
    <t>25/07/2019</t>
  </si>
  <si>
    <t>patrice-v-122749</t>
  </si>
  <si>
    <t>Les prix sont corrects et je n'ai pas eu de soucis avec eux donc je ne peux parler concernant les litiges ou bien les accidents. L'accès par Internet est plutôt efficace.</t>
  </si>
  <si>
    <t>ivan-b-124896</t>
  </si>
  <si>
    <t xml:space="preserve">Je n’ai pas vraiment de commentaire, c’est ma première voiture et donc mon premier contrat d’assurance , je ne suis pas apte de donner un avis concret , mais au niveau des prix tout vas bien </t>
  </si>
  <si>
    <t>26/07/2021</t>
  </si>
  <si>
    <t>laura-m-122152</t>
  </si>
  <si>
    <t xml:space="preserve">service très satisfaisant, personne très aimable et compétente.
Les prix sont correct comparés à notre assurance actuelle
à voir sur le long terme si nous avons besoin d'une assistance ou autre
</t>
  </si>
  <si>
    <t>02/07/2021</t>
  </si>
  <si>
    <t>anthony-d-133126</t>
  </si>
  <si>
    <t>Les prix sont satisfaisants et j'ai eu une bonne expérience par le passé. A voir maintenant pour ce véhicule récent. si le service est resté de qualité...</t>
  </si>
  <si>
    <t>abel-r-123826</t>
  </si>
  <si>
    <t>Plus de flexibilité
Je certifie être assuré auprès de la société pour laquelle j'ai déposé un avis et atteste ne pas travailler dans une entreprise du secteur des assurances (courtier en assurance, mandataire d'assurance et agent général d'assurance).</t>
  </si>
  <si>
    <t>19/07/2021</t>
  </si>
  <si>
    <t>fanfan-98519</t>
  </si>
  <si>
    <t>Accueil détestable, pas de bonjour mais des réflexions : "puisque vous fournissez un RIB c'est que vous n'avez pas l'intention de replacer l'argent chez moi" etc. Quand on vient de perdre un proche on n'a pas envie d'entendre ce genre de vacherie. Les documents ont été fournis en juillet et les fonds ne sont toujours pas versés contrairement aux contrats souscrits ailleurs. De plus, Maman qui est décédée mi- juin continue à recevoir des courriers d'invitation pour des soirées au mois de novembre. Excellent suivi des dossiers et quelle délicatesse!  AFER à FUIR.</t>
  </si>
  <si>
    <t>08/10/2020</t>
  </si>
  <si>
    <t>mamadou-pathe--b-125532</t>
  </si>
  <si>
    <t xml:space="preserve">Je suis satisfait et ravi
Le prix me convient
Simple et rapide, je vous remercie
Simple et simple, simple et rapide simple et rapide
Simple et rapide </t>
  </si>
  <si>
    <t>29/07/2021</t>
  </si>
  <si>
    <t>aferamoi-86415</t>
  </si>
  <si>
    <t>Suite DC en juillet 2019, aucun réglement fait à ce jour malgré l'envoi de tous les documents (demandés à plusieurs reprises).
Service clientèle inaccessible par téléphone.
Correspondant local AFER impuissant et coupé de toute communication avec les services centraux.
Je lance un signalement auprés de l'ACPR et demande une intervention d'une association de défense des consommateurs (UFC QueChoisir)</t>
  </si>
  <si>
    <t>28/01/2020</t>
  </si>
  <si>
    <t>riviere-n-123871</t>
  </si>
  <si>
    <t>J'ai été très déçue lors du remplacement de ma précédente voiture (suite à un accident que je n'avait pas provoqué) qui était "économiquement pas réparable", d'avoit un expert qui a cherché le site où les voitures comparables étaient les moins chères (Leboncoin) afin de proposer un rachat plus bas que le cote Argus  de ma voiture
C'est très décevant</t>
  </si>
  <si>
    <t>jeb-112883</t>
  </si>
  <si>
    <t>Mon assurance voiture a augmenté de 12% contrairement à l'annonce de la GMF de ne pas augmenter leur tarif pour 2021.
Motif invoqué : plusieurs accidents pendant les dernières années
 Precision: ces accidents n'engageaient pas ma responsabilité.
Autrement dit: pas coupable mais punie. Bravo la GMF chez laquelle j'étais assurée depuis plus de 40 ans</t>
  </si>
  <si>
    <t>06/05/2021</t>
  </si>
  <si>
    <t>superassus-51479</t>
  </si>
  <si>
    <t>Trop d'interlocuteurs différents dès qu'il y a un problème. Des longueurs et un mauvais accueil quand les niveaux de responsabilité augmente.</t>
  </si>
  <si>
    <t>19/01/2017</t>
  </si>
  <si>
    <t>01/01/2017</t>
  </si>
  <si>
    <t>mne-88396</t>
  </si>
  <si>
    <t xml:space="preserve">Très satisfaite à tous les niveaux :
 - prix raisonnables compte tenu des nombreuses prestations 
- personnel toujours agréable et disponible au tekepyou sur le site Twitter.
- une grande efficacité et expérience du personnel </t>
  </si>
  <si>
    <t>Intériale</t>
  </si>
  <si>
    <t>18/03/2020</t>
  </si>
  <si>
    <t>mansouri-y-124483</t>
  </si>
  <si>
    <t xml:space="preserve">Je suis satisfait du service. Merci beaucoup pour le service 
Je suis client fidèle en attendant un geste de votre part,  la clio v était cher mais pour l opel le prix me convient parfaitement. 
</t>
  </si>
  <si>
    <t>23/07/2021</t>
  </si>
  <si>
    <t>dijols-g-139398</t>
  </si>
  <si>
    <t>Très satisfait du service proposé.
Merci à tous les collaborateurs avec lesquels j'ai échangé, je ne manquerai pas de recommander L'olivier auprès de mon entourage</t>
  </si>
  <si>
    <t>10/11/2021</t>
  </si>
  <si>
    <t>toto-62270</t>
  </si>
  <si>
    <t xml:space="preserve">J'ai quitté  la matmut (après 30 ans chez eux)  en 2012 car je partais à l'étranger. En 2018 de retour en France et  je contact la matmut pour m'assurer à nouveau, une Dacia Stepway en tourisque pensant toujours bénéficié de mes 50% de bonus. La matmut n'a pas voulu reprendre mon bonus même en lui fournissant l'ancien contrat d'assurance et me propose une tourisque à 1090 Euros sous prétexte que je suis plus assurer chez eux depuis 5 ans et que j'ai été supprimer de la  base clients. C'est vraiment un comportement infect de la part de la matmut et de son service clients.
</t>
  </si>
  <si>
    <t>13/03/2018</t>
  </si>
  <si>
    <t>lamas-fernandes-a-114055</t>
  </si>
  <si>
    <t xml:space="preserve">Je suis satisfaite du prix et de la simplicité de gestion sur internet, le seul point négatif c'est la grosse différence de prix quand on fait un payement mensuel </t>
  </si>
  <si>
    <t>madaton-134997</t>
  </si>
  <si>
    <t xml:space="preserve">bonne réception des mails et courrier bon conseils et courtoisie .Rien de plus tout est bien géré et ma satisfaction est totale .Un seul problème il a fallu faire un avenant </t>
  </si>
  <si>
    <t>29/09/2021</t>
  </si>
  <si>
    <t>loreva65-61883</t>
  </si>
  <si>
    <t>je suis une cliente récente  vandalisme sur ma porte mal informée par Pacifica et donc non remboursee</t>
  </si>
  <si>
    <t>lezer-56806</t>
  </si>
  <si>
    <t>publicité mensongère, soit disant pour 2 souscription de contrat d’assurance 75 euro remboursé, foutaise!!! 
j'ai téléphoné 4 fois ,passé 2 fois en agence et toujours la mème réponse on va ce renseigner au siège... et rien ,j'ai envoyer 2 mail a l'agence et un mail au service client,mème pas une réponse de leurs part! donc j'imagine le jour ou j'ai besoin d'eux pour un accident...</t>
  </si>
  <si>
    <t>22/08/2017</t>
  </si>
  <si>
    <t>lilie-57400</t>
  </si>
  <si>
    <t xml:space="preserve">En invalidité  catégorie 2  depuis le 1 avril 2017, j'attends toujours que mon dossier soit traité.C' est une honte de laisser les gens dans une situation financière désastreuse alors qu 'on nous oblige à cotiser pour la prévoyance qui en somme ne sert qu' à s' engraisser sur le dos des plus faibles; Là j' en ai marre que tout le monde se renvoie la balle , que l 'on m'endorme avec des promesses de paiement imminent non tenues. </t>
  </si>
  <si>
    <t>17/09/2017</t>
  </si>
  <si>
    <t>01/09/2017</t>
  </si>
  <si>
    <t>severine-g-108090</t>
  </si>
  <si>
    <t xml:space="preserve">la cotisation assurance augmente chaque année m^me si 50% de bonus et aucun accrochage au cours de l'année.
Je suis une cliente fidèle chez vous depuis l'obtention de mon permis (soit 20 ans) mais je n'ai jamais eu un geste commercial. très décevant !!
</t>
  </si>
  <si>
    <t>26/03/2021</t>
  </si>
  <si>
    <t>laudes-63390</t>
  </si>
  <si>
    <t>Suite à la vente d'une chambre de service, Sogessur a annulé tous les contrats de ma Maman. Quand je me suis aperçu de leur erreur, j'ai du faire remplir et envoyer deux fois les conditions générales par une dame âgée de 90 ans. J'ai reçu deux courriers m'informant qu'à défaut de réception de ces conditions générales, le contrat serait résilié à une date précisée. Au deuxième envoi, nous avons considéré que les nouveaux contrats n'avaient pas été validés. Quelle surprise, au décès de ma Maman de constater que l'assurance avait prélevé des "cotisations" et avait encore des prétentions financières. Suite à un courrier de ma part, je me suis fais pourrir au téléphone par une "conseillère", puis encore un courrier pour me réclamer la preuve que les biens avaient été garantis par un autre assureur. Bien entendu Sogessur n'a envoyé aucune attestation d'assurance.</t>
  </si>
  <si>
    <t>19/04/2018</t>
  </si>
  <si>
    <t>philippe-m-126009</t>
  </si>
  <si>
    <t xml:space="preserve">Bonjour  j'ai mis un code réduction avec mon numéro client pour avoir une gratuité de 2 mois comme indiqué sur votre pub mais je ne les vois pas en décompte
</t>
  </si>
  <si>
    <t>02/08/2021</t>
  </si>
  <si>
    <t>vince-jeanluc-44539</t>
  </si>
  <si>
    <t xml:space="preserve">Comme déja signalé sur ce site ,l'assurance Allianz est une grosse blague....Accident non responsable en Mars 2019 toujours pas été indemnisé du moindre centime.......Fuyez.! </t>
  </si>
  <si>
    <t>17/01/2021</t>
  </si>
  <si>
    <t>oli85-86089</t>
  </si>
  <si>
    <t>bonne assurance pour de jeune animaux qui n'ont pas besoin de soin , plus l'animal vieillit plus ça augmente. proprietaire d'un terre-neuve de onze ans   je passe de 37 euros mensuel a plus de 60 dommage qu'il est eu des problemes de santé, un conseil FUYEZ</t>
  </si>
  <si>
    <t>Assur O'Poil</t>
  </si>
  <si>
    <t>20/01/2020</t>
  </si>
  <si>
    <t>julien-g-124220</t>
  </si>
  <si>
    <t xml:space="preserve">souscription aisé, évidemment, tarifs excessifs pour les garanties proposées, le paiements des trois premières échéances est absurde, Malheureusement,très peu de concurrence...espérons les mêmes exigences en retour. </t>
  </si>
  <si>
    <t>seb91210-56941</t>
  </si>
  <si>
    <t>La maaf pour moi est égale à extorqueur.
Donc je me présente pour souscrire une assurance habitation. Jusque la tous va bien.
Au moment de signer il y a bien sur les feuilles sur le bureau et à la fin de la fil un contrat supplémentaire non demandé (assurance Tranquillité famille ). Donc je demande la conseillère, c'est quoi ! Elle me répond que c'est la responsabilité civile. Elle me dit vous en aurez besoin, si vous avez des enfants, car il vont vous la demandez ! Bon je lui fait confiance et je signe. Ayant un enfant à la crèche, j'en ai besoin. En rentrant chez moi, je vérifie ce que c'est cette assurance et au final rien avoir. Donc les conseillers mente, fond de la vente forcé et mensongère. Bref dans un an en-revoir la MAAF et je ne ferais aucune pub pour, bien au contraire. A prés tous, c'est peut être la politique de la MAAF de garder leur client juste une année en les taxant au maximum !
En clair évité complètement cette assurance.
A part si vous aimés les menteurs ;)</t>
  </si>
  <si>
    <t>29/08/2017</t>
  </si>
  <si>
    <t>anthony-w-126860</t>
  </si>
  <si>
    <t>Je suis satisfait du devis proposé par direct Assurance. Le prix est correct et me semble bien meilleur que la concurrence sur le marché des assurances.</t>
  </si>
  <si>
    <t>christophe-88639</t>
  </si>
  <si>
    <t xml:space="preserve">Bonjour,
Cela fait 4 mois que j'attends que le versement que j'ai effectué sur le support AFER IMMO le 02/12/2019 soit pris en compte. Celui-ci n'a toujours pas été prélevé sur mon compte et je n'ai toujours pas eu de confirmation que l'opération a bien été prise en compte alors qu'un numéro de référence m'a été communiqué à l'issue de l'opération !
Mon conseiller m'a d'abord dit d’attendre un peu que l’opération soit prise en compte, qu’il y avait eu beaucoup de demandes en même temps et que le système informatique n’était pas prévu pour, ce qui expliquait que ça prenne un peu de temps.
Après un mois, j’ai fait une réclamation à mon conseiller qui m’a avoué ne rien pouvoir faire sauf transférer ma réclamation au GIE AFER. J’ai également fait de multiples réclamations sur satisfaction-adhérents@gieafer.com mais aucune réponse. J’ai tenté de les joindre par téléphone et après 20 minutes d’attente on m’a dit de renvoyer ma réclamation à mailinfo@gieafer.com mais idem : pas de réponse. AFER me fait tourner en bourrique en espérant probablement que je lâche l’affaire mais c’est bien mal me connaître !
Je suis très mécontent de la tournure que prend la situation.
</t>
  </si>
  <si>
    <t>02/04/2020</t>
  </si>
  <si>
    <t>01/04/2020</t>
  </si>
  <si>
    <t>philippe-49594</t>
  </si>
  <si>
    <t>Je suis sociétaire depuis plus de 10 ans et je n'ai jamais eu aucun problème.Que ce soit en assurance auto où Eurofil est très réactif et si on est en couple, le bonus du meilleur conducteur est pris en compte!J'ai eu 1 dégât des eaux remboursé sans problème, et j'ai même eu une assistance juridique à ma disposition, pour un procès qui m'opposait à un voyagiste.</t>
  </si>
  <si>
    <t>26/11/2016</t>
  </si>
  <si>
    <t>aa-109738</t>
  </si>
  <si>
    <t>Contacts pas toujours faciles, réponses pas très claires, remboursements très longs mettant en difficulté financière vu le montant payé d'avance ( 1 à 2 mois !! )</t>
  </si>
  <si>
    <t>09/04/2021</t>
  </si>
  <si>
    <t>charam-116937</t>
  </si>
  <si>
    <t>En revenant des vacances avec ma femme et notre bébé de 3 semaines un beau jour de dimanche, je suis tombé en panne sur un parking feu vert. 
Après constatation du depanneur, j'ai décidé de laisser le véhicule sur le même parking afin de le déposer chez feu vert le lundi.
Ceci évitant au depanneur de rapatrier la voiture au depot puis revenir sur le même parking le jour d'après.
De ce fait, l'assurance m'a abondonné avec un bébé sur un grand parking a ciel ouvert sous le soleil à 30 degrés.
J'ai du me débrouiller pour m'en sortir.
Merci de nous avoir abondonné.
Une etoile c'est trop pour votre service</t>
  </si>
  <si>
    <t>14/06/2021</t>
  </si>
  <si>
    <t>jacquet-s-111431</t>
  </si>
  <si>
    <t>Je suis ravie, efficacité et rapidité pour être assurée. Contact simple et très agréable. Rdv par téléphone honoré très rapidement.
Je recommande l'olivier assurance !</t>
  </si>
  <si>
    <t>bilou-53286</t>
  </si>
  <si>
    <t>En cas de sinistre, votre agent n'existe plus, on tombe dans une nébuleuse de services délocalisés, impersonnels, peu compétents, vous n'êtes plus qu'un dossier, aucun interlocuteur.
Pour un petit dégât des eaux, plus de 6 mois à attendre, j'ai dû finir par faire à mes frais un et faire les travaux. Je ne sais pas si je serai indemnisé. A FUIR avant d'avoir besoin d'eux.</t>
  </si>
  <si>
    <t>15/03/2017</t>
  </si>
  <si>
    <t>01/03/2017</t>
  </si>
  <si>
    <t>amanda-g-126874</t>
  </si>
  <si>
    <t xml:space="preserve">Simple et rapide , prix très intéressant pour mon  véhicule 
Plusieurs options pour l'assurance ...
Je recommande....
Sans hésiter....
Maintenant je vais faire assurance habitation 
</t>
  </si>
  <si>
    <t>asza-134475</t>
  </si>
  <si>
    <t>- Assuré tous risques chez Direct Assurance (depuis 2015, donc 6 ans) qui ne couvre pas comme bris de glace un phare avant cassé à cause d'un oiseau (feu croissement hs). Résultat: sur un devis réparation de 607 euros, Direct Assurance ne prend en charge que 196 euros, contre 411 pour ma pomme. !!!!??? Le "conseiller personnel" me propose 140 euros et de me débrouiller moi-même, puis m'assure de voir avec son responsable un arrangement, mais après 3 jours ne m'a toujours pas rappelé! 
À bon entendeur, salut!</t>
  </si>
  <si>
    <t>michelehenri-72072</t>
  </si>
  <si>
    <t xml:space="preserve">Que de déception sur mon assurance santé mutuelle, adhérent depuis 52 années n'ayant nécessité peu de soins pendant toute ma carrière, (une chance..) depuis une dizaine d'années, malheureusement j'ai besoin de soins comme la plupart de mes collègues, et je dois en faire les frais sur ma retraite d'officier de la police nationale. Mal remboursé de + en +, je me pose la question : Etes vous tjrs une mutuelle ????? </t>
  </si>
  <si>
    <t>12/03/2019</t>
  </si>
  <si>
    <t>01/03/2019</t>
  </si>
  <si>
    <t>dylan-c-128709</t>
  </si>
  <si>
    <t>service rapide, conseiller très à l'écoute de la demande, facile, et joignable facilement!! à voir dans le temps comment cela se passera si souci! Je recommande en tous les cas pour au moins les faits annoncés</t>
  </si>
  <si>
    <t>19/08/2021</t>
  </si>
  <si>
    <t>monick-88043</t>
  </si>
  <si>
    <t>tout juste satisfait, tarifs un peu cher, certain de la concurrence font mieux, notamment pour les assurés de très longue date avec plus de 50% de bonus et 15 de remise bon conducteur</t>
  </si>
  <si>
    <t>06/03/2020</t>
  </si>
  <si>
    <t>domi-78695</t>
  </si>
  <si>
    <t xml:space="preserve">Prise de contact par téléphone avec Alisson. échange très satisfaisant. personne très sympathique, disponible et à l'écoute de ses clients. en espérant que les prochains appels seront identiques.  </t>
  </si>
  <si>
    <t>26/08/2019</t>
  </si>
  <si>
    <t>caprikam-72324</t>
  </si>
  <si>
    <t xml:space="preserve">Ils ne répondent ni aux mails, ni aux messages envoyés dans l'espace client. Il faut TOUJOURS les appeler pour avoir des renseignements (quand ils peuvent nous répondre en plus !). Je n'ai toujours pas reçu ma carte d'adhérent (ils me l'ont renvoyée 3 fois de suite mais elle est vierge! et apparemment ils n'ont toujours pas compris..je l'ai reçue: vierge, une 4eme fois.....). Vraiment cher pour la qualité des prestations et service client ZERO. </t>
  </si>
  <si>
    <t>20/03/2019</t>
  </si>
  <si>
    <t>labiloute-82219</t>
  </si>
  <si>
    <t xml:space="preserve">Bonjour,
Notre chien a déclaré une une dermatite pendant la carence de 3 mois.
Depuis il ne veulent rien rembourser !!!
Assurance qui fait du fric pas plus. Tout va bien si votre animal est en bonne santé et n'a pas de maladie chronique.
Assurance à fuir.
Nous avons eu beaucoup de mal pour résilier.
Finalement nous mettons 50 € de coté chaque mois plutôt que de payer 29.90 € tous les mois à une assurance ...
</t>
  </si>
  <si>
    <t>27/12/2020</t>
  </si>
  <si>
    <t>01/12/2020</t>
  </si>
  <si>
    <t>cricri-79185</t>
  </si>
  <si>
    <t xml:space="preserve">Très déçu axa pour mon véhicule accident non responsable et l'expert ne veut pas me réparer les dommages alors que je ne suis pas en tort de plus mon véhicule est assuré tout risque je trouve ça vraiment pas normal mais je ne peux rien faire ni dire merci </t>
  </si>
  <si>
    <t>13/09/2019</t>
  </si>
  <si>
    <t>jcb-50061</t>
  </si>
  <si>
    <t>Dans ce contexte d'inflation nulle et de blocage des retraites, ma cotisation augmente de 89% en trois ans !
Ça marche le Business ! Et on ose encore s'appeler "Mutuelle"
A ce régime je vais devoir bientôt faire virer ma retraite directement dans les caisses d'Harmonie Mutuelle.</t>
  </si>
  <si>
    <t>08/12/2016</t>
  </si>
  <si>
    <t>01/12/2016</t>
  </si>
  <si>
    <t>sab-111947</t>
  </si>
  <si>
    <t xml:space="preserve">Déçue, j’ai lyria prestige mais dommage mes enfants ne peuvent en bénéficier et ont lyria promesse, beaucoup de frais finalement, pas de prise en charge des dépassements d’honoraires, l’orthodontie est très mal remboursée... bref pas terrible, les garanties sur les remboursements ont changées, plus ou peu de remboursements sur les médicaments prescrits mais non remboursés... je change d’ici peu ! </t>
  </si>
  <si>
    <t>28/04/2021</t>
  </si>
  <si>
    <t>verone-66158</t>
  </si>
  <si>
    <t xml:space="preserve">Je suis outrée..., cela fait 22 ans que je suis à la Maaf, avec Mutuelle pour toute la famille, avec toutes les options, rien que pour moi, je payais 700 euros/ans..., alors que je vais 1 fois/ans chez le docteur...! la maison assurée également chez eux depuis plus de 22 ans..., la voiture également, et bien que je n'ai pas eu d'accident depuis 10 ans, la Maaf, décide de résilier mon contrat voiture à la fin de l'année...., non mais de qui se moque t-on..., ma famille est chez eux également, mais que cherche t-ils, que tout le monde résilie...? Cela va être fait et pour tous les contrats, s'ils maintiennent leur décision...! Mais ils sont fous...! </t>
  </si>
  <si>
    <t>13/08/2018</t>
  </si>
  <si>
    <t>desespere-50536</t>
  </si>
  <si>
    <t>TRES AIMABLE LORS DE LA SOUSCRIPTION DU CONTRAT BEAUCOUP DE PROMESSES. VICTIME D UNE TENTATIVE DE VOL AVEC VANDALISME DEPUIS 1 MOIS AUCUN VÉHICULE DE PRÊT, POURTANT PRÉVU AU CONTRAT SOUS UNE HEURE.... EXPERTISE AU BOUT DE 3 SEMAINES VEHICULE NON REPARABLE TROP COUTEUX....</t>
  </si>
  <si>
    <t>21/12/2016</t>
  </si>
  <si>
    <t>farida--a-135060</t>
  </si>
  <si>
    <t xml:space="preserve">Très rapide , très professionnel et très explicatif devis en moins de 5 minutes ce qui permet de bien avoir le temps de lire le contrat, le personnel à l’écoute </t>
  </si>
  <si>
    <t>mokhtar38-58071</t>
  </si>
  <si>
    <t xml:space="preserve">Client numéro: 225373. Je suis très étonné des nombreux avis négative ! Moi même j'ai souscrit chez eux, et honnêtement je n'ai eu que du positive sur cette Assurance dès le début bonne prise et traitement dossier, carte verte reçu rapidement, espace client complet. J'ai eu un sinistre en début d'année ( traité rapidement par leur partenaire altima assurance, conseillère à l'écoute, 
Expertise, indemnisation en un temps record. Me concernant c'est la meilleure assurance auto que j'ai eu pour l'instant. Seul point négative le téléphone surtaxé du service clientèle 0.80. </t>
  </si>
  <si>
    <t>14/10/2017</t>
  </si>
  <si>
    <t>euphorie-31742</t>
  </si>
  <si>
    <t xml:space="preserve">AXA m'a adressé un courrier en octobre dernier m'annonçant qu'ils résiliaient mon contrat pour 3 sinistres (dont 2 bris de glace) dans les 2 dernières années. Chez eux depuis 2015 avec un bonus de 50 et un parcours sans accident responsable depuis plus de 15 ans, je n'en reviens pas.
L'un des bris de glace remontait à juin 2018, mais le garage vers qui AXA m'avait envoyée pour la réparation s'est révélé incapable de commander la bonne pièce ... Ce n'est qu'un an plus tard (juin 2019) après de multiples échanges avec l'agence gérant mon contrat que le remplacement a été effectué.
Du coup, nouvelle réparation la même année en novembre d'un impact sur le pare-brise (coût : 80 € environ). Cette réparation (qui se voulait préventive) est comptée comme un sinistre. Il fallait le savoir !
Janvier 2020, un camion démarre à un feu. A l'arrêt, mais pas bien dans ma file, je suis tenue responsable du sinistre.
Aujourd'hui, mon contrat est résilié par l'assureur comme si j'étais une mauvaise conductrice et personne ne veut plus m'assurer à un prix décent. C'est tout simplement honteux.
Je ne recommande pas cet assureur. Un accompagnement et une transmissions d'information devrait avoir lieu quand un sinistre est déclaré, surtout pour les bris de glace.
</t>
  </si>
  <si>
    <t>20/12/2020</t>
  </si>
  <si>
    <t>ntxhees-54673</t>
  </si>
  <si>
    <t>Comme beaucoup j'étais attiré par le tarif...et bien quand on a pas besoin d'eux...c'est tant mieux!...et comme beaucoup j'ai constaté l'inefficacité (voir l'incompétence) de l'assistance...une catastrophe...on finit par se faire engueuler alors qu'on est en panne comme si on avait besoin de ça à ce moment...désagréable et énervant...à bon entendeur.</t>
  </si>
  <si>
    <t>13/05/2017</t>
  </si>
  <si>
    <t>frederic-c-124347</t>
  </si>
  <si>
    <t xml:space="preserve">Je suis satisfait du service et les prix me conviennent  les personnes sont sympathique et efficace les garanties me conviennent et les prix sont correct </t>
  </si>
  <si>
    <t>chacha-55409</t>
  </si>
  <si>
    <t>franchement si je pouvais mettre aucune etoile je le fairais, j ai acheté un vehicule le 6/5/2017 et assure a cette date pour une raison qui me concerne j ai du revendre mon vehicule au bout de 5 jours j ai envoye les documents de resiliations dans les delais ils avaient 30 jours pour me rembourser mais comme mon rib ils ne l ont pas enregistrer en tps et en heure il me dise que c 30 jours a compter de la date d enregistrement vu qu ils l ont enregistre le 14/07 je doi attendre cette date soit disant ors dans le contrat et par tel d un de leur employe au moment ou ils recu l accuse j aurai du etre pris en compte a partir du 17/05 ils ne veulent rien entendre et nous balade je parts des que j ai trouver ailleur c est une assurance qui ne devrait pas exister et ce n est qu une parti de mon probleme car j ai un autre vehicule assure chez eux ils respecte pas les dates d echeance du contrat preleve avant donc par moment ne passe pas ou alors prelevement passe mais eux vous dise que c rejette donc oblige d envoyer vos releve sinon ils ne cherche pas en gros ont fait leur taf je mets en route des demarche car ils savent nous dire de respecter les closes du contrat mais eux ne les respectes pas!!!!!</t>
  </si>
  <si>
    <t>16/06/2017</t>
  </si>
  <si>
    <t>ganteaume-s-129798</t>
  </si>
  <si>
    <t xml:space="preserve">Très facile d'accès, je le recommande pour la rapidité avec laquelle mon dossier a été traité, en quelques clics et un coup de téléphone j'ai pu être assuré le jour même </t>
  </si>
  <si>
    <t>27/08/2021</t>
  </si>
  <si>
    <t>farouck-53364</t>
  </si>
  <si>
    <t xml:space="preserve">Après une effraction sur la porte de mon immeuble ,j'ai declaré le sinistre à axa ,ils ont mandaté un expert de texa,l'expert à constater les dégâts après plusieurs coups de téléphone et à la dernière minute ,il envoie son rapport à la compagnie axa mais non chiffré  (tout pour embêté le monde )pour tenté de ne pas M indemniser, l expert tiens comme propos qu il a trouvé sur internet une photo de 2016 avec la porte fissuré sur le bas donc c'est cela qu il appelle défoncés alors que le devis de la société de bâtiment indiqué bien aussi bâti cassé cela par contre il nas pas la photo alors que je ai aussi en ma possession des attestations des locataires cela me laisse à penser qu il doit bien s y cacher la discrimination et pour conclure il informe axa qu il est entrain de faire des investigations, moi je trouve informe que je prends le affaire aux sérieux et que jai fait une demande à axa pour avoir les éléments auquel tu pense mettre en avant pour que je ne sois pas indemnisé et des réception je t assigne devant le tribunal correctionnel ainsi que texa expertise afin que tu t'explique pour tes agissements </t>
  </si>
  <si>
    <t>17/03/2017</t>
  </si>
  <si>
    <t>pandamalin-108803</t>
  </si>
  <si>
    <t xml:space="preserve">Toujours des personnes agréables et compétentes au téléphone qui comprennent ce qu'on leur explique (pas comme certaines autres plate-formes qui externalisent) et les remboursements sont assez rapides </t>
  </si>
  <si>
    <t>Génération</t>
  </si>
  <si>
    <t>walterdu17-56284</t>
  </si>
  <si>
    <t xml:space="preserve">Bonjour a tous, j ai des gros soucis avec la MACIF , 2 et demie que je suis en arret depuis cette accident de moto dont je ne suis pas responsable , au départ cela se passait pas trop mal , mais au fil du temps cela c est dégradé, ils répondent jamais aux mails 70 envoyés sans jamais de réponse, donc lettre recommandé AR  et j ai reçu un courrier mais un mois apres ma demande, bref a aujourd hui je suis dans la période des 5 mois apres la consolidation , car ils sont obligé de me contacter pour une proposition , date butoir 27 janvier , donc je voudrais créer un collectif pour faire un sitting devant les bureaux de la MACIF a Niort , et faire la pub de cette assurance néfaste, par la meme occasion j ai porté plainte contre l expert, j ai été convoqué a l ordre des medecins pour une conciliation que j ai refusé, car celui ci a eu un comportement tres désagréable , me rabaissant essayant de me dominer , une tactique je pense pour déstabiliser les assurés , et ainsi te rendre coupable plutot que victime, je serai donc convoqué dans les 18 mois au tribunal de Poitiers , je suis dispo pour des conversations si vous voulez faire un gros coup de pub a cette assurance, car ils sont des géants et nous des petits gens , mais nous sommes plus fort qu eux si nous nous allions, alors a vos petits claviers et j attend vos réponses, positives ou négatives. bien a vous,   </t>
  </si>
  <si>
    <t>17/01/2018</t>
  </si>
  <si>
    <t>lili-139501</t>
  </si>
  <si>
    <t xml:space="preserve">Effarée par les avis totalement négatifs trouvés sur Internet sur la mutuelle CEGEMA après avoir adhérer, je me suis empressée d’utiliser la loi donnant 14 jours de rétractation au courtier ACSSUR qui n’a pas su me dire s’ils avaient déjà lancé l’annulation de mon adhésion auprès de ma précédente mutuelle !!! Tout cela prouve le manque de sérieux de la part de ces gens. A FUIR </t>
  </si>
  <si>
    <t>12/11/2021</t>
  </si>
  <si>
    <t>rob-96632</t>
  </si>
  <si>
    <t>Je ne vous recommande pas cette assureur.
Impossible de les joindre au téléphone en cas de demande de mensualisations.
En cas de résiliation pour changer d'assurance encore pire! J'ai dû payer deux assurances alors que je leur demandais de me mensualiser. Ils m'ont mis en difficulté financières avec du harcèlement moral. C'est facile d'y venir mais un cauchemar de sortir de leur griffes...
Il m'a fallu un assureur compréhensif AON et du temps pour remettre psychologiquement et financièrement de cela.</t>
  </si>
  <si>
    <t>sofy06-64319</t>
  </si>
  <si>
    <t>Je suis souscripteur depuis trois années a cette compagnie d'assurance et n'ai jamais rencontré aucuns problèmes.</t>
  </si>
  <si>
    <t>30/05/2018</t>
  </si>
  <si>
    <t>aldag-102712</t>
  </si>
  <si>
    <t xml:space="preserve">Je déconseille fortement. Très mauvais payeur. 
Il font trainer au maximum les dossiers de remboursement en vous demandant toujours un nouveau document.... pour ne pas vous rembourser. 
Bon a savoir, une mamographie des seins pour une femme de plus de 50 ans n'est pas remboursé chez eux. </t>
  </si>
  <si>
    <t>15/01/2021</t>
  </si>
  <si>
    <t>ghoudane-104909</t>
  </si>
  <si>
    <t>Bonjour, 
On m'a donné une mauvaise info au téléphone du coup jai dû payer les pots cassés.
En conclusion ma voiture est gagé. Je ne peux donc pas la revendre.
Je déconseille direct assurance.</t>
  </si>
  <si>
    <t>28/02/2021</t>
  </si>
  <si>
    <t>banvo-l-107031</t>
  </si>
  <si>
    <t>Parfait, informations claire et précise téléconseiller à l'écoute.
Possibilité de faire le nécessaire via l'espace client = gain de temps.
Traitement rapide.</t>
  </si>
  <si>
    <t>18/03/2021</t>
  </si>
  <si>
    <t>didine26-59691</t>
  </si>
  <si>
    <t>Si vous avez un grave problème de santé mettant votre vie en péril, priez pour ne pas être affilié à la MGEN!
Conseillers qui n'en ont rien à faire et se retranchent derrière des protocoles obscurs pour justifier une attente interminable pour obtenir le moindre papier.
Si l'hospitalisation est hors établissement conventionné, vous n'avez qu'à payer, vous vous ferez éventuellement rembourser après.
Seule caisse qui n' a aucune procédure d'urgence! A FUIR!!!! Quelle honte !</t>
  </si>
  <si>
    <t>14/12/2017</t>
  </si>
  <si>
    <t>arno-63290</t>
  </si>
  <si>
    <t>défaillant. pour le remboursement de ma mère décédée, j'ai été mis en relation avec plus de 15 interlocuteurs différents et plus de 25 appels téléphoniques ont été nécessaires. Au final, la procédure ne me semble pas parfaitement achevée. Dommage car c'est au moment où les événements sont plus pénibles que Sogecap m'a posé le plus de difficulté. Je n'ai, in fine, entendu aucune remise en question de la part de Sogecap. Gestion vaguement déshumanisée. S'agissant d'une assurance Vie... c'est regrettable.</t>
  </si>
  <si>
    <t>16/04/2018</t>
  </si>
  <si>
    <t>roman-c-113370</t>
  </si>
  <si>
    <t xml:space="preserve">Je suis satisfait pour le prix et la rapidité, je recommande. 
 A voir ce que ça donnera en cas de problème. Mais en revanche l’inscription est simple </t>
  </si>
  <si>
    <t>11/05/2021</t>
  </si>
  <si>
    <t>bedier-b-126323</t>
  </si>
  <si>
    <t>Parfait: service rapide et clair, très bien renseigné, accueil très compétent et aimable.
Tarif très correct et très compétitif
Je recommande vivement</t>
  </si>
  <si>
    <t>mepitel73-34990</t>
  </si>
  <si>
    <t>ATTENTION a toute personne souhaitant souscrire chez eux: si vous avez un malus et que vous changez d'adresse, il vous diront qu'il n'est plus possible d'assurer votre véhicule sous prétexte qu'ils n'ont plus de prix a vous proposer et vous laisseront 1 mois pour trouver une autre assurance.... MAGNIFIQUE !!!!</t>
  </si>
  <si>
    <t>04/03/2019</t>
  </si>
  <si>
    <t>bernard-c-107645</t>
  </si>
  <si>
    <t>J'ai 3 véhicules assures , je n'ai pas de sinistre depuis plus de 12 ans , et je trouve que les cotisations sont chères au vu de mon dossier . 
vous ne tenez pas compte du fait que ces 3 véhicules sont assures chez vous!</t>
  </si>
  <si>
    <t>23/03/2021</t>
  </si>
  <si>
    <t>flo006-87104</t>
  </si>
  <si>
    <t>Fuyez, fuyez, fuyez ! Cliente de la Maif depuis près de 20 ans, j'ai contacté la maif pour la mise en oeuvre de ma protection juridique Sérénité depuis près de 6 mois : aucun accompagnement, des demandes de document juste pour gagner du temps, aucune mesure de prise de la compagnie ... Bien entendu, cela doit dépendre du juriste qui traite votre dossier ...</t>
  </si>
  <si>
    <t>13/02/2020</t>
  </si>
  <si>
    <t>gerald-b-124435</t>
  </si>
  <si>
    <t xml:space="preserve">Je suis satisfait des conditions proposées et je vous envoie les documents demandés au plus vite,,je serais en mesure de proposer votre assurance à des personnes apte a s’assurer </t>
  </si>
  <si>
    <t>cg-78758</t>
  </si>
  <si>
    <t xml:space="preserve">a eviter ABSOLUMENT....malgré une assurance tous risques + pack serenité...j en suis de ma poche pour un remorquage sur une voie rapide suite à crevaison. les différents services sont tous sur une plateforme au Maroc...et sont quasiment tous incompétents , souvent ils ne comprennent même pas ce ,que vous leur demandez...moi ils m ont dit que m a roue s'est envolée !!!!! je résilie mon assurance ce jour .....et je retourne chez Pacifica. mon garagiste me dit que c 'est monnaie courante avec direct assurances ...ils font traîner les dossiers (passages des experts) au maximum pour dissuader les personnes. enfin quoique qu il en soit vous serez TOUJOURS bien moins assuré que chez un autre assureur digne de ce nom. </t>
  </si>
  <si>
    <t>28/08/2019</t>
  </si>
  <si>
    <t>patrick-97200</t>
  </si>
  <si>
    <t xml:space="preserve">GAN PRÉVOYANCE est une assurance qui a profité du Coronavirus pour,imposer des délais de non réponse, je suis en invalidité cat 2 et ils m’ont fait un versement sur un compte clôturer depuis 15 jours alors que je leur ai dit et écrit.....
Fourni mon nouveau RIB, le paiement de 15000 euros environs est retourner à leur banque émettrice et depuis impossible de récupérer cet argent, mauvaises foi et prétextes multiples pour gagner du temps, merci de me rejoindre je vais créer une association tenant à aller en justice pour faire valoir les droits des assurés et faire connaître leurs agissements, je compte beaucoup sur la loi du nombre pour entacher l’image commerciale qui est noter à ce jour 1,7 sur 5 merci de me rejoindre à pjdalbert@gmail.com, plusieurs avocats bénévoles se rallieront à moi si nous sommes représentatifs </t>
  </si>
  <si>
    <t>09/09/2020</t>
  </si>
  <si>
    <t>dominique-t-124508</t>
  </si>
  <si>
    <t>Je vous remercie car cette année vous avez augmente que de 8% c'est bien car les autres années c’était entre 12% et 16% Faites attention car vous allez mettre en péril votre société</t>
  </si>
  <si>
    <t>24/07/2021</t>
  </si>
  <si>
    <t>khadidja-b-118022</t>
  </si>
  <si>
    <t xml:space="preserve">je suis satisfaite du service simple et pratique
les prix sont un peu cher mais ça reste correct
facile a joindre et répond a tout nos questions
je recommande vivement </t>
  </si>
  <si>
    <t>tdb-60964</t>
  </si>
  <si>
    <t xml:space="preserve">mensonges sur mensonges!
ce n est pas innocent si la MGP a perdu des milliers de clients depuis 2014. et maintenant pour récupérer des clients , surtout dans les écoles, bizarrement , ils ne disent pas tout , encore une fois ils mentent .
Personnellement , après 26 ans de cotisations chez eux , ils font trainer mon dossier pour le complément de salaire .
Dernier en cours : documents fournis le 21 décembre , toujours pas de complément payé à ce jour ( 30 janvier ), tous les mois c est pareil malgré mes nombreux appels téléphoniques où il m'est répondu : c est bon monsieur c est fait . réponse donnée entre autre le 12 janvier . Il y a donc de quoi se dire , ce sont des menteurs ou des bons à rien !
Je vous incite à dépenser 10 ou 20 euros de plus par mois pour une autre mutuelle , vous verrez que vous y trouverez votre bonheur . Etudiez et comparez bien avant de signer chez ces "menteurs de mauvaise foi"
contrairement à ce que j ai pu lire, cette mutuelle n est pas gérée par des policiers et a été rachetée par la GMF </t>
  </si>
  <si>
    <t>30/01/2018</t>
  </si>
  <si>
    <t>fafa-79779</t>
  </si>
  <si>
    <t>Je remercie Sabrina pour son accueil et son efficacité à répondre à mes questions agent très sympathique merci encore</t>
  </si>
  <si>
    <t>07/10/2019</t>
  </si>
  <si>
    <t>01/10/2019</t>
  </si>
  <si>
    <t>shirley-95002</t>
  </si>
  <si>
    <t xml:space="preserve">Bonsoir ma voiture a été incendié par propagation le 29 octobre 2019. Mes voisins ont subies plusieurs actes de vandalisme de la part de leur ex proprio.Une plainte a été déposé.Depuis ce jour...j'attends .... je n'ai aucun refus ni aucun paiement. Je v faire une lettre de mise en demeure pour pouvoir faire valoir la « protection juridique «. Je suis seule avec 3 enfants en bas âge et à pied depuis bientôt 10 mois. Finis pour nous les sorties, les sport et limite les courses aussi. Merci Allianz  </t>
  </si>
  <si>
    <t>23/07/2020</t>
  </si>
  <si>
    <t>marlene-t-130350</t>
  </si>
  <si>
    <t>SITE SIMPLE ET EFFICACE - DOMMAGE D ETRE OBLIGER DE SE DEPLACER A UN RDV DANS UNE AGENCE A 1 H DE ROUTE DE MON DOMICILIE POUR RENEGOCIER NOS CONTRATS EN COURS</t>
  </si>
  <si>
    <t>patrick-b-121156</t>
  </si>
  <si>
    <t>Souscription facile, prix compétitifs. Je n'ai jamais eu de sinistre et après une simple demande de réduction de tarif j'ai pu obtenir un geste commercial.</t>
  </si>
  <si>
    <t>25/06/2021</t>
  </si>
  <si>
    <t>abdel0094-92765</t>
  </si>
  <si>
    <t>Accident corporel non responsable il y a maintenant plus de 4 mois (2 intervention chirurgicales) . Le rembrousement du véhicule est intervenu dans les temps. Par contre pour tous ce qui est corporel, j'ai l'impression qu'il n'y a aucun suivi, j'apprend après 4 mois et des dizaines d'appelle que mon dossier est incomplet. Contracdiction entre les différents interlocuteurs que j'ai pu avoir. Une vrai catastrophe !!!</t>
  </si>
  <si>
    <t>30/06/2020</t>
  </si>
  <si>
    <t>christophe-p-123410</t>
  </si>
  <si>
    <t>Rapide et efficace je suis satisfait du service assurance et le recommande à mes amis
Déjà client par ke passe  toujours ravi 
De ce service cordialement</t>
  </si>
  <si>
    <t>14/07/2021</t>
  </si>
  <si>
    <t>mathilde31830-106217</t>
  </si>
  <si>
    <t>Une assurance qui ne gère pas dans les temps impartis ses sinistres, avec des conseillers  qui veulent faire porter aux clients victimes les responsabilités qu'elle ne peut assumer (comme l'absence de provision financière). 
J'ai eu deux sinistres, un réglé en 8 mois environ, l'autre toujours pas réglé alors que cela fait déjà presque huit mois. La conseillère m'a affirmée au téléphone que "certains sinistres mettaient des années à se résoudre." De plus, elle m'a affirmé ne pas vouloir se conformer à l'article L 211-13 du code des assurances, qui stipule qu'en l'absence de réponse huit mois à compter de l'accident, le montant de l'indemnité produit intérêt de plein droit au double du taux d'intérêt légal. 
Si vous avez un problème, ne comptez pas sur la GMF pour le résoudre.</t>
  </si>
  <si>
    <t>11/03/2021</t>
  </si>
  <si>
    <t>ch-98279</t>
  </si>
  <si>
    <t xml:space="preserve">Le 26/08/2020 j'ai reçu l'avis d'échéance de mon habitation principale le montant s'élevait à 800.52€ soit une augmentation de 20% par rapport à l'année précédente sans aucun sinistre déclaré. les autres compagnies se situent autour de 2 à 3% en moyenne.
Le 27/08/2020 je téléphone à Direct assurance afin d'obtenir la justification de cette augmentation, la réponse est la conjoncture actuelle les trais et le fameux " covid" cette explication ne me convient pas et je demande à être en relation avec un responsable. Apres quelques mises en attente on me dit que l'on va me rappeler aujourd'hui ou demain, il était 16h30.
aujourd'hui nous sommes le 2/10/2020 et mon téléphone est resté totalement muet.
Devant une telle désinvolture j'ai donc résilié mon contrat et passé sur une autre compagnie qui applique de très bons tarifs pour les mêmes garanties.
Mon conseil :
Prenez soin de comparer avant de vous engager et n'oubliez pas d'étudier les franchises. Les compagnies en lignes n'apportent pas toujours les meilleurs services et les meilleurs tarifs.
 </t>
  </si>
  <si>
    <t>02/10/2020</t>
  </si>
  <si>
    <t>amine-s-138433</t>
  </si>
  <si>
    <t xml:space="preserve">Je suis très satisfait de votre service, jvous remercie Je suis très satisfait de votre service, jvous remercie Je suis très satisfait de votre service, jvous remercie </t>
  </si>
  <si>
    <t>27/10/2021</t>
  </si>
  <si>
    <t>loris-m-134672</t>
  </si>
  <si>
    <t xml:space="preserve">Je suis satisfait de votre proposition et vais vous interroger pour la seconde voiture en espérant obtenir le meilleur tarif tout simplement
Bien cordialement </t>
  </si>
  <si>
    <t>27/09/2021</t>
  </si>
  <si>
    <t>antipubtelephone-101382</t>
  </si>
  <si>
    <t>Direct Assurance  1 an sans problème mais  10% d'augmentation c'est inacceptable surtout quand l'activité routières c'est réduite d'au moins  60% mais c'est bien le moments d'en profiter pour faire de très bon dividendes aussi ce sera sans moi 
Au revoir Direct Assurance</t>
  </si>
  <si>
    <t>13/12/2020</t>
  </si>
  <si>
    <t>emma-80425</t>
  </si>
  <si>
    <t>Assurance à fuir si vous souhaitez un service client de qualité. Cette assurance ne tient absolument pas ses engagements de répondre dans les 5 jours et de vous tenir informés régulièrement, c'est purement de la publicité mensongère. Je vais contacter 60 millions de consommateurs. 12 ans chez eux sans aucun sinistre et quand on a besoin d'eux, ils laissent leurs clients dans le désarroi sans proposer de solution. C'est lamentable !</t>
  </si>
  <si>
    <t>25/10/2019</t>
  </si>
  <si>
    <t>mesples-99058</t>
  </si>
  <si>
    <t xml:space="preserve">Cherche par tout moyen a rembourser le moins possible et j'ai touvé bien moins cher ailleurs. Vous font des réflexions désobligeantes, ne vous indiquent surtout pas que vous pouvez contester. </t>
  </si>
  <si>
    <t>22/10/2020</t>
  </si>
  <si>
    <t>morvan-98018</t>
  </si>
  <si>
    <t>La MAIF joue une fausse relation avec ses actionnaires. En réalité, les représentants des actionnaires, souvent dans la même mouvance d’idée que le staf dirigeant, font souvent il me semble le jeu du directoire et du président. Il s’ensuit que la MAIF est de moins en moins à l’assureur et donc, il suffit de comparer, ses prix sont au-dessus du marché pour des garanties semblables. Il est certain que quelques un de mes contrats vont passer vers d’autres assureurs…</t>
  </si>
  <si>
    <t>russo-x-134734</t>
  </si>
  <si>
    <t xml:space="preserve">Simple et efficace,services très satisfaisants .inscription rapide et de bonnes conditions générales pour pouvoir assurer son véhicule. Assurance à conseiller </t>
  </si>
  <si>
    <t>yo-89072</t>
  </si>
  <si>
    <t>J'ai subi la tempête de nov 19. Mon sinistre a été pris en charge très rapidement et j'ai été indemnisé correctement, pourtant c'était un grand sinistre national, ma demande n'était pas isolée.</t>
  </si>
  <si>
    <t>22/04/2020</t>
  </si>
  <si>
    <t>cousto-91580</t>
  </si>
  <si>
    <t>Mutuelle a fuire, les remboursements se font très rares, jamais les mêmes interlocuteurs au téléphone, sont peu compétents</t>
  </si>
  <si>
    <t>19/06/2020</t>
  </si>
  <si>
    <t>noreen--125028</t>
  </si>
  <si>
    <t xml:space="preserve">Nisrine a était au top 
Très à l’écoute, chaleureuse et qui a pris le temps de comprendre mes question et d’y répondre avec une précision que j’ai fortement apprécier. 
Éléments a garder ! </t>
  </si>
  <si>
    <t>27/07/2021</t>
  </si>
  <si>
    <t>isa28-79399</t>
  </si>
  <si>
    <t xml:space="preserve">Cliente depuis plus de 5 ans en tous risques chez l'Olivier. J'ai eu un sinistre non responsable (retroviseur endommagé + portiere + aile arriére droite). J'ai été envoyée de services en services pour suite à mon entretien avec l'expert nommé devoir faire 2 déclarations l'une pour le rétroviseur et la portiére, l'autre pour l'aile arriére droite car pour lui les dommages de l'aile arriére droite n'étaient pas entierement imputables à ce sinistre. 
J'ai été d'accord ce qui impliquait 2 franchises à payer et ai à la demande de l'Olivier immédiatement envoyé la déclaration complémentaire 
3 semaines apres j'ai reçu un mail m'indiquant que l'expert avait déclaré la non-prise en charge de (s) sinistre (s). 
Suite à un entretien avec ce dernier il m'a informé qu'il avait au contraire confirmé la prise en charge de la réparation du premier sinistre et n'avait rien reçu de l'Olivier concernant le "2 éme sinistre" .....
Pour récupérer mon véhicule j'ai du payer les réparations en cours et malgré mon courrier en AR à leur service qualité je n'ai reçu aucune réponse !!!!
</t>
  </si>
  <si>
    <t>23/09/2019</t>
  </si>
  <si>
    <t>yoyo-99632</t>
  </si>
  <si>
    <t>Maaf...l assurance qui encaisse le pognon...et vous jette si demain elle doit vous en redonner.
3 résines pour impacts sur pare brise..en 2 ans pour moins de 400 euros au total
bien entendu 50 de bonus..client or..bonus a vie ..j'en passe..
morale..réglez vous même vos impacts sinon a 3 lignes vous vous retrouvez fiché à la Agira en compagnie des délinquants de la route...et là ça rigole moins.
l Adage assureurs v.. en tous cas...colle tout a fait a cette compagnie..mais il est vrai que la pub se paie cher et les assurés en font d un côté sans doute les frais.
A déconseiller fortement a moins d être sur de ne jamais rien leur coûter.
des pions dans leur algorithme de statistiques.</t>
  </si>
  <si>
    <t>04/11/2020</t>
  </si>
  <si>
    <t>01/11/2020</t>
  </si>
  <si>
    <t>teamparis-125865</t>
  </si>
  <si>
    <t>Erreurs récurrentes et permanentes. Ca dure depuis des mois.
Malgré mes écrits et appels, les erreurs perdurent alors qu'il s'agit chaque fois, du même médecin, du même montant, ils attribuent chaque fois un acte différent (généraliste, dentiste...).
Obligée de perdre du temps chaque mois à leur faire un récapitulatif et une réclamation alors que la CPAM leur envoie bien les bons éléments;
A fuire absolument.</t>
  </si>
  <si>
    <t>Mercer</t>
  </si>
  <si>
    <t>daniel-96105</t>
  </si>
  <si>
    <t>depuis la mort de mon épouse, il y a 4 mois 1/2 j'essaies de me faire verser l'assurance vie, il manque toujours quelque chose même si cela a déja été envoyé, et il est pratiquement impossible de les joindre au téléphone.
Il y a 10 jours, ils ont fini par convenir que tout était OK mais je n'ai toujours rien reçu.
De plus ils ne connaissent pas la législation sur les contrats de mariage français ( communauté universelle )*;
C'est une honte !
Daniel Régis  danielregis999@gmail.com</t>
  </si>
  <si>
    <t>09/08/2020</t>
  </si>
  <si>
    <t>pat34-68154</t>
  </si>
  <si>
    <t>à éviter très sérieusement ! Tant sur le plan d'un contrat que sur le plan professionnel.
Pour le contrat dans le cadre d'un sinistre , premièrement les exclusions sont nombreuses et les remboursement sont fait très tardivement ( 7 mois dans certains cas.)
Pour le cadre professionnel, sachez qu'après deux entretiens passés chez eux et après un mois de délai, aucun rappel n'a été fait, pas de retour par mail non plus, un peu limite pour une entreprise qui prônent les valeurs humaines. Très déçu de la part d'un organisme sois disant militant des valeurs motardes...  Pour les même tarifs vous pouvez voir d'autres concurrents tel qu'April moto, Maaf ou AMV</t>
  </si>
  <si>
    <t>29/10/2018</t>
  </si>
  <si>
    <t>anne-so-61124</t>
  </si>
  <si>
    <t xml:space="preserve">La MACIF n'est plus ce qu'elle était.
Je me suis rendue compte que mes derniers appels réalisés pour modification de contrat n'ont pas été pris en compte :
- 2 appels concernant le passage au dépannage pris en charge à 0 km du domicile au lieu de 50 km, l'un en 2015, l'autre en 2017. Et fin 2017, je constate que cela n'a pas été pris en compte. Heureusement, pas de panne à moins de 50 km de chez moi durant cette période...
- 1 appel en 2013, pour enlever l'assurance trajet domicile-travail. Non pris en compte également, ce qui m'a coûté 26 €/an pendant 5 ans. Re-appel fin 2017, enfin pris en compte et je reçois un avoir sur ma prochaine facture de mars 2018 de... 28 centimes !!! Il me semble pourtant que, me devant 2 mois (janvier et février 2018), cela devrait faire 2 x 26 €... on est loin des 28 centimes de l'avoir.
J'ai donc pris rendez-vous à l'agence proche de chez moi, à Gramont dans le 31.
Résultat : aucune prise en compte de ces "ratés". Soit-disant que mon appel de 2013 n'étant pas tracé, aucun dédommagement, ni geste commercial possible. Oh bien sûr, ils me "font confiance" et ne "mettent pas en doute le fait que j'ai réellement appelé en 2013", sauf qu'au final, vu que je ne récupère rien, c'est comme si j'avais menti. Et pour l'avoir de 28 centimes, pas d'info supplémentaire ; incapable de fournir une explication. Demande d'éclaircissement transmise au service comptabilité...
Au final, ils me conseillent de ne plus faire de modif par téléphone, mais de me déplacer en agence. Super pratique. </t>
  </si>
  <si>
    <t>05/02/2018</t>
  </si>
  <si>
    <t>clemrob-109796</t>
  </si>
  <si>
    <t>Mutuelle désastreuse!Il faut systématiquement passer derrière eux:ont refusé le remboursement de frais médicaux car ont confondu la date de prescription médicale, à laquelle je n'étais pas encore chez eux, avec celle de la réalisation de l'acte en lui même : j'étais chez eux; m'ont débité par erreur 103 par mois pendant 3 mois, m ont dit avoir régularisé la situation mais m ont à nouveau débité, ils sont injoignables bien évidemment... et suite à mes rappels incessants, m'ont promis de se mettre en contact avec Amélie pour que la télé transmission puisse se faire, trois mois après ils ne l'ont toujours pas fait...c'est simple : il faut faire le travail à leur place ! A EVITER !!!</t>
  </si>
  <si>
    <t>anne-81661</t>
  </si>
  <si>
    <t>Bonjour,
Après 40 ans d'une adhésion sans nuages, je me retrouve du jour au lendemain radiée par la MAIF, sans aucune explication vraie, malgré mes demandes. Et moi qui croyait cette mutuelle humaine ! Je n'aurais jamais cru ça de cette mutuelle.</t>
  </si>
  <si>
    <t>05/12/2019</t>
  </si>
  <si>
    <t>flament-f-123249</t>
  </si>
  <si>
    <t xml:space="preserve">Conseiller pro et à l'écoute, je tiens à remercier Antoine pour son sens de la relation client que j ai eu de vive voix, bon rapport qualité prix assurance jeune conducteur 
</t>
  </si>
  <si>
    <t>tigrounet-64472</t>
  </si>
  <si>
    <t xml:space="preserve">j'ai pris cette mutuelle pour ma chatte afin de couvrir mes frais de vétérinaire opération mis en place d'une puce ext...    </t>
  </si>
  <si>
    <t>SantéVet</t>
  </si>
  <si>
    <t>05/06/2018</t>
  </si>
  <si>
    <t>01/06/2018</t>
  </si>
  <si>
    <t>jean-christophe-s-122738</t>
  </si>
  <si>
    <t xml:space="preserve">Tres merci pour tous je vous recommande fortement equipe au top jespere bientot etre en contact avec vous bonne soiree a bientot segura jean christophe </t>
  </si>
  <si>
    <t>07/07/2021</t>
  </si>
  <si>
    <t>phdb-40277</t>
  </si>
  <si>
    <t>Parfait. Beau rapport qualité-prix. 
Rares sont les services qui proposent cette qualité d'accueil de réponse à ce tarif. 
Je suis réconciliée avec le service en ligne grâce à eux.</t>
  </si>
  <si>
    <t>15/09/2017</t>
  </si>
  <si>
    <t>sduranto-80264</t>
  </si>
  <si>
    <t>Le numero de tél 3676 répond à chaque fois qu'aucun conseiller n'est disponible même aux heures ouvrables. Le site ne prends pas en compte les démarches en cours qui posent problème. Le guide virtuel est inutilisable.</t>
  </si>
  <si>
    <t>21/10/2019</t>
  </si>
  <si>
    <t>mel-99046</t>
  </si>
  <si>
    <t xml:space="preserve">Assurance à fuir je paye 23euro par mois et là j'ai reçu un mail à partir de janvier je dois payer 41e tout sa parce que j'ai dû faire opéré mon chien en faite il se base sur l'année d'avant pour pouvoir faire les échéance de l'année suivante c honteux !!!! </t>
  </si>
  <si>
    <t>21/10/2020</t>
  </si>
  <si>
    <t>marie-b-116326</t>
  </si>
  <si>
    <t>Toujours satisfaite de Direct Assurance, réactivité et prix au top ! Je recommande fortement. Sinistre collision : voiture de prêt, professionnel venu chercher le véhicule et réparations faites tout ça en 4 jours.</t>
  </si>
  <si>
    <t>08/06/2021</t>
  </si>
  <si>
    <t>nicolasca-89159</t>
  </si>
  <si>
    <t xml:space="preserve">Augmentation des tarifs chaque année (52€/mois puis 75€/mois puis 81€/mois) sans aucune justification. Plus long délais d'attente pour contacter un conseiller 1heure et 25mn.  
Assurance Tiers (de base, sans aucun supplément) 965,11 € par an ! </t>
  </si>
  <si>
    <t>26/04/2020</t>
  </si>
  <si>
    <t>stephanie-d-122351</t>
  </si>
  <si>
    <t xml:space="preserve">Je suis satisfaite du prix et de la rapidité les offres sont pas cher je recommande à plusieurs niveaux et surtout par rapport à la qualité prix proposé </t>
  </si>
  <si>
    <t>05/07/2021</t>
  </si>
  <si>
    <t>ougier-j-113968</t>
  </si>
  <si>
    <t xml:space="preserve">Très bon service, au téléphone comme en ligne. Les prix sont les meilleurs du marché pour une première assurance, l’aide est accessible facilement, le site est clair et compréhensible et les agents que j’ai eu au téléphone sont très professionnels et à l’écoute ! </t>
  </si>
  <si>
    <t>17/05/2021</t>
  </si>
  <si>
    <t>nd-67456</t>
  </si>
  <si>
    <t>AXA est une superbe assurance, je suis assurée chez eux en Auto et Habitation et malgré des tarifs en hausse tous les ans, je reste sur un tarif compétitif. Les interlocuteurs sont très sympathiques!!!</t>
  </si>
  <si>
    <t>08/10/2018</t>
  </si>
  <si>
    <t>anissahammou-52722</t>
  </si>
  <si>
    <t>Assurée depuis presqu'un ans chez L'olivier assurance ...
Prix attractif, service nickel ?? 
Je recommande à tous ...
Ayant moi même travaillé en assurance je renouvellerai mon contrat et sollicite les personnes qui payent "trop chère " de faire un devis chez L'olivier . C est rapide et surtout gratuit.
Pourquoi payer plus !! 
Bravo L'olivier assurance , au top ?? ??</t>
  </si>
  <si>
    <t>24/02/2017</t>
  </si>
  <si>
    <t>luc-b-133380</t>
  </si>
  <si>
    <t>Simple et pratique concernant la souscription en espérant un suivi de même nature..
Par contre l'obligation d'aller dans un garage partenaire pour bénéficier des avantages me gêne un peu.
J'aurais souhaité être libre de me rendre chez mon garage habituel qui connaît mon véhicule et son propriétaire.</t>
  </si>
  <si>
    <t>hossain-e-135159</t>
  </si>
  <si>
    <t>Prix au top du topppp, je suis agréablement surpris par vos tarifs c’est du jamais vu.
C’est grâce à ma fille qui est assurée chez vous que je vous ai découvert je ne connaissais absolument pas.</t>
  </si>
  <si>
    <t>encolere-62884</t>
  </si>
  <si>
    <t>Cet assureur trouvera toujours une bonne raison pour ne pas vous indemniser et ceci sans prendre de gant, aucune compassion.  Un ouverture béante sur le parking du aux pluies diluviennes et au ruissellement ne sera pas indemnisé. Par chance la voiture n'est pas tombée dedans</t>
  </si>
  <si>
    <t>03/04/2018</t>
  </si>
  <si>
    <t>patricia-b-106070</t>
  </si>
  <si>
    <t>Avec la situation actuelle et le fait que je roule beaucoup moins qu'avant, le prix chaque année augmente. Vous poussez les gens à changer d'assurance et ce que je vais faire très rapidement ....
Cordialement.</t>
  </si>
  <si>
    <t>10/03/2021</t>
  </si>
  <si>
    <t>yusuf-95956</t>
  </si>
  <si>
    <t>Service clien un grand ZERO .le jour ou vous avez un probleme il font le maximum pour eviter les frais a leut charge malgre le tous risque . Ne pas se fier a leure prix si les services souscrie sont pas respecter Merci</t>
  </si>
  <si>
    <t>05/08/2020</t>
  </si>
  <si>
    <t>malassure-88474</t>
  </si>
  <si>
    <t>Vous avez raison. Cet assureur semble sérieux mais ne vaut pas plus que les assurances bas de gamme les moins cher du marché. J'ai mes deux véhicule assuré chez eux et client depuis 3 ans. Après un sinistre non responsable mon véhicule est déclaré VEI ils me dédommagent largement en dessous de la valeur de remplacement du véhicule en complicité avec leur expert puisque il savent qu'une contre expertise me coûterait autant que je pourrais y gagner. Bref assureur pas honnête à fuir.</t>
  </si>
  <si>
    <t>22/03/2020</t>
  </si>
  <si>
    <t>pat-126538</t>
  </si>
  <si>
    <t>n ayant eu aucune réponse au sujet de mon assurance nie par courrier ou autre j aie téléphoner deux ou trois fois il me disais qu' il avait pas de contrat a mon non j aie donc renoncer a cette assurance et je me suis rendu conte plus tard qu' il me prélever sur mon compte j avais beau leur expliquer le problème mais ils on rien voulu savoir</t>
  </si>
  <si>
    <t>05/08/2021</t>
  </si>
  <si>
    <t>mamoune--122796</t>
  </si>
  <si>
    <t>J’ai souscrit je n’es jamais reçu la vignette mes on me demande de payer je comprends pas pour une sois disant bonne assurance je suis decus et là je sais pas quoi penser</t>
  </si>
  <si>
    <t>neste51-50567</t>
  </si>
  <si>
    <t>c'est vrai qu'en s'engageant avec direct assurance, le montant pour assurer mon véhicule avait baissé( environ 200€ mais en y regardant de plus près, en faisant une simulation de tarif quelques années après, je paye presque 200€ de plus que chez d'autres assureurs.De plus, des mesquineries nous ont contrariées:on nous a facturé 25€ pour avoir changé d'adresse(frais traitement),service client difficilement joignable et peu compétent(pays étranger?), et cette année, au lieu de payer la cotisation annuelle début janvier comme d'habitude, le virement s'effectue fin décembre (super pour les fêtes)sans nous avoir prévenu .encore heureux que nous n'avons pas eu de sinistres sur nos véhicules pendant ces années. au moment de résilier, obligation de les rappeler plusieurs fois pour le remboursement de la cotisation restante</t>
  </si>
  <si>
    <t>22/12/2016</t>
  </si>
  <si>
    <t>amandine-d-114626</t>
  </si>
  <si>
    <t xml:space="preserve">SUPER SATISFAITE SIMPLE ET RAPIDE PERSONNEL TRES PROFESSIONEL PAS DE SOUCIS POUR LE MOMENT        DEPUIS PLUSIEURS ANNEES JE RECOMMANDE NE PAS HESITER </t>
  </si>
  <si>
    <t>23/05/2021</t>
  </si>
  <si>
    <t>vidoc-85934</t>
  </si>
  <si>
    <t>RAS</t>
  </si>
  <si>
    <t>15/01/2020</t>
  </si>
  <si>
    <t>anne-r-105557</t>
  </si>
  <si>
    <t>Bonne assurance bon rapport qualité prix,  formalités simples, accueil téléphonique facile et rapide, informations claires. Je recommande sans problèmes.</t>
  </si>
  <si>
    <t>carine-c-121977</t>
  </si>
  <si>
    <t>je suis satisfaire du service, des prix proposés et de l'amabilité des  interlocutaires. Toutefois, on peut toujours faire mieux pour les sociétaires fidèles, en leur proposant de souscrire à une cotisation de leurs choix et/ou des mois de cotisations, leurs seraient offerts.</t>
  </si>
  <si>
    <t>henri-s-122703</t>
  </si>
  <si>
    <t>Non car je viens d'apprendre que mon remplacement de pare brise a fait l'objet d'une expertise et  qui conclut à un coût excessif dee la facture.
Je souhaite que votre société respecte strictement les termes du contrat qui nous lie !</t>
  </si>
  <si>
    <t>eric-53316</t>
  </si>
  <si>
    <t>Ahurissant  !!!  Ils me demandent 1500€ suite à un sinistre qu'ils n'ont méme pas eu à rembourser !!</t>
  </si>
  <si>
    <t>16/03/2017</t>
  </si>
  <si>
    <t>wis-55557</t>
  </si>
  <si>
    <t xml:space="preserve">Les délais de l'assistance, suite à une panne de mon véhicule, sont tout simplement moyenâgeux. Je précise que l'intervention à en petite couronne parisienne et après 20 heures  bien évidemment. L'agent était néanmoins courtois et désolé du retard. </t>
  </si>
  <si>
    <t>22/06/2017</t>
  </si>
  <si>
    <t>cloap-101803</t>
  </si>
  <si>
    <t>Augmentation assurance auto à échéance au 05/01/2021 de 10%,aucune déclaration de sinistre depuis le début du contrat(2015) et année Covid 2020,  un véritable scandale.Je détiens 9 contrats chez AXA,je vais résilier l'ensemble</t>
  </si>
  <si>
    <t>23/12/2020</t>
  </si>
  <si>
    <t>joseph-c-106664</t>
  </si>
  <si>
    <t>je suis satisfait du service pour l'instant, samedi dernier nous n'avons pas réussi à changer les données, mais aujourd'hui c'était correct.
J'ai hésité à prendre le tous risques car ma voiture car elle a 12 ans, et n'a que 90000 km, j'ai suivi votre conseil.</t>
  </si>
  <si>
    <t>15/03/2021</t>
  </si>
  <si>
    <t>hiole-a-116715</t>
  </si>
  <si>
    <t>Service client très qualitatif ; agréable, à l'écoute et bienveillant.
Proposition d'assurance tout à fait raisonnable et réellement honnête !!
Nous venons d'assurer le deuxième véhicule de notre foyer et je n'hésiterai pas à recommander L'Olivier Assurance à toute ma famille et amis.</t>
  </si>
  <si>
    <t>11/06/2021</t>
  </si>
  <si>
    <t>baptiste-97938</t>
  </si>
  <si>
    <t>Ayant 18 ans j'ai acheté un mt07 en a2 assuré tous risque avec option remboursement equipement et accessoire 
2000 euro annuel exorbitant 
Je suis aller faire un devis avec les même garanti et moins de franchise chez AXA 890 euro annuel 
Il faut m'expliquer pourquoi une si grosse différence de tarif
A eviter a tous prix</t>
  </si>
  <si>
    <t>28/09/2020</t>
  </si>
  <si>
    <t>lionel-d-125426</t>
  </si>
  <si>
    <t>je suis satisfait des services les tarifs sont raisonnables et les interlocuteurs téléphoniques et physiques sont agréables et à l 'écoute. Assurance recommandable</t>
  </si>
  <si>
    <t>cathy-124854</t>
  </si>
  <si>
    <t xml:space="preserve">Très déçue.Le 8/7/21 j'ai contacté generation car j'arrivais en fin de droit ANI le 27/7/21.Je me suis laissée convaincre malgré moi a signer électroniquement un contrat que je n'ai pas reçu en retour.Après plusieurs demandes vaines on me l'a envoyé par mail quand j'ai dit que je désirais résilier. Je me rends compte que j'ai même fourni par téléphone mes coordonnées bancaires. .j'ai eu vraiment l'impression de m'être fais berner. 18 jours d'attente je ne crois pas que ce soit légal..pourtant les années ou j'ai été assurée chez vous par le biais de mon employeur je n'ai pas été déçue. Cordialement </t>
  </si>
  <si>
    <t>assur-en-moto-65425</t>
  </si>
  <si>
    <t>Pire compagnie d'assurance deux roue jamais expérimentée... Accident 100% non responsable toujours pas réglé au bout de deux ans de procédure. April moto c'est l'assurance de jeter son argent par les fenêtre et ne jamais revoir la couleur d'une assistance en cas de problème. La société est le spécialiste du non dépannage, non remboursement et particulièrement reconnue pour faire traîner les procédures.</t>
  </si>
  <si>
    <t>11/07/2018</t>
  </si>
  <si>
    <t>01/07/2018</t>
  </si>
  <si>
    <t>franck83-69375</t>
  </si>
  <si>
    <t>Evenement climatique (gtêle). Expert qui pinaille beaucoup et met beaucoup de temps à rendre ses rapports et donc immobilisation prolongée (1 mois)</t>
  </si>
  <si>
    <t>13/12/2018</t>
  </si>
  <si>
    <t>sagesse-87818</t>
  </si>
  <si>
    <t xml:space="preserve">Très mauvaise mutuelle. </t>
  </si>
  <si>
    <t>chem73-60194</t>
  </si>
  <si>
    <t>Nous nous sommes assurés chez L'Olivier pour nos 2 vehicules en 2016 avec un bon rapport qualité/prix. Quelle surprise au à l'échéance, 1 an plus tard de constater une augmentation inimaginable de 30% pour l'un et de 50% pour l'autre, sans aucun sinistre déclaré en 2017!!! du jamais vu! Pensant qu'il s'agissait d'un erreur, nous avons demandé des explications sur ce changement de tarif : réponse en langue de bois...</t>
  </si>
  <si>
    <t>05/01/2018</t>
  </si>
  <si>
    <t>meggy-116406</t>
  </si>
  <si>
    <t>Aucun remboursement depuis 3 mois.. ils passent plus de temps à envoyer les attestations tiers payant  (5, 6 fois )qu'à rembourser les clients.
Si j'avais le choix je ne serais pas cliente. Aucun soucis auparavant avec l'ancienne assurance. 
De plus dans mon entreprise plusieurs personnes se plaignent. Donc ca doit etre banale.</t>
  </si>
  <si>
    <t>stephanie--m-130487</t>
  </si>
  <si>
    <t xml:space="preserve">Satisfaite et contente de reprendre un contrat avec direct assurance.  
Prix vraiment correct. 
Il faudrait que pour le contrat santé soit un peu plus de pourcentage de remboursement </t>
  </si>
  <si>
    <t>florent-b-132346</t>
  </si>
  <si>
    <t>Rapide efficace et fiable. Le prix un peu élevé. Simple pour la gestion de ses contrats. Rapide pour toutes les démarches administratives. Je recommande.</t>
  </si>
  <si>
    <t>11/09/2021</t>
  </si>
  <si>
    <t>anick-59331</t>
  </si>
  <si>
    <t>J'ai voulu assuré un véhicule de sport, la réponse de la MACIF "après étude de la faisabilité..." je suis client depuis +20ans, donc je trouve la 1ère réponse insatisfaisante et que dire du tarif prohibitif par rapport à la concurrence afin d'être sur que je renonce !!! Du bonheur. Du coup je vais transférer tous les contrats auto chez un concurrent.</t>
  </si>
  <si>
    <t>03/12/2017</t>
  </si>
  <si>
    <t>sabih-nabil-a-130646</t>
  </si>
  <si>
    <t xml:space="preserve">Rapide efficace simple et très détailler je le conseille vivement à tous les nouveaux conducteurs on a pas de surprise au moment de payer au top     
Cordialement </t>
  </si>
  <si>
    <t>yann-58958</t>
  </si>
  <si>
    <t>je suis client depuis 4 ans après l'avoir été auparavant pour un autre vehicule il y a 10 ans....je pensais donc en reprenant DA être aussi bien servi..eh bien non...je suis rentré à un certain prix en tout risque et lorsque j'ai déménagé à l'interieur de la même petite ville de province on m'a repondu que le changement d'adresse avait entrainé cette hausse de 10%!!!!!!!!!!!lettre recommandée,etc,réponse :nous telephoner!"les ecrits restent les paroles s'envolent"....bien je passe...le 27 juillet de cette année j'ai un accident non responsable,le suivi des legers travaux se passe pas trop mal et on m'annonce qu'un chèque de 700€ doit m'etre envoyé à titre de dedommagement,les chèques auraient été envoyés à 2 reprises,je ne les ai jamais reçus malgré dejà 2 lettres de désistement...bref tout celà m'échauffe et je change de voiture dans 2 mois mais avec une autre assurance,même plus chére je m'en fiche...</t>
  </si>
  <si>
    <t>20/11/2017</t>
  </si>
  <si>
    <t>01/11/2017</t>
  </si>
  <si>
    <t>pit-112266</t>
  </si>
  <si>
    <t>La Macif m’a conseillé de déclarer un sinistre (vol), et à postériori me retire la couverture vol. De mon point de vue GRAVE défaut de conseil, manque de transparence, et mépris de ses clients. Mon agence se réfugie derrière des décisions internes et n’assume pas pas sa position.</t>
  </si>
  <si>
    <t>30/04/2021</t>
  </si>
  <si>
    <t>lili-93331</t>
  </si>
  <si>
    <t>tant que tout va bien...</t>
  </si>
  <si>
    <t>07/07/2020</t>
  </si>
  <si>
    <t>alexdu64-115742</t>
  </si>
  <si>
    <t>A FUIR ABSOLUMENT
ENCORE UNE DEMANDE DE REMBOURSEMENT OPTIQUE COMPLETE Mais mise en attente.
Facture conforme avec détail des lentilles , n° facture, n° adeli (pro santé) et acquittée et pourtant MERCER demande de justifier tout cela.......... !!!!!!!!!!!!!!
et j'avais joins l'ordonnance qui est conforme aux lentilles achetées 
a croire qu'il essai de ne pas régler les prestations de leurs assurés et bénéficiaires.....
A FUIR !!!!!!!!!!</t>
  </si>
  <si>
    <t>02/06/2021</t>
  </si>
  <si>
    <t>mario-79647</t>
  </si>
  <si>
    <t>Bon accueil, Bonne présentation du produit</t>
  </si>
  <si>
    <t>02/10/2019</t>
  </si>
  <si>
    <t>malibucitron-86659</t>
  </si>
  <si>
    <t>Aucun correspondant au téléphone, uniquement du répondeur, délais très long pour obtenir son argent, a fuir !</t>
  </si>
  <si>
    <t>03/02/2020</t>
  </si>
  <si>
    <t>mien-54343</t>
  </si>
  <si>
    <t>Suite à l'incendie totale de notre maison, nous avons tout perdu et AXA n'a strictement rien fait pour nous. Ils modifient les faits pour être sur de rien devoir rembourser et malgré le rapport de l'expert du tribunal qui dit que c'est un incendie involontaire refuse de nous indemniser.</t>
  </si>
  <si>
    <t>27/04/2017</t>
  </si>
  <si>
    <t>01/04/2017</t>
  </si>
  <si>
    <t>vero-54624</t>
  </si>
  <si>
    <t>bonjour , je suis tombee en panne de voiture le samedi 6 mai a 18h , a 3h et demi de mon domicile , j'ai contacter assistance maaf au 0800...; je suis tombee sur une interlocutrice qui n'est pas patiente du tout et qui nous prend pour des demeurer , il faudrai que l'on comprenne des la premiere fois et qu'on ne la fasse surtout pas repeter ,je pense que dans notre situation , on peut demander des details , quand on nous parle de rapatriement , on ne sait pas si on nous parle de voiture ou de personnes , il serait bien que vous revoyer vos conseillers au bout du fil , on a fini par plus rien demander et on s'est debrouiller tout seul , bonjour le service assistance...</t>
  </si>
  <si>
    <t>11/05/2017</t>
  </si>
  <si>
    <t>samy-94685</t>
  </si>
  <si>
    <t>J’aurais voulu avoir un meilleur prix. Cela fait beaucoup trop chère. Je suis étudiant en alternance. Pourriez vous m’appeler pour me faire un meilleur prix</t>
  </si>
  <si>
    <t>20/07/2020</t>
  </si>
  <si>
    <t>sylvain-c-134851</t>
  </si>
  <si>
    <t xml:space="preserve">Super rapide et efficace, très content je recommande vivement cette assurance, simplicité et rapidité de traitement je vais pouvoir me déplacer en étant assurer sans difficultés. </t>
  </si>
  <si>
    <t>28/09/2021</t>
  </si>
  <si>
    <t>dany-75398</t>
  </si>
  <si>
    <t xml:space="preserve">Services client inexistant
Pas de remboursement 
A eviter absolument 
Plateforme téléphonique incompétents !! </t>
  </si>
  <si>
    <t>26/04/2019</t>
  </si>
  <si>
    <t>prigneau-bourgade-p-138239</t>
  </si>
  <si>
    <t>je suis satisfait du service, le rapport qualité prix et très bonne 
les personnes que j'ai eu au telephone était gentil
tout en espèrent que ca continue</t>
  </si>
  <si>
    <t>25/10/2021</t>
  </si>
  <si>
    <t>xavier-70363</t>
  </si>
  <si>
    <t xml:space="preserve">Cette compagnie trouvera toujours le moyen de ne pas vous rendre votre épargne. </t>
  </si>
  <si>
    <t>19/01/2019</t>
  </si>
  <si>
    <t>jean-marc-p-111524</t>
  </si>
  <si>
    <t>Tarifs imbattable, logiciel facile d utilisation, et rapidité des tarifs.
Je recommande fortement l assurance APRIL, moins chère que les autres assurances concurentes</t>
  </si>
  <si>
    <t>24/04/2021</t>
  </si>
  <si>
    <t>mumus-71000</t>
  </si>
  <si>
    <t>je trouve que il son super  .aderran de pus peut par ses    garanti</t>
  </si>
  <si>
    <t>06/02/2019</t>
  </si>
  <si>
    <t>patxi-69877</t>
  </si>
  <si>
    <t>Assuré tout risque avec bonus 50 et sans aucun accident responsable récent depuis plus de 8 ans à la Maif pour ma voiture je pensai qu'elle récompenserait ma fidélité et ma bonne conduite.. il faut croire que non !!
je viens pourtant de subir une augmentation substantielle de ma cotisation annuelle en 2019... Est ce comme cela que l'on récompense les bons conducteurs ?</t>
  </si>
  <si>
    <t>04/01/2019</t>
  </si>
  <si>
    <t>avisqualifie-99781</t>
  </si>
  <si>
    <t xml:space="preserve">Sinistré au 30/05/2020 pour un incendie en sous-sol d'un immeuble dont je suis victime, SOGESSUR gère les excuses afin de ne pas m'indemniser. 
- "On recherche le tiers pour convocation sous 21 jours" et report de l'expertise 3x (+2 mois)
- "On attend le rapport de l'expert" (+2 mois)
- "On attend le devis de l'entrepreneur" (+1 mois)
et désormais "On attend le rapport sur les causes de l'incendie" Combien de temps ? "On ne sait pas !"
Moralité pour des dégâts mineurs (chiffrés à 1120 euros) je ne suis toujours pas indemnisé plus de 5 mois après le sinistre ... Pour couronner le tout le bien était sous compromis et désormais vendu, je me retrouve par conséquent entre le marteau et l'enclume, étant responsable de la remise en état du bien. La position est très peu agréable et bien connue de SOGESSUR. 
Le propre du service d'une assurance étant la qualité du suivi du sinistre et de l'indemnisation, il me semble payer pour des prestations qui ne sont pas à la hauteur de l'idée que je me faisais des contrats Sogessur. Pour les factures, les prélèvements passent sans problème, c'est au top ! </t>
  </si>
  <si>
    <t>06/11/2020</t>
  </si>
  <si>
    <t>samira-b-115770</t>
  </si>
  <si>
    <t>JE SUIS SATISFAITE DE VOS SERVICE
je souhaiterais qu'il y moin d'attente au téléphone
J'espère qu'il n'y aura pas d'augmentation pour les prochaines années</t>
  </si>
  <si>
    <t>michel-a-128569</t>
  </si>
  <si>
    <t xml:space="preserve">Prix très compétitifs souscription facile 
Tarifs detailles choix des garanties clair possibilités de choisir des options supplémentaires à des prix suoer intéressant </t>
  </si>
  <si>
    <t>18/08/2021</t>
  </si>
  <si>
    <t>bea3010-114459</t>
  </si>
  <si>
    <t xml:space="preserve">Il ne faut pas avoir plus de deux sinistres non responsable car aussinon on reçoit un courrier par laquel on est un mauvais conducteur et il nous vire. </t>
  </si>
  <si>
    <t>21/05/2021</t>
  </si>
  <si>
    <t>rv1822-63448</t>
  </si>
  <si>
    <t>résilier sans aucune explication et personne ne neut répondre.</t>
  </si>
  <si>
    <t>20/04/2018</t>
  </si>
  <si>
    <t>baguera-81140</t>
  </si>
  <si>
    <t>depuis 14 mois je me bat pour faire valoir mes droits  pour notre assurance emprunteur, suite à l'invalidité de mon mari échange de courrier incoherent de leur part. Mais je constate que nous sommes nombreux a avoir des problèmes et je trouve cela inadmissible.IL faudrait que l'on se regroupe afin de faire valoir nos droits</t>
  </si>
  <si>
    <t>19/11/2019</t>
  </si>
  <si>
    <t>marion-100198</t>
  </si>
  <si>
    <t xml:space="preserve">Je suis vraiment très dessus, voilà un mois que je demande à obtenir un document que génération de veux pas me donner. Il s’agit tout simplement d’un décompte de remboursement. Après plusieurs appel, je reste toujours dans l’attente d’obtenir ce document. Je suis vraiment excédé et déçu car par leur faute je suis encore dans l’attente d’un remboursement de près de 400€. C’est un enfer ! </t>
  </si>
  <si>
    <t>17/11/2020</t>
  </si>
  <si>
    <t>jerome-f-132879</t>
  </si>
  <si>
    <t>TRES RAPIDE POUR MONTER LE DOSSIER ET SELON MES ATTENTES EN MATIERE D'ASSURANCE.
JE RECOMMANDE CETTE ASSURANCE EN ESPERANT QUE LA PRESTATION EN CAS DE PROBLEME SOIT A LA HAUTEUR EGALEMENT.</t>
  </si>
  <si>
    <t>15/09/2021</t>
  </si>
  <si>
    <t>mickey-82210</t>
  </si>
  <si>
    <t xml:space="preserve">Aucune assistance si on les relance pas rien ne passe. J'
En dessous de tout 
Obligé de me reloger à mes fraisai eu un dégât des eaux un premier expert qui connaissait rien est passé ( il ne faisait pas la différence entre un plancher collé et un plancher chêne massif posé sur lambourde ! ) il devait repasser 3 mois après maintenant on me demande six mois ! Inadmissible </t>
  </si>
  <si>
    <t>23/12/2019</t>
  </si>
  <si>
    <t>geulzz-45263</t>
  </si>
  <si>
    <t>EXCELLENTE MUTUELLE  QUE JE RECOMMANDE CHAUDEMENT. JE suis Adhèrent depuis 1962. je suis très heureux actuellement d'être gérer par la MGEN au regard de mon Age  et des prestations qu'elle régit.</t>
  </si>
  <si>
    <t>27/01/2021</t>
  </si>
  <si>
    <t>williamp-75028</t>
  </si>
  <si>
    <t>Envoi des papier resiliation du contrat le 15 aout 2018 le 22/03/2019 je paie encore une voiture que je n est plus je renvoi les papier et la toujours rien je paie encore le 12 avril 2019 aucun remboursement Et après 15 mn sa donne et toujours rien</t>
  </si>
  <si>
    <t>12/04/2019</t>
  </si>
  <si>
    <t>deweulf-f-116050</t>
  </si>
  <si>
    <t xml:space="preserve">bien pour le moment , à voir sur la durée et en cas de sinistre. Prise de contact téléphonique pour réaliser le devis. Le conseiller a très bien fait son travail.   </t>
  </si>
  <si>
    <t>fafa-59019</t>
  </si>
  <si>
    <t xml:space="preserve">Ne jamais s'assurer chez eux .
Cliente actuel ma voiture ma étais volé assuré tout risque même pas de véhicule de prêt pas un courier je suis laisser a labondon . Sa fais 2 mois 1/2 que ma voiture a étais volé et tjr rien à chaque fois que j'appel la même réponse je site votre dossier et chez la direction je n'est pas plus d'info a vous donner c'est du grand n'importe quoi allez partout mais pas chez eux </t>
  </si>
  <si>
    <t>22/11/2017</t>
  </si>
  <si>
    <t>pat62-87950</t>
  </si>
  <si>
    <t>Service client déplorable impossible de les joindre par téléphone. Accusé réception des mail mais ne réponde pas.
Plus de 25 appels téléphoniques sans résultat. En attente d'un remboursement depuis 3 semaines</t>
  </si>
  <si>
    <t>04/03/2020</t>
  </si>
  <si>
    <t>hotel--97487</t>
  </si>
  <si>
    <t>Bonjour direct assurance je trouve très cher chaque année ça monte ça baisse pas malgré il n’y a pas de problème n’ai pas d’accident chaque année ça monte je trouve Lit très cher par rapport le marché par rapport à notre assurance elle est très très cher ça je</t>
  </si>
  <si>
    <t>16/09/2020</t>
  </si>
  <si>
    <t>helene-104618</t>
  </si>
  <si>
    <t>Mutuelle proposant des tarifs compétitifs avec des garanties et des avantages intéressants. De plus ils sont facilement joignables et compétents dans leur réponses. Je recommande cette mutuelle.</t>
  </si>
  <si>
    <t>23/02/2021</t>
  </si>
  <si>
    <t>laugerette-r-108828</t>
  </si>
  <si>
    <t xml:space="preserve">je suis satisfait du rapport qualité prix présenté par Olivier assurances. Les taux de leurs franchises ne sont pas excessifs et le services à l'air d'être réactif
</t>
  </si>
  <si>
    <t>frederic-l-123090</t>
  </si>
  <si>
    <t xml:space="preserve">Devis rapide claire et précis
Bon rapport Prix/Services affichés et possibilité d'effectuer un paiement en une seul fois ce qui est un petit plus agréable. 
</t>
  </si>
  <si>
    <t>11/07/2021</t>
  </si>
  <si>
    <t>gerald-m-129741</t>
  </si>
  <si>
    <t>Je suis satisfait de la prestation. Dommage que l’on ne puisse avoir plus de choix concernant le fait de choisir ou non de supprimer les différentes franchises.</t>
  </si>
  <si>
    <t>hourii76-100592</t>
  </si>
  <si>
    <t>Sur le papier, elle a l'air bien , mais en cas de sinistre, c'est pas la meme chanson, les délais sont longs et elle vous sort des trucs dont vous n"êtes même pas au courant comme une option panne 0 km sans pret de véhicule a part si on prend encore l'option plus de l'option
lamentable, je suis trés décue, et en plus en cas de sinistre ils vous proposent des indemnisations ridicules qu'il faut refuser parce que personne ne viendrait réparer à ce prix la. Voila deux semaines que je suis coincée sans voitures avec  2 enfants handicapées, parce que lors d'une panne, la voiture a été remorqué chez le garagiste a cote de chez moi, qui l'a brulé accidentellement. Donc je n'ai pas de voiture, et je vais dire adieu cette macif qui se fiche de mon sort</t>
  </si>
  <si>
    <t>25/11/2020</t>
  </si>
  <si>
    <t>bibi11-71884</t>
  </si>
  <si>
    <t xml:space="preserve">Ils résilient sans raison. Jai été une cliente clean. Juste un sinistre responsable  en attente dinstrucTion en plus et un deuxième 0 responsabilité.  Bris de glace. Ils ont résilié mon contrat alors javais pris mon assurance logement et garantie accident chez eux, et recommandé à mon entourage.  </t>
  </si>
  <si>
    <t>05/03/2019</t>
  </si>
  <si>
    <t>edouard-d-126761</t>
  </si>
  <si>
    <t>Très satisfait du service et de la prise en charge des entretiens téléphoniques, les standardistes sont clairs, accueillants et bienveillants. Les prix sont abordables également.</t>
  </si>
  <si>
    <t>maryse-szymoniak-100574</t>
  </si>
  <si>
    <t>La prise en compte de mon sinistre (non responsable) a été simple et rapide. La réparation de mon véhicule a été réalisée par un professionnel sérieux.</t>
  </si>
  <si>
    <t>lili-64427</t>
  </si>
  <si>
    <t>J'ai été démarchée au téléphone par conseillé qui m'a extirpé mon iban. J'ai 82 ans et je me suis rendue compte qu'il avait abusé de ma faiblesse et que j'étais assurée sans l'avoir jamais demandé. Je suis couverte par Allianz et ne désire pas changer. J'ai fait arrêt à la banque et  j'ai été menacée de contentieux. Je ne sais plus quoi faire.</t>
  </si>
  <si>
    <t>03/06/2018</t>
  </si>
  <si>
    <t>bal2dik-108207</t>
  </si>
  <si>
    <t>Bonjour
Je suis chez Olivier assurance depuis plus de 1 ans (assurance pour une Mégane 3 RS) effectivement prix très attractif. je n'ai eu aucun sinistre bris de glace ni quoi que ce soit bref j'ai toujours payé.
Il se trouve que récemment j'ai muté par rapport à mon boulot j'ai changé  de région.
Donc j'ai dû déménager. Entre-temps avec les difficultés pour trouver un logement compte tenu de la covid je suis à l'hôtel.
Je préviens mon assurance qui me dit que je ne figure pas dans les clauses ils me disent de trouver une autre assurance car il me resilie.
Donc pas le choix que de trouver une autre assurance.
Je me dis juste heureusement que je n'ai pas eu d'accident pendant que j'étais assuré car vu comme  ils m'ont jeté je n'imagine même pas les difficultés pour un sinistre.</t>
  </si>
  <si>
    <t>27/03/2021</t>
  </si>
  <si>
    <t>mehdi--90839</t>
  </si>
  <si>
    <t>je suis satisfait du service...... les prix me convienne...... simple et pratique.......................................................................</t>
  </si>
  <si>
    <t>14/06/2020</t>
  </si>
  <si>
    <t>vane's-137672</t>
  </si>
  <si>
    <t xml:space="preserve">Résiliation du contrat suite à 3 accidents ( 1bris de glace, 1 accident responsable mais ils n'ont pas mis le bon conducteur et 1 semi responsable que j'avais demandé d'annuler et dont l'annulation m'a été refusée). </t>
  </si>
  <si>
    <t>bg-88411</t>
  </si>
  <si>
    <t xml:space="preserve">Plus de 6 mois que essaye de contacter cette assurance au sujet de mon crédit car je suis en invalidité mais pour les prélèvements sa ils mette pas 6 mois , scandaleux .
Je déconseille cette assurance,  ainsi que pour la voiture et appartement,  car je suis assurée chez eux que je vais m'y enlever. </t>
  </si>
  <si>
    <t>19/03/2020</t>
  </si>
  <si>
    <t>med-amine-o-124617</t>
  </si>
  <si>
    <t xml:space="preserve">je suis extrememnt satisfait du service 
la facilite de communication avec les conseiller de direct assurance , pendant que nous etions coincer dans une ferme en montagne a plus de 36 degres , et que apparait l'ange direct assurance pour vous lancer une perche !!! on a pas envie de changer d'assureur !
bravo les gars </t>
  </si>
  <si>
    <t>gedik-o-118071</t>
  </si>
  <si>
    <t>Satisfaisant, clair.
Seulement si nous pourrions faire un devis sur une voiture secondaire directement sur notre profil avec nos documents ce serait mieux.</t>
  </si>
  <si>
    <t>24/06/2021</t>
  </si>
  <si>
    <t>pedro-p-114836</t>
  </si>
  <si>
    <t>Je suis conseillé par un amie et apparemment il est très satisfait. Au niveau prix/qualité c´est très bien par apport aux autres compagnies. 
merci .</t>
  </si>
  <si>
    <t>25/05/2021</t>
  </si>
  <si>
    <t>ritzjp-66938</t>
  </si>
  <si>
    <t>adhérent plus de 30 ans avec le contrat le plus cher et quasiment sans sinistre nous avons eu 3 sinistres en deux ans et du coup on nous a augmenté le tarif de 50% sans aucune prévenance une mauvaise surprise sur l'avis d'échéance. Nous avons résiliés toutes les assurances auto et habitations</t>
  </si>
  <si>
    <t>18/09/2018</t>
  </si>
  <si>
    <t>01/09/2018</t>
  </si>
  <si>
    <t>ileana75-93756</t>
  </si>
  <si>
    <t xml:space="preserve">Fuyez cette assurance ! Une assurance auto qui ne vous sert à rien car vous vous faites éjecter  si vous avez le malheur d'avoir un accident.. qu'il soit responsable ou non ! Les conseillers clientèles sont incompétents , ils Mon fait signer un contrat  pour ensuite me rappeler 3 semaines après  afin de m'obliger à résilier le contrat « à l'amiable » selon eux ..car ils se sont rendu compte que j'avais  3 sinistres ( dont 1 non responsable et 1 sinistre bris de glace ) pourtant c'était des informations qu'ils avaient avant de me faire signer un contrat ! Ils ne communiquent  pas entre eux se relancent  la balle ! Une incompétence inouïe ! Plus jamais cette assurance ne faite pas cette erreur ! </t>
  </si>
  <si>
    <t>10/07/2020</t>
  </si>
  <si>
    <t>valsam-34640</t>
  </si>
  <si>
    <t>Bonjour, assureur a fuir ! leurs tarifs sont exorbitants. La 1ère année, j'ai eu une amande pour défaut d'assurance. Elle avait oublié de me transmettre la carte définive. J'ai demandé le remboursement mais je suis fait baladé de service en service. Je viens de résilier loi Hamon mais je n'ai toujours pas de carte verte. Je viens de recevoir une mise en demeure pour une assurance qui s'arrête dans 3 jours.  Le comble ! Il me demande des frais de rejet + l'intégralité de l'année 689 euros. 
Bon courage aux autres</t>
  </si>
  <si>
    <t>mario92600-54940</t>
  </si>
  <si>
    <t xml:space="preserve">3 années sans problèmes Une moyenne de 35 km par jours à Paris et région parisienne Puis faute à pas de chance 3 incidents en moins de 2 ans 
Pour le 3ème incident le constat a été mal rempli et ma responsabilité engagée à 50% J’appelle Direct Assurance pour leur dire que je ne suis pas d’accord On me conseil de renvoyer un nouveau constat Après avoir contacté le tiers un nouveau constat est envoyé Direct Assurance le perd et mon ordi qui contient le scan du contrat tombe en panne
Là je reçois un courrier même pas en RAR me disant que Direct Assistance résilie mon contrat à cause de 3 incidents responsables en moins de 2 ans
Je récupère les données du disque dur et renvois le constat en RAR avec un courrier disant que comme le dernier incident ne relève pas de ma responsabilité je considère que le courrier de résiliation est nul Début mai 2017 Direct Assurance me contact ne me parle pas de résiliation fait faire les réparations sans franchises entre le 7 et le 15 mai, me confirme que ma responsabilité n’est pas engagée J’en reste là trop naïf et trop confiant
Hier 26 mai 2017 j’appelle Direct Assurance car je n’ai pas reçu ma carte verte provisoire ni de rappelle de paiement de police d’assurance Et là on m’annonce que mon contrat est résilié depuis le 1er mai sans me donner de raisons précises en me précisant juste que tout comme j’ai le droit de résilier mon contrat Direct Assurance peut également s’arroger ce droit sans donner d’explications Le fait du prince il n’est donc plus question de 3 incidents responsables il est question de tout autre chose une décision unilatérale et non justifiée surtout que les réparations du véhicule ont été faite après la résiliation du contrat
Les conseillères au téléphone me font alors passer du service sinistres au service relation clientèle à tours de rôle pendant plus d’une heure  le courrier envoyé en RAR avec le contrat n’existe pas selon elles je ne l’aurais jamais envoyé alors comment ont elles reçu le constat et qu’elles n’ont pas à me donner une quelconque raison pour cette résiliation Perdant patience je demande l’adresse du médiateur que la loi oblige toute compagnie d’assurance à avoir On me répond que ce médiateur n’existe pas qu’elles n’ont ni adresse ni téléphone pour une telle personne chez Direct Assurance
Enfin à ma dernière question aujourd’hui  le contrat est résilié le 1er mai mais ma carte verte courre jusqu’au 30 mai 2017 ai je donc jusqu’au 30 mai pour trouver une autre compagnie tout en utilisant ma voiture ? on me répond non ! Votre contrat est résilié depuis le 1er mai Cela fait donc 26 jours que je conduis sans assurance et en n’ayant pas été prévenu, en n’ayant pas eu de réponse à mon courrier c est criminel et je pèse mes mots Et la cerise sur le gâteau  une résiliation au 1er mai, une carte verte valable jusqu au 30 mai une police d’assurance payée dans sa totalité qui va me rembourser le mois de mai payé mais non honoré par Direct ASSURANCE?
En conclusion : fuyez ne restez surtout pas là…
</t>
  </si>
  <si>
    <t>27/05/2017</t>
  </si>
  <si>
    <t>morganebtx-57398</t>
  </si>
  <si>
    <t>Prix attractif certes, mais service vraiment mauvais. Je n'ai toujours pas reçu ma carte verte après 10 mois, et ils ne répondent jamais au mail. Quand par miracle on a une réponse, c'est pour vous demander des documents supplémentaires qui n'étaient pas demandé à l'origine, histoire de se défausser. 
Par contre, ils ont été très rapide pour tirer l'argent...
Je vais être obligé de changer d'assurance, parfois il faut savoir payer un peu plus cher pour avoir un service digne de ce nom !</t>
  </si>
  <si>
    <t>starifantasy-58751</t>
  </si>
  <si>
    <t>Ras le bol</t>
  </si>
  <si>
    <t>10/11/2017</t>
  </si>
  <si>
    <t>anthony-51589</t>
  </si>
  <si>
    <t xml:space="preserve">Service client désastreux! Voici maintenant 3 mois que je me bat pour obtenir une simple attestation d'assurance actualisée. En effet, dans le cadre d'une renégociation de prêt immobilier, la banque exige ce document obligatoire depuis octobre 2016 suite à une nouvelle directive européenne. Mes multiples appels, courriers et demandes sur le site internet cardif n'aboutissent pas. Je risque de passer à coter d'un gain de 70 000€ Sur mon prêt immobilier grâce à l'incompétence des service de la cardif. Je suis au bord du désespoir et je pense maintenant souscrire une seconde assurance de prêt pour obtenir ce document en attendant de résilier ce contrat de m... à date d'anniversaire. C'est honteux! </t>
  </si>
  <si>
    <t>23/01/2017</t>
  </si>
  <si>
    <t>tschirret-t-137514</t>
  </si>
  <si>
    <t>excellent service, explication claire et rapide
Les prix sont très intéressants après à voir dans le temps. La conseillère que j'ai eu était très aimable et attentive. Elle a su répondre à mes questions</t>
  </si>
  <si>
    <t>15/10/2021</t>
  </si>
  <si>
    <t>monica-66516</t>
  </si>
  <si>
    <t>Cliente depuis plus de 15 ans, jamais de problème j ai toujours été a jour de mes cotisations</t>
  </si>
  <si>
    <t>31/08/2018</t>
  </si>
  <si>
    <t>liline-62393</t>
  </si>
  <si>
    <t xml:space="preserve">Je rejoins tout les mauvais avis. Une panne et c'est comme ci je n'étais pas assuré. Quant on les appels ils sont incapable de vous répondre concrètement, ils ne savent dire que on ne peut pas vous aider. Vous payez vraiment dans le vent. N'allez surtout pas la bas, pour ne pas jeter l'argent par les fenêtres. </t>
  </si>
  <si>
    <t>16/03/2018</t>
  </si>
  <si>
    <t>pupusse21-63207</t>
  </si>
  <si>
    <t xml:space="preserve">je suis satisfaite . Et la relation avec la conseillère sympathique. le prix est satisfaisant .et de bonne garantie.et de bonne explication . et un bonne accueil . et les prix son abordable.merci
</t>
  </si>
  <si>
    <t>12/04/2018</t>
  </si>
  <si>
    <t>tedmosby-59387</t>
  </si>
  <si>
    <t>Bonjour la macif j'ai décidé de vous quitter après 20 ans de fidèles et loyaux services. Vous littéralement ignorer lors de mon dernier accident à laquelle vous m'avez accusé d'être responsable sans même me demandé les photos de l'accident ou pire sans entendu ma version. Vous avez pris en compte le constat de la partie adverse .</t>
  </si>
  <si>
    <t>05/12/2017</t>
  </si>
  <si>
    <t>loulou77400-59344</t>
  </si>
  <si>
    <t xml:space="preserve">societaire depuis plus de 20 ans suite a mon vol de véhicule le 26 septembre j’ai envoyé mon tableau d’amortissement concernant mon prêt personnel du cou il me rester à payer.... donc il  sont fait deux cheque Un au crédit lyonnais et un me concernant le mien je les bien reçu sur sa pas de souci pour parcontre le cheque qui devait servir à rembourser mon prêt personnel n’a pas était envoyé a la bonne adresse donc introuvable donc je les ensuite  contacter plusieurs fois pour qu’il puisse faire un nouveau chèque mes je suis tomber sur la plupart du temps sur des Conseillere très  désagréable le seul conseiller agréable et un monsieur qui s’occupe de la gestion rien à dire sur lui très agréable du cou j’attends de voir si la derniere solutions qu’on na trouver au téléphone aura servie a quelque chose sinon malheureusement je ferais apel a une protection juridique et je partirai de chez eux </t>
  </si>
  <si>
    <t>04/12/2017</t>
  </si>
  <si>
    <t>sanai-k-110326</t>
  </si>
  <si>
    <t xml:space="preserve">Pas mal comme assurance 
Prix correct 
Bonne communication 
Ça répond vit fait au téléphone pas trop attend 
C'est plus pratique comme assurance vriment </t>
  </si>
  <si>
    <t>14/04/2021</t>
  </si>
  <si>
    <t>dominique66700-33791</t>
  </si>
  <si>
    <t>Attention, ils n'assurent que 1 seul conducteur, ce qui n'est pas précisé quand vous demandez un devis. Une fois signé, ils m'ont envoyé une "attestation sur l'honneur" pour préciser que j'étais les seul à conduire. Mon appel téléphonique tombe chez une plateforme d'appel en Afrique qui me précise que ma compagne est couverte mais que je dois signer cette attestation sur l'honneur, autrement dit je doit faire un faux documents. 
Je désire donc annuler ma souscription 2 jours avant l'achat du véhicule, refus catégorique, ils gardent les frais (80€) 
Pas sérieux pour une assurance...</t>
  </si>
  <si>
    <t>25/02/2021</t>
  </si>
  <si>
    <t>laurent-p-135452</t>
  </si>
  <si>
    <t>Accueil très sympathique de la personne au téléphone qui a su me guider pour trouver les meilleurs options qui pourraient constituer mon nouveau contrat d’assurance.</t>
  </si>
  <si>
    <t>boulinfabienne-91971</t>
  </si>
  <si>
    <t>j'ai un contrat lyria salaire</t>
  </si>
  <si>
    <t>23/06/2020</t>
  </si>
  <si>
    <t>thierry-z-110560</t>
  </si>
  <si>
    <t>Je suis satisfait de la simplicité du site merci et du tarif tres bien sa change de beaucoup d assureur qui sont execivement tres cher merci et je ne manquerai pas a vous faire de la pub</t>
  </si>
  <si>
    <t>15/04/2021</t>
  </si>
  <si>
    <t>noblagafda-19990</t>
  </si>
  <si>
    <t xml:space="preserve">Assurance qui vous harponne pour ses tarifs bas, cependant en cas de problème meme non responsable (bris de glace) la franchise va vous refroidir, bref je suis déçu de ce coté là, car d'autres assurances avec des tarifs similaires ont des franchises moins élevées (ça me servira de leçon). La plateforme téléphonique situé à l'étranger et les conseillers sont sans vie ils lisent betement leur écran, c'est le meme système partout pareil (par exemple société de crédit) mais on a affaire à des gens vivants. </t>
  </si>
  <si>
    <t>05/06/2017</t>
  </si>
  <si>
    <t>allouan-67713</t>
  </si>
  <si>
    <t xml:space="preserve">Bonjour, récemment assuré auprès d'assuronline,  je tiens a signaler mon mécontentement face aux difficultés que j'ai du rencontrer pour assurer un simple scooter 50cc. En effet, cette assurance m'a délivré mon attestation au bout 3mois et demi... Je suis né avant 1988 et de ce fait, la loi, qui est très claire, stipule qu'il n'y a pas besoin d'avoir un permis de conduire(bsr) pour conduire un véhicule de moins de 50cc. En effet, l'assr qui permet de passer le bsr, n'est délivré uniquement au collège, de ce fait les personnes né avant 1988 ne peuvent pas avoir cette attestation donc impossible de s'inscrire dans une auto école pour passer ce bsr. D'où la loi pour les personnes avant 1988. Il m'a fallut donc 3mois et demi pour faire comprendre cela a mon chère assureur "assuronline". Je rajouterai le peu d'intérêt porté a mes demandes, le temps de réponse minimum de 15jours pour un mail. Des conseillés différents a chaque contact qui portent peu d'intérêt aux demandes clients. J'ai quand même demandé un geste commercial mais sans succès. Je ne conseillerai donc a personne de souscrire chez assuronline. Fuyez ! Allan </t>
  </si>
  <si>
    <t>AssurOnline</t>
  </si>
  <si>
    <t>15/10/2018</t>
  </si>
  <si>
    <t>lg-56661</t>
  </si>
  <si>
    <t xml:space="preserve">Satisfaction : Si je pouvais mettre 0 je l'aurais mis ! Pareil pour la qualité du service client.
PREMIER sinistre déclaré = Refus de prise en charge.
vue comment ça commence, je crois que je vais vite changer d'assurance.
J'entends que les conseillers bancaires du Crédit Agricole qui nous vendent et vantent ses contrats ne sont que des partenaires de PACIFICA mais ils pourraient au moins servir a quelque chose et influencer l'avis des opérateurs de l'assurance. 
L'opératrice prend deux secondes pour nous écouter. Cela en dit long sur son ethnique professionnelle et sa conception particulière qui semble vivement l'anime.
Elle m'a bredouillé qu'elle ne prendrait pas en charge les frais, que j'ai réussi à revoir à la baisse avec APPLE, car le téléphone de mon fils que j'ai cassé vie avec moi. 
 </t>
  </si>
  <si>
    <t>14/08/2017</t>
  </si>
  <si>
    <t>ludovic-m-107615</t>
  </si>
  <si>
    <t xml:space="preserve">Excellent service , et des conseilles , et conseillés 
Qualité des réponses.
Contact avec les assurés.
Délai d'attente très restreint.
je recommande vivement 
</t>
  </si>
  <si>
    <t>fadwa-77465</t>
  </si>
  <si>
    <t>Je recommande vivement 
Interlocuteur à l écoute 
Produits proposés aux besoins</t>
  </si>
  <si>
    <t>09/07/2019</t>
  </si>
  <si>
    <t>olivier-52665</t>
  </si>
  <si>
    <t>très mauvaise assurance garantie tout mes ne rembourse rien, promets beaucoup de choses mais ont vois rien arriver</t>
  </si>
  <si>
    <t>23/02/2017</t>
  </si>
  <si>
    <t>alexandre-g-130988</t>
  </si>
  <si>
    <t>Parfait pour l'instant. On verra lors d'un éventuel litige auto. Si toutes fois ça se passe bien dans le futur je recommanderai Direct assurance à mes proches.</t>
  </si>
  <si>
    <t>03/09/2021</t>
  </si>
  <si>
    <t>redmou-71997</t>
  </si>
  <si>
    <t>j'ai fait une souscription sur leur site pour une assurance Auto, en refusant moi même que ma conjointe (qui a un permis de conduire étranger, pas de possibilité de l'échangé car elle a dépassé 1 an en France). mon dossier est validé pour un mois provisoire, après juste 2 jours, c'est moi qui a leur appelé pour savoir s'il prenait en compte les permis étranger pour jouté ma femme comme 2em Cond), la dame m'a dit que c'est n'est pas possible et le pire elle a rejeté mon contrat, car je ne rempli pas leurs conditions,  ils m'étaient automatiquement les conjoints comme conducteurs secondaires, résultat le motif de la résiliation est aggravation du risque, en plus mon dossier est devenu fichié AGIRA, une sanction qui va me payer cher, car j'étais honnête avec eux. En plus je n'avais pas demandé que mon conjoint soit conducteur secondaire, elle n'a pas de permis valide. ils auraient du le résilié à l'amiable, car c'est leurs problème de mettre l'épouse comme 2eme conducteur, mais si le demandeur demande déjà, moi je n'est pas demandé. Vous m'avez pénalisé, je n'est plus d'avantages,  pour les autres assureurs, je suis devenu assuré résilié ! je vie le cauchemar à cause de vous.</t>
  </si>
  <si>
    <t>08/03/2019</t>
  </si>
  <si>
    <t>creusillet-j-124789</t>
  </si>
  <si>
    <t>Après analyse et comparaison, très bon échange avec le conseiller clientèle.
Interface utilisateur pratique et intuitive. 
Dépôt de document bien expliqué.
Pas mal du tout !
Je recommande.</t>
  </si>
  <si>
    <t>sandrinejulaud-75754</t>
  </si>
  <si>
    <t xml:space="preserve">Franchement très dessus du credit mutuel quand j ai acheter notre maison en 2010 je pensais avoir pris toute les garantie pour etre a l abris de tous les incidents de la vie courante mais enfaîte sa ne sert a rien d etre assurer  mes je me suis bien tromper car quand tu tombe malade cette assurance ne prend rien en charge étant passer en invaliditer 2 eme catégorie depuis mars 2019 il ne prenne pas mon prêt a charge car leur expert ma seulement estimer a 15 % fonctionnel et dans leur barème il faux être a plus de 15 %  par contre il ma bien estimer a 90 %d incapaciter de travailler donc elle est ou la logique la ce n est pas mon fonctionnel qui vous payeras les emprun mais ma capacité a travailler  quand nous avons fais se pret on nous a garantie être super bien assurer en cas de dommage ou maladie ..... mais quand tu arrive dans la situation se n est plus du tous le cas pour ma part je ne me laisserais pas faire j estime que les médecin expert qui nous voie n est pas digne de juger notre maladie car il nous voie 5 minutes dans sa vie et il juge un sujet qui peut la briser cette vie de toute façon j'irais jusqu au bout même si il faux que jy laisse ma santé mais au moin je laisserais mes enfants en bas âge a l abris 
Je déconseille c est assurance si  j avais pu je n aurais pas mis d etoile cette assurance n en mérite pas du tous </t>
  </si>
  <si>
    <t>13/01/2020</t>
  </si>
  <si>
    <t>l-rlucille-102483</t>
  </si>
  <si>
    <t>Très bonne accueil téléphonique
Écoute des demande des adhérents
Réponse rapide de vos services 
 Le service est très satisfesant
 Rapport qualité prix convenable</t>
  </si>
  <si>
    <t>12/01/2021</t>
  </si>
  <si>
    <t>yu-ela-136465</t>
  </si>
  <si>
    <t>Bonjour je suis assuré depuis plusieurs années chez Eurofil et j'ai eu un accident il y a 4 mois je suis en tout risque depuis mon incident je n'ai eu aucun retour de leur part ni aucune indemnisation, à éviter</t>
  </si>
  <si>
    <t>07/10/2021</t>
  </si>
  <si>
    <t>sylvie-112779</t>
  </si>
  <si>
    <t xml:space="preserve">Vous payez 45 € par mois pour votre animal et il ne vous rembourse rien mon chien a fait une crise d'épilepsie (la 1er) consultation pas remboursé. Prise de sang pas remboursé. Médicament pas remboursé ma facture s'élève à 101€ ont ma répondu que les crise d'épilepsie pas pris en compte !!!fuir cette assurance </t>
  </si>
  <si>
    <t>05/05/2021</t>
  </si>
  <si>
    <t>fahd-n-108510</t>
  </si>
  <si>
    <t>Prestation à confirmer dans le futur Je ne suis absolument pas satisfait du service. Je paye extrêmement cher pour peu de service. Je souhaite faire des changement immédiat au quel cas je serais dans l'obligation de changer de service d'assurance.</t>
  </si>
  <si>
    <t>30/03/2021</t>
  </si>
  <si>
    <t>jcy-97891</t>
  </si>
  <si>
    <t>Très choqué de voir AXA proposer a des nouveaux clients des tarifs attractifs qui ne sont pas accessibles à un client fidèle depuis plus de 30 ans pour 3 voitures et 2 maisons , +++ . Cette politique viens d’être interdite en Angleterre à quand en France ?.
Sinon bonne prestation et service mais je suis maintenant décidé à changer le cours des choses .</t>
  </si>
  <si>
    <t>lony-88803</t>
  </si>
  <si>
    <t>Assurance que je ne recommande pas, j'ai souscris un contrat d'assurance pour un scooter 125. le 25 01 2020.
Demande d'annulation du contrat LE 31 01 2020, ( loi Chatel ).j'ai bien reçu un courrier attestant la prise en compte de mon annulation mais, aucun remboursement à ce jour 3 mois d'assurance versé pour un montant de 176 euro 40 par virement lors de ma souscription, motif de la résiliation : aucun envoi de la carte  verte, 
Je ne recommande pas cet assureur.</t>
  </si>
  <si>
    <t>09/04/2020</t>
  </si>
  <si>
    <t>martinette-103955</t>
  </si>
  <si>
    <t>Beaucoup de professionnalisme et de réactivité. Accueil personnalisé et très souriant. je recommande l'agence de Mauguio particulièrement où nous avons toujours trouvé une écoute et compréhension de nos demandes en matière d'assurances diverses et un excellent accueil</t>
  </si>
  <si>
    <t>10/02/2021</t>
  </si>
  <si>
    <t>soussigne-b-132259</t>
  </si>
  <si>
    <t xml:space="preserve">Je suis trés satisfait et un accueil téléphonique trés sympa. interlocutrice sans reproche.
les explications sont trés claires. je recommande vivement. </t>
  </si>
  <si>
    <t>10/09/2021</t>
  </si>
  <si>
    <t>ode-100174</t>
  </si>
  <si>
    <t xml:space="preserve">Impossible de joindre les services CEGEMA, et maintenant impossible de me connecter sur leur site. Plus aucun lien.
Leur ai envoyé un mail, pas de réponse.
Demande de quittance pour visites chez un médecin généraliste, alors que nous avons une assurance haut de gamme, des remboursements de plus en plus logs, voire plusieurs mois
</t>
  </si>
  <si>
    <t>16/11/2020</t>
  </si>
  <si>
    <t>pk57-89710</t>
  </si>
  <si>
    <t>serveur Internet et application mobile (androïd) absolument NULS, ne fonctionne, mis au point par des apprentis ou des incompétents notoires.
Réclamer ne sert à rien, le problème persiste</t>
  </si>
  <si>
    <t>18/05/2020</t>
  </si>
  <si>
    <t>pedro83-75541</t>
  </si>
  <si>
    <t>Suite au décès de mon père, le montant de l'assurance vie est réemployé pour une nouvelle assurance vie pour ma mère. Hélas le montant est diminué de 1 000 euro.
pas trop normal, non ????</t>
  </si>
  <si>
    <t>feret-f-133412</t>
  </si>
  <si>
    <t>Contrat souscrit en ligne (quelques infos manquante sur le site). il faut passer par un conseiller pour finalisé sinon ont est confronté a un bug sur le site.
Conseiller bien a l’écoute et donne tout les renseignement avans la signature du contrat</t>
  </si>
  <si>
    <t>biche-138473</t>
  </si>
  <si>
    <t>bonjour .pour u n probleme avec ma mutuelle je vous ai contacté par tel  j'ai été renseigné par une personne nommée RAWANEqui a très bien fait son travail. Le probleme ést que je recois aujourdhui u message de votre part me disant que mon contrat a été remis en vigueur je ne vois pas pourquoi étant donné que je l'ai résilier le 01 10 2021 la resiliation prendra donc fin le 31 12 21. d'autre part pouvez vous me dire ou en sont les soucis avec les ordonnances cardio que je demande a etre remboursées merci. MmeBAESA</t>
  </si>
  <si>
    <t>manouha-86593</t>
  </si>
  <si>
    <t>Mon contrat concerne generali via multiimpact:
Mon mari est en arrêt de travail depuis aout 2019, nous avons déposé via multi impact qui est notre unique interlocuteur et gestionnaire du dossier une demande de sinistre en janvier 2019 soit 90 jours après l'arrêt de travail initial. Nous avons renvoyés tous les multiples documents, mon mari est passé par l'expertise et à ce jour ... TOUJOURS RIEN!!!!
Nous sommes toujours dans l'attente d'une réponse d'une éventuel prise en charge j'avoue mon incompréhension. Je m'aperçois ne pas être dans ce cas et ne sait plus quoi faire. Toujours cette attente, mais je m'interroge une assurance a t'elle tous les pouvoirs? Oui il faut le croire pas sure que l'assurance en question accepterais un report des cotisations....
du coup je ne conseille pas generali</t>
  </si>
  <si>
    <t>31/01/2020</t>
  </si>
  <si>
    <t>yazou-75151</t>
  </si>
  <si>
    <t xml:space="preserve">Assureur très dangereux, personne au bout du fil, assureur a fuir ne tombez pas dans le piège. Après la souscription du contrat, vous n'avez aucune possibilité de les joindre, mon dossier est en cours de traitement un an après un sinitre.
Je me suis retrouvé dans des situations dangereuses avec cet assureur. 
</t>
  </si>
  <si>
    <t>17/04/2019</t>
  </si>
  <si>
    <t>matthieu59-75761</t>
  </si>
  <si>
    <t>Voilà maintenant 4 ans que je suis chez eux sans un seul accrochage. Ma cotisation de départ était de 86 euros/mois , je paye actuellement 102 euros soit 1225 euros par an, avec un bonus de 20% ! Vous y comprenez quelque chose ? Pas moi. Je n'ai eu aucune information et je n'ai su en trouver. 
Service client qui se fout littéralement de votre tronche au téléphone. Les devis de TOUS LES AUTRES ASSUREURS sont moins chers de 400 euros/an minimum. Mais pour eux c'était "Impossible pour nous de vous faire une telle offre". 
Première fois que je donne un avis en ligne : fuyez cette assurance déshumanisée jusqu'à la moelle, tout c'qu'ils veulent : vous faire crachez le moindre centime.</t>
  </si>
  <si>
    <t>09/05/2019</t>
  </si>
  <si>
    <t>corinne-c-107801</t>
  </si>
  <si>
    <t>rien de spécial à dire, les prix ne sont pas si bas que ça, mais c'est pratique, pourquoi obliger les gens à écrire ce type de commentaire, ce n'est pas normal</t>
  </si>
  <si>
    <t>mario-s-111346</t>
  </si>
  <si>
    <t>je suis ne suis tres satisfait, cet anne memme en ganhant de bonus je paie un peux plus chere ma assurance et je espere que a date echance que ça ne continue pas de augmenter, tout en sachant que jai pas fait un constat jusque aujourdhui</t>
  </si>
  <si>
    <t>22/04/2021</t>
  </si>
  <si>
    <t>pluton25-107815</t>
  </si>
  <si>
    <t xml:space="preserve">Depuis 1 an que je suis chez Olivier assurance les tarifs sont très intéressant et je les recommande, il est vrai que je suis dans un premier temps, assure pour.mon véhicule, anciemment j étais à la Macif le tarif 250 euros plus cher </t>
  </si>
  <si>
    <t>maxoli-43037</t>
  </si>
  <si>
    <t>1ére année d'assurance prix correct, 2éme année déjà 11% d'augmentation sans discussion possible avec comme excuse que les prix des réparations ont augmenté dans le Nord.
Argument classique !</t>
  </si>
  <si>
    <t>14/08/2020</t>
  </si>
  <si>
    <t>jean-luc-v-107508</t>
  </si>
  <si>
    <t>prix attractif la première année  ,et ensuite tous les ans augmentation de la cotisation malgré le bonus à + de 50%  , pas trop satisfait nous ferons le point dans un an .</t>
  </si>
  <si>
    <t>22/03/2021</t>
  </si>
  <si>
    <t>vincent-t-137388</t>
  </si>
  <si>
    <t>Obtention de devis d'assurance rapide , tout comme la souscription à l'assurance souhaitée . Le nombre d'assurances présentées permet de faire son choix parmi celles-ci.</t>
  </si>
  <si>
    <t>13/10/2021</t>
  </si>
  <si>
    <t>adventice-75317</t>
  </si>
  <si>
    <t>Avis aux amateurs
Profession libérale j'avais souscrits 2 PERM auprès de leur partenaire BNP que j'avais quitté en 2013 pour aussi des raisons relationnelles dégradées. Pour suivre l'évolution de mes 2 PERM et leur abondement CARDIF n'effectuait aucun de mes souhaits en envoyant des courriers à des anciennes adresses professionnelles, en perdant des lettre en AR, pour vous dire de conscience professionnelle de cette succursale de BNP. Cependant mon agence de CREIL a voulu apaiser cette situation, et moi suite à une loi de modification apparu en 10/2020 j'ai voulu faire un transfert de mes 2 PERM vers un PER bien plus judicieux au niveau du placement car ce n'est plus forcement sous al forme d'une rente que vous percevez votre capital mais vous avez la possibilité de faire des levées de fonds dans une certaine mesure et le capital transmis aux ayants droits n'est plus sous la forme d'une rente sans intérêts mais sous la forme d'un capital. Donc via mon agence de BNP la souscription de ce PER se fait via leur filiale CARDIF, située au 8 rue du port à Nanterre où étaient référencée mes 2 PERM, donc transfert et modification en interne, je souscris début décembre l'idée prends RDV en agence BNP, choisis mes options pour les supports et souhaite un abondement mensuel le plus vite possible car les versements sont déductibles selon un plafond comme pour le Madelin. Ouverture d'un nouveau compte PRO à la BNP, abondement et demande d'1% de transfert en interne sur mes actifs près de 800€ ce qui est tout de même excessif mais négocié à 0.3% pour frais d'ouverture. Nous sommes le 19/11 soit 11 mois après ma demande ouverture du compte depuis mars, choix des supports etc..., je n'ai toujours pas les documents officiels d'ouverture de mon PER et de son abondement mensuel de la part de CARDIF. AU final je n'ai pas pu faire le transfert de mes PERM aux supports BNP vers mon autre banque PRO, mais pour faire cours éviter ABSOLUMENT cette société à la gestion calamiteuses des contrats de leurs sociétaires. que fait L'ACPR auprès de cette société?!!!!. C'est usant de voir qu'ils se fiancent sur votre dos par la gestion de vos contrats, mais au final ils en ont rien à secouer de vous.</t>
  </si>
  <si>
    <t>19/11/2020</t>
  </si>
  <si>
    <t>sebastien-m-127134</t>
  </si>
  <si>
    <t xml:space="preserve">Super rapide et pratique' efficace,
Assurance au top 
Je suis tres tres tres satisfait par la clarté des explications. 
Bravo , un motard  pas déçu  , </t>
  </si>
  <si>
    <t>09/08/2021</t>
  </si>
  <si>
    <t>sjl-113933</t>
  </si>
  <si>
    <t xml:space="preserve">Je regrette de ne pas avoir lu les avis avant de me laisser embobinée par un courtier qui m'a contactée suite à ma recherche sur un comparateur de prix. Cette mutuelle me demande sans arrêt des factures acquittées pour des consultations de spécialistes avec dépassement d'honoraires avec les décomptes sécurité sociale alors qu'ils les reçoivent directement !!  D'où retards dans les remboursements. Je regrette amèrement mon ancienne mutuelle avec qui je n'ai jamais eu de problèmes de ce genre ! Je devais fournir des factures uniquement lorsque c'était des actes non pris en charge par la CPAM, par exemple pour les séances d'ostéopathie. Je demanderai la résiliation au bout de l'année, c'est sûr et certain. </t>
  </si>
  <si>
    <t>saghiri-amine-b-135168</t>
  </si>
  <si>
    <t xml:space="preserve">Oui très rapide et très correct jsui très content pour ma voiture je recommande cette assurance qu on m’a conseillé et très apordable sur les prix pour chaque clientèle </t>
  </si>
  <si>
    <t>30/09/2021</t>
  </si>
  <si>
    <t>khris-81618</t>
  </si>
  <si>
    <t>attention de ne pas faire un comparatif auparavant sinon vous perdez tous les avantages du parrainage c'est a la limite de la pub mensongère. Très rapide pour encaisser le montant des que vous leur donnez les coordonnées bancaire  , ils ne proposent même pas le paiement mensuel</t>
  </si>
  <si>
    <t>alexandre-o-123089</t>
  </si>
  <si>
    <t>FACILITE DE SOUSCRIPTION? PRIX TRES ETUDIES, FACILITE D UTILISATION DE L ESPACE CLIENT. Propositions d assurances variées permettant aisément de choisir son niveau de garantie de façon très claire</t>
  </si>
  <si>
    <t>antimatmut-81498</t>
  </si>
  <si>
    <t xml:space="preserve">A fuir    
Assurance habitation et voiture  
Même si le prix est correcte il ne correspond pas du tout au remboursement  quand vous avez un pépin ..   
Mon dossier c 'est un roman  je déconseille fortement cette assurance   ils vous  font tourner en bourique  .. en commençant avec l installateur  qui fait le forcing pour mettre n' importe quoi et pas l équivalent  ... </t>
  </si>
  <si>
    <t>herve-t-102433</t>
  </si>
  <si>
    <t xml:space="preserve">Totalement satisfait que ce soit tarif, accueil et renseignements.
Merci pour tout
Je conseille vraiment cette assurance comparée à d'autres que j'ai prospectées. </t>
  </si>
  <si>
    <t>26/02/2021</t>
  </si>
  <si>
    <t>sylva-75999</t>
  </si>
  <si>
    <t>De plus en plus déçue par la gestion des sinistres
Nous envisageons de tout resilier
Les clients ne sont pas respectes</t>
  </si>
  <si>
    <t>16/05/2019</t>
  </si>
  <si>
    <t>sunmudo-94859</t>
  </si>
  <si>
    <t>De pire en pire ! Ce matin je constate en allant à l'agence que les horaires affichés sont différents de ceux du site MGEN, on me répond : 'Donnez votre carte vitale d'abord, on verra après pour les horaires !'. Je venais pour connaître mon niveau de remboursement avec mon devis pour des lunettes, ils doivent l'envoyer à leur centre optique qui doit me répondre dans 10 jours. Ils m'ont renvoyé en juin une facture de laboratoire d'analyses médicales que je leur avais fait parvenir en NOVEMBRE 2019, car facture non conforme paraît-il. Je leur demande où est l'erreur ils ne savent pas ! Et ils ne me présentent aucune excuse pour avoir mis 7 mois à traiter la demande de remboursement, qui n'est toujours pas traitée ! Personnel très désagréable de surcroît.  
Et ils ont des VALEURS ???</t>
  </si>
  <si>
    <t>22/07/2020</t>
  </si>
  <si>
    <t>charlenem74-79922</t>
  </si>
  <si>
    <t xml:space="preserve">service client laborieux, aucun suivi des demandes, des remboursements. J'ai voulu changer de formule,  je ne peux pas, résilier, je ne peux pas, je pris au piège de ces incompétents, ni plus ni moins. Je DéCONSEILLE VIVEMENT </t>
  </si>
  <si>
    <t>11/10/2019</t>
  </si>
  <si>
    <t>sebos-97419</t>
  </si>
  <si>
    <t xml:space="preserve">Bonjour. 
Je suis à la maaf depuis 22 ans, pour mes assurances voiture.
4 véhicules. 
Je n'ai absolument jamais eu de problème. 
Aucune déclaration de sinistre. 
Toujours dans la même agence depuis le début " maaf tasdon à la rochelle ".
Au moi de juillet, malheureusement, je me suis fait voler mon audi A6 de 2001. Une vieille voiture,  entretenue et  propre. Ils n'ont pas voulus faire fonctionner l'assurance, car manque de confiance !!! Sûrement. 
La gendarmerie a bien conclu à un vole après enquête. 
Assurance pour vol????pour quoi faire?
Pour rien. 
Nous sommes très très dessus. 
Éviter la maaf. Cordialement 
</t>
  </si>
  <si>
    <t>fifach-138997</t>
  </si>
  <si>
    <t xml:space="preserve">Le service client AXA est une catastrophe DANS L'EXEMPLE QUE JE VAIS RELATER ICI.
La gestion des contrats est juste une blague (!!!).
Par exemple, vous modifiez vos coordonnées suite à un déménagement , sur votre espace client et vous confirmez cela par courrier au siège... et vous ne recevez plus jamais la carte verte (!!!). Oui, car la carte verte du contrat "clic and go" ne peut être éditée qu'a l'adresse antérieure... vous explique t on (!!).
Si vous voulez recevoir votre carte verte, on vous explique qu'il faut changer d'offre , et prendre "mon auto". Mais c'est géré en agence, plus par internet. 
Entretemps, sans le coupon d'assurance à jour, prenez 35.00 Euros d'amende.
Aussi, vous essayer de trouver une solution , et prenez votre mal en patience. 
Contraint de trouver l'issue en acceptant de changer de contrat, vous décider de rappeler le service client. Il refusent toujours de vos renvoyer la carte verte, bien que vous avez parfaitement payé votre adhésion annuelle... et on vous explique qu'en qualité de gérant d'entreprise, vous aurez le privilège de devoir vous rendre en agence , que l'on ne peut rien faire pour vous au téléphone. Il y a de quoi perdre toute maîtrise !!
J'ai payé, je prends des amendes et je n'ai toujours pas de solution.
Le service chez AXA est une honte , c'est tristement MAUVAIS ! Axa est à Eviter !
J'attends l'appel d'un responsable, sans conviction. </t>
  </si>
  <si>
    <t>05/11/2021</t>
  </si>
  <si>
    <t>luis-a-116943</t>
  </si>
  <si>
    <t>Bon rapport qualité/ prix au niveau service.
Je suis satisfait pour l'instant, vu que j'ai pas eu des sinistres. Du coup tout c'est bien passé.
Cordialement
Luis ANTUNES</t>
  </si>
  <si>
    <t>f8fjh-97083</t>
  </si>
  <si>
    <t>Inscrit depuis 2011 a cette mutuelle ayant déménager en 2019 pour un changement de département on me demande deux mois de preuve (téléphone ou EDF uniquement envoyé en Octobre 2019 avec preuve dont une de mes beaux parents et une de ma société (non pris en compte)) et le pire est donc arrivée pour ma carte de 2020, j'ai eu le droit a deux cartes provisoires (de février a mars et juillet à aout) (et encore il faut monter le son de la voix pour l'avoir) et pour ma carte définitive je l'ai reçu enfin samedi 5 septembre 2020 alors que demander en janvier ...... pour l'année 2020 .....
Je ne sais quoi dire de cette mutuelle, un conseil fuyez si vous compter déménager (par contre les prélèvement eux sont toujours fait au bonne date ........!!!!)</t>
  </si>
  <si>
    <t>07/09/2020</t>
  </si>
  <si>
    <t>vally-k-117292</t>
  </si>
  <si>
    <t>Prix très correct, service client très agréable et le conseiller que jai eu au tel était très clair dans ses explications, j'ai pu profiter d'une offre de parrainage</t>
  </si>
  <si>
    <t>16/06/2021</t>
  </si>
  <si>
    <t>romain-a-129493</t>
  </si>
  <si>
    <t xml:space="preserve">Assurance efficace a l ecoute assez simple d utilisation . Je suis toujours en attente d un remboursement pour un contrat résilié ou l on me doit un remboursement </t>
  </si>
  <si>
    <t>25/08/2021</t>
  </si>
  <si>
    <t>anis-s-134546</t>
  </si>
  <si>
    <t xml:space="preserve">Navigation top et facilité du service d'utilisation.
prix un peu cher pour un assuré au tiers mais correct par rapport à ceux des concurrents. satisfait dans l'ensemble
</t>
  </si>
  <si>
    <t>26/09/2021</t>
  </si>
  <si>
    <t>max-m-127731</t>
  </si>
  <si>
    <t xml:space="preserve">Service rapide et pratique, tarif assez avantageux. A voir dans le temps et 3n cas d'incident mais je fais confiance à la réputation de l'assureur. Satisfait pour l'instant </t>
  </si>
  <si>
    <t>xavier-j-114338</t>
  </si>
  <si>
    <t>je suis satisfait du service des prix de l'accueil qui ma été fait pour modifier mon contrat 
la personne qui répondu a été très claire et très sympa 
je recommande</t>
  </si>
  <si>
    <t>latiouche-124334</t>
  </si>
  <si>
    <t xml:space="preserve">J ai presque tous mes contrats à la macif . J ai voulu faire le point avec une salariée de brignoles MME PARA pas aimable du tout ET en plus n'y connaiT rien dans les contrats.
JE lui demande le montant du forfait consequence en cas de fuite d'eau car si vous ne le sav ez pas les réparations ne sont pas remboursées juste les dégats !! elle a été obligée d'appeler le siège !
concernant SARETEC tout m'a été refusé la foudre non. même pas regardé le boitier dont la carte électronique était cramée. 
</t>
  </si>
  <si>
    <t>leslie-v-116188</t>
  </si>
  <si>
    <t>J'apprécie toujours énormément les contacts téléphoniques avec vos services. Les personnes sont toujours très aimables, claires dans leurs explications et n'en profitent jamais pour pousser à l'achat.</t>
  </si>
  <si>
    <t>07/06/2021</t>
  </si>
  <si>
    <t>zoumba-85750</t>
  </si>
  <si>
    <t>Retraite par capitalisation souscrite chez eux. Après demande de rachat total pour invalidité catégorie 2, ils font bloc pour garder l'argent et continuer les prélèvements ! 190 euros par mois, alors que je suis en difficulté ! Ils sont muets, font semblant de ne pas avoir reçu mon recommandé avec A.R. Cela porte un nom en 3 lettres qui débute par un "v". A fuir à tout prix !</t>
  </si>
  <si>
    <t>10/01/2020</t>
  </si>
  <si>
    <t>wat-72008</t>
  </si>
  <si>
    <t xml:space="preserve">Ne réponde pas au demande en ligne et par tel, demande depuis le début de souscription d'avoir le relevé de remboursement par courrier .. Je n'ai jamais rien reçu... </t>
  </si>
  <si>
    <t>09/03/2019</t>
  </si>
  <si>
    <t>ceckali-51867</t>
  </si>
  <si>
    <t>Une augmentation excessive cette année, sans raison et sans aucun sinistre en 2016 ! Sot plus de 250 euros !!!</t>
  </si>
  <si>
    <t>31/01/2017</t>
  </si>
  <si>
    <t>hadrien-94070</t>
  </si>
  <si>
    <t xml:space="preserve">Au prix du marché, mais pas le meilleur tarif trouvé sur le net.
Pour un deuxième véhicule l’offre devrait prendre en compte l’ancienneté et la fidelite du client. Sinon cela amène à envisager de changer d’assureur tous les ans et pour chaque contrat.
</t>
  </si>
  <si>
    <t>14/07/2020</t>
  </si>
  <si>
    <t>christine-b-130197</t>
  </si>
  <si>
    <t>Très bien la transaction tout s’est bien passé merci beaucoup. Les personnes ont été très agréable et convivial au téléphone
Je recommande à tout le monde de cette assurance</t>
  </si>
  <si>
    <t>30/08/2021</t>
  </si>
  <si>
    <t>delphine-68913</t>
  </si>
  <si>
    <t xml:space="preserve">Une honte. Voila bientôt un an que je ne suis plus affiliée à Mercer mais comme celle ci je m'a pas radiée ma nouvelle mutuelle est dans l'incapacité d'obtenir la télétransmission avec la Sécurité Sociale
Je suis trimbalée de service en service.
Pour envoyer les gens vers des numéros surtaxés vous êtes des champions mais en attendant mon problème n'est toujours pas résolu et ce depuis un an. 
</t>
  </si>
  <si>
    <t>26/11/2018</t>
  </si>
  <si>
    <t>vincent-l-113349</t>
  </si>
  <si>
    <t>Le premier contact par internet a été simple et rapide, le contact téléphonique avec le conseiller a été rapide efficace et très aimable et professionnel</t>
  </si>
  <si>
    <t>chebrek-a-111468</t>
  </si>
  <si>
    <t>Tres satisfaite de l'ensemble du contrat merci pour votre accueil et prise en charge rapide et efficace. Je recommanderai votre assurance a mes proches</t>
  </si>
  <si>
    <t>cousinb-95735</t>
  </si>
  <si>
    <t>D'abord assuré pour ma voiture depuis 1968, j'ai au fil des ans ajouté tous mes contrats et notamment la multirisques habitation.
Je suis pleinement satisfait et tout particulièrement pour la rapidité du règlement des sinistres.
Seule la MAAF m'a fait une proposition plus intéressante, mais je reste fidèle à la Macif.</t>
  </si>
  <si>
    <t>30/07/2020</t>
  </si>
  <si>
    <t>simon-t-107936</t>
  </si>
  <si>
    <t>je suis satisfait du service bon rapport qualité /prix
réponse rapide à nos demandes  tous pour satisfaire nos inquiétudes
vous vous mettez en quatre pour nous  toutes demandes est traitée immédiatement</t>
  </si>
  <si>
    <t>25/03/2021</t>
  </si>
  <si>
    <t>roland-c-127165</t>
  </si>
  <si>
    <t>très facile. à recommander sans problème
parrainage sympa qui incite à souscrire
J'attends la suite pour être sûr de mon avis
rien à signaler de particulier</t>
  </si>
  <si>
    <t>mary-90132</t>
  </si>
  <si>
    <t>Cela fait 25 ans que nous sommes assurés chez la MATMUT, nous sommes très déçus de cette assurance, nous avons eu dernièrement un feu de cheminée suite à un défaut de mise aux normes de l'installeur du poêle à granules, celui-ci a déposé le bilan il y a deux ans et pour couronner le tout il n'avait pas d'assurance. L'assurance aujourd'hui nous fait comprendre que du coup  tous les frais seront à notre charge. La maison n'ayant pas brûlé (forte heureusement pour nous aussi en tant qu'humains...) donc il a fallu se retourner sur la protection juridique, sauf que cette protection ne rembourse absolument rien de ce qu'ils nous font comprendre. Nous avons dû nous débrouiller pour trouver un professionnel pour demander un devis des dégâts, ils nous ont même demandé de nous arranger éventuellement à l'amiable avec le dit concerné mais qui n'est plus à ce jour !!ils n'ont même pas pris la peine de nous proposer des entreprises !!! et encore mieux de faire venir un expert pour savoir vraiment d'où venait le problème !Nous nous sommes débrouiller jusqu'à ce jour où on nous dit bein non ce sera à vous de payer. Ils savent encaisser tous les mois nos cotisions mais quand il s'agit d'aider financièrement l'assureur ça c'est une autre affaire !!! c'est honteux, nous sommes écoeurés de cette assurance qui font tout pour nous décourager pour ne pas être indemnisé. Les fonds de garantie servent à quoi alors ?  LA MATMUT elle assure dit la publicité, elle assure rien du tout oui !!!!</t>
  </si>
  <si>
    <t>nodo-89133</t>
  </si>
  <si>
    <t>Sogessur a résilie mon contrat au motif que le risque était inadéquat à la politique de l'entreprise. Ceci sans aucun sinistre n' existe mais seulement un périmètre de sécurité qui doit être levé après le confinement actuel et malgré les documents proposés.</t>
  </si>
  <si>
    <t>24/04/2020</t>
  </si>
  <si>
    <t>cp-106168</t>
  </si>
  <si>
    <t>Tout d'abord il faut comprendre qu'il s'agit d'une Mutuelle. Mais quand même la cotisation est un peu onéreuse. Je suis affilié à cette mutuelle depuis 1972, je n'ai jamais eu aucun soucis. J'ai toujours eu réponse à mes questions avec du personnel aimable</t>
  </si>
  <si>
    <t>mel-70920</t>
  </si>
  <si>
    <t>assuré tous risques max depuis 1 an en recevant ma facture je vois 5% de plus alors que si vous demander un nouveau devis pour même garantie c'est moins chère?</t>
  </si>
  <si>
    <t>nat13600-123253</t>
  </si>
  <si>
    <t>Nous sommes très contents d'avoir choisi cette assurance. La signature des contrats est aisée. Le service clients disponible. Les tarifs sont corrects</t>
  </si>
  <si>
    <t>13/07/2021</t>
  </si>
  <si>
    <t>bbval-57857</t>
  </si>
  <si>
    <t>Pour l'instant rien a dire excellente assurance . Rapide et serviable une écoute Hors pair .</t>
  </si>
  <si>
    <t>06/10/2017</t>
  </si>
  <si>
    <t>denis-e-122019</t>
  </si>
  <si>
    <t xml:space="preserve">je suis très satisfait de vos services .Bonne prise en charge de mon dossier .Je vous conseille votre assurance a mes proches. Je vous souhaite une agréable journée </t>
  </si>
  <si>
    <t>muriel-w-103937</t>
  </si>
  <si>
    <t>sinistre auto  survenu  le 30/07/2020 non fautif toujours pas payé par l'assurance allianz à fuir après des dizaines d'appels on vous promène d'un gestionnaire à l'autre c'est vraiment pas top.</t>
  </si>
  <si>
    <t>nabil-b-126702</t>
  </si>
  <si>
    <t xml:space="preserve">Très bien très sympa merci beaucoup pour votre réactivité et votre efficacité je suis content pour la qualité de votre service clientèle qui m'a donné entière satisfaction 
</t>
  </si>
  <si>
    <t>fabrice-v-127435</t>
  </si>
  <si>
    <t xml:space="preserve">C'est ce que nous cherchons dans ce monde....La simplicité.
Merci à toute l équipe pour la réactivité et l'efficacité.
Je recommande sans autre AMV. </t>
  </si>
  <si>
    <t>10/08/2021</t>
  </si>
  <si>
    <t>waffle-115690</t>
  </si>
  <si>
    <t xml:space="preserve">Incroyable : malgré le tél porté sur la carte d'adhérent mutualiste, impossible d'obtenir un interlocuteur via le N° 0 980 980 880 où le message indique de contacter le N° de tél porté sur cette carte.
C'est un peu ennuyeux pour une personne à mobilité réduite qui ne peut se rendre dans l'une des 4 agences parisiennes !
C'est bien plus facile pour Harmonie Mutuelle de s'arrêter uniquement au prélèvement des cotisations.
Une mutuelle injoignable, c'est plutôt embêtant d'un point de vue commercial !
</t>
  </si>
  <si>
    <t>monica--110359</t>
  </si>
  <si>
    <t xml:space="preserve">Mutuelle à fuire!!! Ne souscrivez surtout pas !!! Perte de temps et d’argent assuré sans parler de vos nerfs. Comme dis ds les commentaires précédents impossible de joindre qq1 le numéro de mon conseiller n’existe plus ?? devis optique envoyer depuis de 2 mois tjs aucune réponse je finis par tt payer de ma poche. Souscrit en décembre 2020 j’ai hâte de résilier. Une honte d’incompétence et leur site internet est à leurs images il ne sert à rien !!! </t>
  </si>
  <si>
    <t>cmiko44-44295</t>
  </si>
  <si>
    <t>Deux ans et demi et toujours pas de remboursement complet de ce qu'ils nous doivent.Cette mutuelle est la pire qui existe sur le marche. Meme leur conciliateur n'intervient pas !!! Reste le tribunal !!!</t>
  </si>
  <si>
    <t>02/12/2016</t>
  </si>
  <si>
    <t>cathy112-130225</t>
  </si>
  <si>
    <t>Menteurs.... j'ai signé un contrat assurance santé pour mon chien dans lequel il est prévu un remboursement annuel de 25 euros pour les vaccinations. J'ai envoyé la demande de remboursement à la compagnie. Par 3 fois je les ai contacté par mail et je n'ai pas obtenu de réponses. Par contre en consultant mon espace client, je m'aperçois que le dossier de demande de remboursement a été clôturé par la compagnie sans effectuer de remboursement.... Je ne suis qu'au début du contrat mais j'ai bien l'intention de suspendre les 2 prochaines cotisations....</t>
  </si>
  <si>
    <t>klein-a-135386</t>
  </si>
  <si>
    <t>Mon interlocuteur était clair, précis et courtois. Tout à fait professionnel. C'est appréciable. Les tarifs sont attractifs et la possibilité d'assurer mon fils en jeune conducteur, d'ici 1 an, m'a décidée à m'engager auprès de L'olivier.</t>
  </si>
  <si>
    <t>elena-70975</t>
  </si>
  <si>
    <t>J'essaie de résilier mon contrat suite à un démenagement chez mes parents depuis 3 mois et c'est impossible: je continue à payer l'assurance d'une chambre ou je n'y suis plus: J'ai envoyé 4 mails, j'ai envoyé une lettre reccomandé et je les ai eu au téléphone. Ça ne sert à rien.</t>
  </si>
  <si>
    <t>05/02/2019</t>
  </si>
  <si>
    <t>pmp-109229</t>
  </si>
  <si>
    <t>Ma mère décédée avait souscrit des contrats d'assurance vie avec Allianz vie: 2424,39 euros et 400 euros devaient m'être versés après son décès. Je vis à l'étranger avec ma femme qui porte mon nom et les couriers locaux tels que le quittance d'électricité lui sont adressés. Prétextant que entre autres ni l'adresse de moins de 6 mois sur mon passeport ( certifié par le consul ) ni mon livret de famille (résidence avec ma femme) ne pouvaient prouver mon adresse, Allianz life a traîné longtemps pour finalement accepter que les documents puissent être considérés complets pour passer au paiement. Ne voyant toujours pas le montant sur mon compte début avril, je les ai contactés et j'ai reçu fin mars cette réponse d'une employée d'Allianz vie, sans aucune copie de document qui indiquerait le transfert :
"Je n'ai qu'un numéro de règlement: 9245725. Je n'ai pas d'autre référence car c'est un service spécifique pour les virements à l'étranger. Nous avons eu un retour le 18/03 de leur part nous indiquant que le nécessaire serait fait prochainement pour votre règlement." Que faire ?</t>
  </si>
  <si>
    <t>06/04/2021</t>
  </si>
  <si>
    <t>ski73-86597</t>
  </si>
  <si>
    <t xml:space="preserve">La Maif nous invente des sinistres à tords et bien sur le malus qui va avec ! et quand vous leur demandez des informations sur ce prétendu sinistre ils ont tout jeté ! pas la moindre trace ! ni les circonstances, ni même le nom de la personne avec qui ont a soit disant eu un accident ni les dégâts ! et ça seulement 7 ans après ! </t>
  </si>
  <si>
    <t>daniel-b-108299</t>
  </si>
  <si>
    <t>Bonjour
je viens juste de m'inscrire . Je n'ai pas encore d'avis sur la qualité de vos services . Mais les tarifs sont correctes .
Je vous souhaite une agréable journée.
Daniel</t>
  </si>
  <si>
    <t>28/03/2021</t>
  </si>
  <si>
    <t>raphael-g-126415</t>
  </si>
  <si>
    <t xml:space="preserve">Tres bonne assurance rapide et efficace, prise rapide d’informations 
Tres bon conseiller au téléphone assurer dans l’heure
A recommender pour tout les prestations </t>
  </si>
  <si>
    <t>neant-106338</t>
  </si>
  <si>
    <t xml:space="preserve">niveau prix, peut mieux faire. un peu onéreux, comparativement au nombre de km effectués, sans accident, pourrait s'inspirer d'autres confrères qui parviennent à diminuer la prime mensuelle.
Jusqu'à présent je suis satisfait.
</t>
  </si>
  <si>
    <t>cricri48-69429</t>
  </si>
  <si>
    <t>Contrats non adaptés, problèmes assurés. Compétences à revoir. Jamais la même réponse.  Gestion et compta entités séparées d'où problèmes et recouvrement.</t>
  </si>
  <si>
    <t>Magnolia</t>
  </si>
  <si>
    <t>21/12/2018</t>
  </si>
  <si>
    <t>chiffon06-62606</t>
  </si>
  <si>
    <t>à la retraite depuis décembre 2017, je demande à bénéficier de la loi Evin pour la mutuelle santé à Ag2r La Mondiale depuis 4 mois par écrit et par téléphone. Toujours la même réponse : votre dossier va être traité ! Depuis décembre je n'ai plus de couverture.</t>
  </si>
  <si>
    <t>23/03/2018</t>
  </si>
  <si>
    <t>marroij-o-113238</t>
  </si>
  <si>
    <t xml:space="preserve">Personnel très sympa et très a l écoute, prix intéressants. Ils proposent des solutions adaptées à mes besoins. J arrive à les joindre très facilement au téléphone, je vous recommande donc cette compagnie d assurance 
</t>
  </si>
  <si>
    <t>10/05/2021</t>
  </si>
  <si>
    <t>remy-93392</t>
  </si>
  <si>
    <t xml:space="preserve">Devis simple à faire, prix dans la fourchette du marcher, a. L’or a l’usage de l’assurance, bémol pour les jeunes conducteurs les tarifs sont malheureusement assez élevé  </t>
  </si>
  <si>
    <t>mehdi-d-116833</t>
  </si>
  <si>
    <t>Bon prix tout est bien on verra par la suite sur les prises en charge mais les prix et la facilité de souscription me conviennent très bien super rapide</t>
  </si>
  <si>
    <t>12/06/2021</t>
  </si>
  <si>
    <t>mikabois-96282</t>
  </si>
  <si>
    <t xml:space="preserve">Un peu cher par rapport au peu de couverture,au tiers minimum pour 63 euros par mois cela fait un peu gros,j'aimerai une assurance beaucoup moins chère et qui me couvre pour le bris de glace </t>
  </si>
  <si>
    <t>13/08/2020</t>
  </si>
  <si>
    <t>thierry-d-107355</t>
  </si>
  <si>
    <t>non, pour la plupart les autres assurances, on obtient un relevé d'infos directement par demande en ligne . De plus, j'ai fait un devis en ligne, et vous n'avez pas été en mesure de me donner un prix . En effet, il faut téléphoner, or téléphone constamment occupé . Merci pour la rapidité . Par contsur devis en ligne qui me convient très bien .</t>
  </si>
  <si>
    <t>21/03/2021</t>
  </si>
  <si>
    <t>patrick-21-103762</t>
  </si>
  <si>
    <t>J'attends un remboursement Dupuis le mois de décembre, toujours rien juste un mail , pour me dire on revient vers vous... changer de mutuelle ou ne tombé pas malade...je la déconseille...un gros Zéro</t>
  </si>
  <si>
    <t>04/03/2021</t>
  </si>
  <si>
    <t>soumpholphakdy-a-133423</t>
  </si>
  <si>
    <t>Le prix pour mon assurance auto me convient et bon interlocuteur lors de ma demande du devis qui m’a très bien expliquer.
Je recommanderais a mon entourage.</t>
  </si>
  <si>
    <t>pepino-67340</t>
  </si>
  <si>
    <t>ATTENTION ! Nous avons souscrit un contrat auto Allianz sur le web, sous le service eAllianz, leur prix proposé via le comparateur de prix le Lynx rendait leur offre accessible. Seulement voila, une fois que vous envoyez les papiers, votre tarif augmente passant dans notre cas de 900 euros par an à 1200 euros. L'explication ? Un meilleur bonus (j'avais inscrit 0.66 au lieu de 0.64) et un vieux sinistre en stationnement, non responsable, avec tiers identifié. Pour ce dernier ok, je veux bien, mais 300 euros de plus ? Quasiment impossible d'avoir le service client au téléphone, plus de 30 minutes d'attente, et au bout du fil la personne n'est  pas étonnée. Meme pas quand je lui dis que j'ai refait une simulation sur le lynx avec mon bonus et ce sinistre oublié et que j'étais au prix que l'offre initiale (autour des 900 euros). Je suis dégoutée. De vrais loups. Encore pire, au début on a essayé de me faire croire qu une fois le contrat signé, c était fini, on devrait accepter sans broncher cette augmentation. Sauf que c'est interdit, il vous suffit de refuser l'avenant ! Maintenant je vais devoir me battre pour récupérer mes 236 euros de premier versement...</t>
  </si>
  <si>
    <t>chdj-68816</t>
  </si>
  <si>
    <t xml:space="preserve">Assure pendant 20 ans chez la maif récemment on a reçu un courrier pour mettre fin à tous les contrats auto appartement 
Pour motif relation dégradé pas de contacts ni courriers préalables </t>
  </si>
  <si>
    <t>bryt-62644</t>
  </si>
  <si>
    <t xml:space="preserve">C'est une assurance qui est prévue pour les gens qui ne conduise pas. Cette assurance veut bien assurer des gens qui laisse leur voiture dans le garage et prennent le bus. Des que vous avez le moindre sinistre il vous éjecte malgré votre non responsabilité. Pour mon cas j'ai eu malheureusement trois sinistre. Dont 2 non responsable et un en totalité (mais du à un mauvais renseignement du constat) malgré cela cette assurance me résilie pour un constat en tord. Je trouve cela extrêmement injuste. Attention assurance à évité (hormis si vous laisser votre voiture au garage !!!!!!) 
Et ciaciao </t>
  </si>
  <si>
    <t>24/03/2018</t>
  </si>
  <si>
    <t>christophe-v-112319</t>
  </si>
  <si>
    <t xml:space="preserve">Parfait comme tarif. Devis réalisé sur le lynx merci à vous je vais pouvoir directement rouler en étant assuré ! AMV était beaucoup plus chère que vous </t>
  </si>
  <si>
    <t>mayaux-138184</t>
  </si>
  <si>
    <t xml:space="preserve">conctat telephone a NANCY  personne charmante aimable et professionnelle  que du bonheur  merci je recommande cette assurance  je suis client depuis des annees </t>
  </si>
  <si>
    <t>rosier-j-131203</t>
  </si>
  <si>
    <t xml:space="preserve">Je ne sais pas encore si je suis satisfait n’ayant pas encore finis ma souscription et n’ayant toujours pas eu besoin d’appeler l’assurance je ne peux pas savoir la qualité du service </t>
  </si>
  <si>
    <t>04/09/2021</t>
  </si>
  <si>
    <t>toto57-71336</t>
  </si>
  <si>
    <t xml:space="preserve">J'ai eu le malheur alors que je cherchais une nouvelle mutuelle d'être contacté par SANTIANE. Après un beau discours bien rôdé, j'ai décidé de souscrire un contrat. Bien mal m'en a pris, je n'ai jamais rencontré autant de soucis tant sur le suivi du dossier que que sur la prise en compte de mes demandes. Le mois de la prise en compte de ma radiation, ils n'ont pas oublié de prélever la dernière échéance mais par contre ils ont juste oublié de régler la pharmacie. En résumé, une véritable horreur. Je déconseille à tout le monde ce courtier courtier et je suis conforté dans cette démarche par la pharmacie qui m'a signalé que je n'étais pas le seul dans cette situation </t>
  </si>
  <si>
    <t>15/02/2019</t>
  </si>
  <si>
    <t>david-g-113458</t>
  </si>
  <si>
    <t>des soucis au niveau du site pour souscrire, c'est le problème que j'ai rencontré.
les prix sont corrects, reste à voir si j'ai un sinistre un jour...</t>
  </si>
  <si>
    <t>12/05/2021</t>
  </si>
  <si>
    <t>pascaline34-76718</t>
  </si>
  <si>
    <t>scandaleux !!
Ne souscrivez surtout pas : prix excessifs, aucune coordination interne, communication carastrophique, lenteur des traitements, ...etc ...</t>
  </si>
  <si>
    <t>12/06/2019</t>
  </si>
  <si>
    <t>01/06/2019</t>
  </si>
  <si>
    <t>stephane-b-108879</t>
  </si>
  <si>
    <t>Etant déjà adhérent, je suis satisfait de vos services, c'est pourquoi je suis toujours fidèle.
Le prix reste toujours la question épineuse, il faut se faire une raison,, être protéger en intégralité et éviter tous désagréments que nous pourrions rencontrer dans la vie.</t>
  </si>
  <si>
    <t>savana-130756</t>
  </si>
  <si>
    <t>Prévoyance obsèques qui trois mois après le décès de ma sœur ne debloque toujours pas le capital alors que le dossier est complet !
A chaque appel auprès de leurs services, une réclamation est faite mais celle ci n'aboutit  jamais ! 
Que faire ? Une réclamation par écrit (2mois d'attente encore) pour saisir le mediateur... ils ont bien verrouillé leurs contrats pour ne pas honorer leurs contrats !
C'est tout simplement choquant alors surtout fuyez cette assurance</t>
  </si>
  <si>
    <t>Malakoff Humanis</t>
  </si>
  <si>
    <t>goug-109830</t>
  </si>
  <si>
    <t>J'ai découvert sur le compte de ma mère âgée un prélèvement de 328 €/mois (en 2021)
Je demande des explications ; on m'envoie une copie du contrat signé en 2001 pour 23.93 € (en F à l'époque)  soit un prix multiplié par 13.7 en 20 ans !!! aucune info sur la garantie transmise à ce jour !! au téléphone, c'est pire que le pire ...  c'est pas moi, c'est l'autre ...  autre numéro de tèl, qui parfois n'existe même pas ... la réponse par mail envoie sur un tèl qui n'est pas le bon !!!!
en résumé, fuyez !!!!</t>
  </si>
  <si>
    <t>cathy-55082</t>
  </si>
  <si>
    <t>J'ai changé de véhicule et après avoir envoyé tous les documents nécessaires à ce changement, je reçois l'avis d'échéance de mon ancien véhicule avec une augmentation de tarif en plus!!!!! Et prélèvement de la somme totale.....
Depuis 3 semaines, j'appelle tous les jours, patiente jusqu'à 45 mn et on me raccroche au nez. 5 numéros soi-disant joignables rapidement, après 1h03 j'ai 4 conseillers qui se renvoient le dossier et le dernier finit par me dire qu'ils sont victimes de leur succès!!!!!!!
Dossier à refaire complètement car pas de trace bizarrement de ma demande.......Bref résiliation sur le champ et remboursement sous 1 mois!!!!!
Et non ce n'est pas une blague, ils nous appâtent avec leur beau discours et après silence radio.
Heureusement que ce n'était pas pour un sinistre, ils m'auraient peut-être laissée 30 jours sur le bord de la route!!!!
ATTENTION......</t>
  </si>
  <si>
    <t>02/06/2017</t>
  </si>
  <si>
    <t>golgoth-50208</t>
  </si>
  <si>
    <t>Service client incompétent ! Même pas informé des avenants dont j'ignore le contenu. J'ai découvert par hasard en me connectant une demande d'envoi d'un nouveau document. Le code des assurances leur semble étranger. A suivre, je songe à annuler mon contrat.</t>
  </si>
  <si>
    <t>13/12/2016</t>
  </si>
  <si>
    <t>cedric-c-112135</t>
  </si>
  <si>
    <t>pratique et simple, les tarifs sont abordables . nouveau client donc a voir.....le seul probleme c est d avoir payer un mois de cotisation pour une journee de couverture car assurance debut le 30/04/2021</t>
  </si>
  <si>
    <t>antifake-60667</t>
  </si>
  <si>
    <t>Témoignage totalement bidon, écrit par un élève de CM2, du niveau de téléopératrices qui se font passer pour des fonctionnaires de la SECU et inventent une couverture obligatoire découlant -pure invention- de la Loi Marisol Touraine (cherchez bien) de 2016 qui oblige les assurés à prendre une "complémentaire". Tout est faux, pas de tiers payant chez Néoliane, juste un éventuel remboursement du surplus de frais médicaux, cette compagnie devrait déjà avoir été interdite de poursuivre ses activités, que fait la DGCCRF ?</t>
  </si>
  <si>
    <t>20/01/2018</t>
  </si>
  <si>
    <t>nicomab-63985</t>
  </si>
  <si>
    <t>À fuir
Sinistre déclaré fin avril pour un portail accidenté
Retour de l'assurance CIC ACM constatel suite au devis de remplacement car la réparation coûterai au moins aussi cher expert de Strasbourg va prendre contact via un rdv je suppose
Jhabite prêt de Rouen en Normandie
Ca traine ça ne communique que par mail
 J'ai l'impression que s'il pouvait vous dégoûter pour ne pas payer se serai cette  méthode</t>
  </si>
  <si>
    <t>j-zanini-65361</t>
  </si>
  <si>
    <t>Disponibilité des conseillers de clientèle : Franchement parfait je n'ai rien à dire je les et contactez sur twitter en moins de 5 minutes ils ont fait ce que je leur avais demandé et c'est génial c'est les seuls qui sont aussi accessibles sur le contact j'en suis vraiment satisfait et c'est pareil sur tous les points je vous conseille vraiment cette assurance</t>
  </si>
  <si>
    <t>09/07/2018</t>
  </si>
  <si>
    <t>az-101990</t>
  </si>
  <si>
    <t xml:space="preserve"> Il y a 15 ans la maaf était à la hauteur des personnes qualifiées pour assurer d’une façon correcte aujourd’hui de jeunes gamins au bureau et des jeunes experts font perdre la valeur  de ce que représenter l’assurance maaf,
Dans les débuts  les litiges même important était réglé  rapidement très rapidement ce n’est plus le cas aujourd’hui, j’ai changé d’assurance jusqu’à ce que Maaf Retrouve la valeur de ce qu’il était.
Je ne recommande pas du tout actuellement cette assurance.Cordialement. Ap </t>
  </si>
  <si>
    <t>30/12/2020</t>
  </si>
  <si>
    <t>kaka-97756</t>
  </si>
  <si>
    <t>Assureur a l'écoute de son client,très professionnel .En cas de litige l'olivier est très réactive,s'occupe de tout .je recommande vivement l'olivier assurance</t>
  </si>
  <si>
    <t>23/09/2020</t>
  </si>
  <si>
    <t>miogoca-67500</t>
  </si>
  <si>
    <t xml:space="preserve">Cliente depuis le début d'année, J'ai du revoir les modalités de mon contrat et l'adapter en fonction de mes besoins. </t>
  </si>
  <si>
    <t>09/10/2018</t>
  </si>
  <si>
    <t>furiousp2a-75149</t>
  </si>
  <si>
    <t>Minable, service client inexistant. Remboursements non réalisés, impossibilité d'avoir un contact avec le service client. Mutuelle souscrite par obligation employeur dans le cadre de contrats collectifs, a fuire !!!</t>
  </si>
  <si>
    <t>david-t-110930</t>
  </si>
  <si>
    <t>Simple et pratique
Moins cher que d'autres assurances en tant que jeune conducteur
Bon accueil au téléphone, site internet  plutôt facile
Prise en charge plutôt rapide en cas de sinistre</t>
  </si>
  <si>
    <t>19/04/2021</t>
  </si>
  <si>
    <t>nadia-s-108234</t>
  </si>
  <si>
    <t xml:space="preserve">je me renseignerai ailleurs quand ma fille aura son permis, un peu cher comme tarif pour une fiat 500
devis reçu différent du du contrat proposé et signé, 30 euros d'écart 
</t>
  </si>
  <si>
    <t>ruellan-d-134198</t>
  </si>
  <si>
    <t>Je suis très satisfait de L’olivier assurance 
Très facile à joindre , conseillers très aimables, à l’écoute, réactifs.
De même pour l’assistance au top lors de mon accident du Vendredi 10 septembre dernier 
Je recommande l’Olivier à 100%</t>
  </si>
  <si>
    <t>23/09/2021</t>
  </si>
  <si>
    <t>komisaruk-m-116242</t>
  </si>
  <si>
    <t>je suis satisfait du service, tres bon prix par rapports les autres assuranes, simple et rapide, j'ai eu l'assurance 200 euros moins cher qu'ailleurs.</t>
  </si>
  <si>
    <t>mat58-56887</t>
  </si>
  <si>
    <t>Très très compliqué ma compagne est en arrêt pour un heureux événement depuis janvier et malgré un dossier carré, il faut relancer systematiquement.
Un cou il y'a pas de papier dans leur fax, un cou il y a plus d'encre on n'a vraiment l'impression qu'on se fou de nous.</t>
  </si>
  <si>
    <t>26/08/2017</t>
  </si>
  <si>
    <t>agedeuzere-58329</t>
  </si>
  <si>
    <t xml:space="preserve">Client depuis quelques années je n'ai jamais eu la chance de voir un dossier traité correctement, il y a systématiquement des problèmes et des délais de traitement totalement inacceptables. Un manque évident de communication entre les services et aucun contact avec les clients. Obtenir quelqu'un au téléphone est juste impossible et le système de rappel des clients au téléphone ne fonctionne pas. Rien qui puisse permettre de recommander à quiconque cette entreprise dont la principale activité semble être de retarder les paiements le plus possible et par tous les moyens. </t>
  </si>
  <si>
    <t>24/10/2017</t>
  </si>
  <si>
    <t>jenn-55780</t>
  </si>
  <si>
    <t xml:space="preserve">JE DÉCONSEILLE LA SOUSCRIPTION A CETTE ASSURANCE !!!!
Je suis tombé en panne à 2 km de mon domicile.
J'ai bien évidemment appelé l'assistance de Direct Assurance qui m'ont assuré que, en cas de panne, j'avais une assistance remorquage à plus de 50 km de mon domicile.
Je n'ai pu bénéficier d'aucun remorquage ni prêt de véhicule. Après m'être débrouillée autrement, je me suis aperçue que j'avais opté pour le "Pack sérénité", payant, me garantissant l'assistance 0 km en cas de panne et le prêt de véhicule.
Ils n'ont rien fait pour moi alors que j'ai payé tout ce temps.
</t>
  </si>
  <si>
    <t>03/07/2017</t>
  </si>
  <si>
    <t>sylvie-h-109240</t>
  </si>
  <si>
    <t xml:space="preserve">Je vous remercie et vous recommande après de mes amis  niveau prix et niveau rapidité  vous êtes l assurance la moin cher que j ai trouvé et c est une excellente nouvelle </t>
  </si>
  <si>
    <t>annie-m-125173</t>
  </si>
  <si>
    <t>SIMPLE  ET PRATIQUE ET ABORDABLE EN PRIX rien de plus à dire à voir dans l'avenir ce que cela va donner, n'ayant jamais avoir été cliente chez vous. merci</t>
  </si>
  <si>
    <t>28/07/2021</t>
  </si>
  <si>
    <t>samia-d-125860</t>
  </si>
  <si>
    <t xml:space="preserve">Je suis satisfaite du service et de votre assurance. 
J'espère pouvoir faire encore une longue route avec vous. 
Merci pour votre remboursement rapide des deux premiers mois offerts je le souhaite </t>
  </si>
  <si>
    <t>marc02-126657</t>
  </si>
  <si>
    <t xml:space="preserve">Suite a un violent orage de grele dans le sud de l aisne classé en catastrophe naturelle  un expert et venu constater en moins dis minutes il n as fait aucun chiffrage ma toiture étant bâchée il n a rien pu voir puisque qu il est arrivé sans prévenir 
Je lui ai fait parvenir le devis du couvreur qui se monte à 38000 € l expert accorde royalement 9000 €
Et de plus il a mis 1 mois a répondre 
Pour les infiltrations toujours pas de nouvelles ??
Je vais mandater un expert d assurance </t>
  </si>
  <si>
    <t>karine-m-129442</t>
  </si>
  <si>
    <t xml:space="preserve">Plus trop d’écart de prix sur ce modèle. J’apprécie la rapidité de la transaction. J’ai voulu passer par Poulpeo pour profiter du cash back mais sans succès. </t>
  </si>
  <si>
    <t>mai-62104</t>
  </si>
  <si>
    <t>Je suis à la maif depuis 25 ans sans accident responsable sauf l'été 2017 avec 2 évènements responsables. Depuis l'été dernier je recherche une assurance où on prend en considération l'intérêt du client.</t>
  </si>
  <si>
    <t>07/03/2018</t>
  </si>
  <si>
    <t>nico-56297</t>
  </si>
  <si>
    <t xml:space="preserve">À fuir, aucun professionnalisme. Le scooter de mon compagnon était garé dans le parking et il y'a eu une tentative de vol et dégradation. Rapport d'expertise ils doivent nous rembourser 1520 euros car valeur du scooter au jour du préjudice 1900 moins les 20% de franchise, on cède donc le scooter acheté 2000 euros. Après 2 mois de bataille ils veulent nous rembourser 114 euros !!! Alors que les experts nous reconfirme que non ils doivent nous rembourser 1520 car il y a eu cession du véhicule. Car pas de bsr or il était entrain de le passer et le scooter était garé ! Par contre pour prélever c'est les premier ! Assurance qui se fou  de ses assurés et les responsables ne sont jamais là , toujours occupé bah oui on fuit ! </t>
  </si>
  <si>
    <t>Euro-Assurance</t>
  </si>
  <si>
    <t>26/07/2017</t>
  </si>
  <si>
    <t>pourrier-p-127380</t>
  </si>
  <si>
    <t xml:space="preserve">Satisfait du coût et de la possibilité de modifier le montant des franchises. 
Signature électronique à améliorer (difficile de comprendre d'aller à la fin du document) 
Globalement très satisfait.
</t>
  </si>
  <si>
    <t>bato99-75782</t>
  </si>
  <si>
    <t>Eallianz, aucune considération pour le client.</t>
  </si>
  <si>
    <t>10/05/2019</t>
  </si>
  <si>
    <t>estelleil-86248</t>
  </si>
  <si>
    <t xml:space="preserve">Sociétaire depuis plus de 40 ans  j'ai subi 2 sinistres durant ces 3 dernières années
Le 1er ma plaque  à induction a grillé suite à un orage  la Macif ne m'a pas indemnisé car elle a pris le prix actuel 320 euros  et non le prix réel payé lors de mon achat en 2010  600 euros pour appliquer le taux de vétusté  qu'elle aurait été le prix de référence si la plaque avait couté plus chère
2ème sinistre novembre 2019 suite à la tempête une partie du mur de mon habitation s est effondrée l'expert  a considéré que le vent de plus de 120kmh n'était pas la cause du sinistre la Macif a refusé toute indemnisation
Conclusion n ayez pas de sinistre à la Macif  </t>
  </si>
  <si>
    <t>benher-65564</t>
  </si>
  <si>
    <t>Assurance qui ne respecte pas ses engagements, ne suivent pas les dossiers et ne respectent pas ses clients. Aucune gestion des dossiers, contradictions des conseillers, et aucune prise en charges, délais très longs et ne reviennent pas vers les clients</t>
  </si>
  <si>
    <t>17/07/2018</t>
  </si>
  <si>
    <t>louguy87-61754</t>
  </si>
  <si>
    <t xml:space="preserve">Pour les prix c'est attrayant mais il faut savoir qu'il n'y a pas de service client par téléphone donc ça devient vite très compliqué quand on a besoin de quelque chose ou de changer son contrat...
</t>
  </si>
  <si>
    <t>23/04/2019</t>
  </si>
  <si>
    <t>cec39-99084</t>
  </si>
  <si>
    <t xml:space="preserve">Personnel très réactif et impliqué lors de mes demandes, mon dossier a été traité rapidement. 
A voir en cas de sinistre, ce qui ne m'est pas arrivé en 6 ans, d'où 4 étoiles seulement. </t>
  </si>
  <si>
    <t>bertrand-b-108416</t>
  </si>
  <si>
    <t>Je suis satisfait: votre collaborateur a très bien géré mon appel ce matin. Je suis simplement étonné du doublement de prix entre Picasso et Touran !!</t>
  </si>
  <si>
    <t>29/03/2021</t>
  </si>
  <si>
    <t>antoine-r-123323</t>
  </si>
  <si>
    <t>Très satisfait du service avec une bonne prise en charge de ma demande.
Je trouve que les différentes formules mériteraient plus d'information lisible lorsque l'on fait les devis.
On trouve des infos plus détaillées lors de la souscription.
Le prix est plutôt bon</t>
  </si>
  <si>
    <t>thiery-m-122332</t>
  </si>
  <si>
    <t xml:space="preserve">Je trouve cela nul de devoir laisser un avis obligatoirement sans pouvoir passer à l’étape suivante . 
Laisser un avais alors que je viens à peine de souscrire cela ne me correspond pas </t>
  </si>
  <si>
    <t>04/07/2021</t>
  </si>
  <si>
    <t>franck-135226</t>
  </si>
  <si>
    <t>Je viens de recevoir une lettre de résiliation de la part de la MATMUT qui estime que 2 sinistres en 6 mois ça mérite une radiation,  les sinistres sont un accrochage avec une voiture qui a eu une porte et une aile,  moi pas de dégât et un 2ème sinistre changement du parebrise suite à un éclat, merci la Matmut si j avais su,  j aurais remplacer mon parebrise après 6 mois
Honteux</t>
  </si>
  <si>
    <t>moi-71292</t>
  </si>
  <si>
    <t>Service client inexistant. Lamentable serait encore plus juste. Absolument injoignables. On se demande même pourquoi avoir mis en place un numéro de tél destiné aux clients !! NULLISSIME. A éviter. Incroyablement mauvais</t>
  </si>
  <si>
    <t>14/02/2019</t>
  </si>
  <si>
    <t>websolu-63276</t>
  </si>
  <si>
    <t xml:space="preserve">J'ai souscris chez MAAF une Protection Juridique, une Assurance Habitation, une Complémentaire Santé pour moi et ma famille, un Pack tranquilité famille (accident de la vie privé) et je suis en train de souscrire une assurance pour mon bureau professionnel. Lorsque je demande pour assurer mon auto (je précise que je ne suis qu'à 1.01 soit le malus le plus minime) on ne me propose même pas ni contrat, ni solution alors que je suis déjà assuré chez Aviva depuis de nombreuses années, que mon dernier accident date de 2016 et est non responsable. A coté de sa que je paye mes cotisations tjr à temps. Vous proposez des produits que vous vantez comme formidable mais ne fidélisez même pas les clients qui veulent souscrire un nouveau produit. </t>
  </si>
  <si>
    <t>14/04/2018</t>
  </si>
  <si>
    <t>philippe-r-110846</t>
  </si>
  <si>
    <t>Rien à dire. Parfait. Toutes les questions que j'ai posées ont reçu des réponses claires et précises. Les correspondants sont à la hauteur et efficaces.</t>
  </si>
  <si>
    <t>jacky-a-122204</t>
  </si>
  <si>
    <t xml:space="preserve">Je suis sastifait  de votre promptitude vous avez été perspicacedes les démarches. Effectivement je me suis rendu compte que malgré le règlement annuel de ma cotisation je suis qu'en possession de la carte verte d'une prériode  couvrant que six mois donc expiré fin juin,  alors que j'aurai dû avoir une attestation pour une année jusqu'à fin décembre. A ce jour je suis en infraction si j'ai un contrôle . </t>
  </si>
  <si>
    <t>el-azhari-d-134519</t>
  </si>
  <si>
    <t>je suis satisfait de cette assurance voila pourquoi ont me la conseiller pour ces prix attractifs et sont efficacité simple rapide et facile d'accès ;</t>
  </si>
  <si>
    <t>marc-d-124146</t>
  </si>
  <si>
    <t>Je suis satisfait du service et du renseignement donné pour assurer mon scooter, je recommanderai votre assurance à mes proches et amis. 
Merci bien.
Cordialement,</t>
  </si>
  <si>
    <t>21/07/2021</t>
  </si>
  <si>
    <t>fabrice-87275</t>
  </si>
  <si>
    <t xml:space="preserve">suite a un sinistre matériel non responsable  du mois d'octobre 2019 je suis toujours en attente de remboursement soit environ 5000 euros alors que les accords ont été donne pour les réparations </t>
  </si>
  <si>
    <t>18/02/2020</t>
  </si>
  <si>
    <t>kris-r-132528</t>
  </si>
  <si>
    <t>me semble correct, premiere fois que je m'assure chez amv, j'attends maintenant la suite et le service si qqch se passe.  c'est a ce moment qu'on connait la valeur.</t>
  </si>
  <si>
    <t>12/09/2021</t>
  </si>
  <si>
    <t>same-86701</t>
  </si>
  <si>
    <t>J'ai résilier en début d'année mon assurance auto parce que j'ai vendu ma voiture, la MAIF me réclame des règlements et frais d'impayés injustifiés, aucune réponse claire par téléphone et pas de retour à mon mail. En plus de ça, ils ont bloqué mon accès à mon assurance habitation sur mon espace internet. Pourtant je suis chez eux depuis plus de 10 ans et je n'ai jamais payé mes cotisations en retard</t>
  </si>
  <si>
    <t>04/02/2020</t>
  </si>
  <si>
    <t>hugolt-116855</t>
  </si>
  <si>
    <t xml:space="preserve">Je vais vous raconter une histoire très très drôle et une énorme preuve d'incompétence de la part de cette assurance !
Après 5 ans d'assurance auto chez eux, je change de voiture. J'appelle pour faire le nécessaire avec l'assurance et le changement de modèle. Et la personne au téléphone me dit que c'est un modèle sport et je suis en jeune permis donc ils refusent de m'assurer. J'avais 6 ans de permis déjà et la voiture était une ford fiesta classique. 
J'ai essayé d'expliquer cela à la personne de la GMF qui m'a dit que visiblement elle savait mieux que moi.
Merci la GMF, vous avez perdu un client qui souhaitait rester chez vous. </t>
  </si>
  <si>
    <t>alan-l-136920</t>
  </si>
  <si>
    <t xml:space="preserve">Efficace avec de bon prix et le site est très clair et simple d'utilisation les tarif sont attractif avec une très bonne couverture Simple et pratique </t>
  </si>
  <si>
    <t>11/10/2021</t>
  </si>
  <si>
    <t>mika54-101045</t>
  </si>
  <si>
    <t xml:space="preserve">Juste une horreur, des frais d'acquisition extrêmement élevé et un service client totalement injoignable et quand il l'est, la sympathie des conseillers n'est pas tellement au rendez-vous !! </t>
  </si>
  <si>
    <t>07/12/2020</t>
  </si>
  <si>
    <t>mercedes-70128</t>
  </si>
  <si>
    <t>J'ai voulu passer mes  2 voitures (+10 ans) tout risques en tiers, fais un devis(intéressant) sur leur site je contact  l'agence et on me dit que j'y ai pas droit, on me fait un devis 20% + cher. le devis en ligne c'est pour les nouveaux..pas d'accident depuis 15ans. Bravo le geste commercial!!</t>
  </si>
  <si>
    <t>11/01/2019</t>
  </si>
  <si>
    <t>taye-105094</t>
  </si>
  <si>
    <t xml:space="preserve">Attention,  les mensualités débitées ne correspondent en rien aux contrats signés et sont bien plus supérieures. 
Service clientèle inexistant, aucune réponse aux différents mails
</t>
  </si>
  <si>
    <t>02/03/2021</t>
  </si>
  <si>
    <t>pascal-p-135280</t>
  </si>
  <si>
    <t>Je suis satisfait, je vous remercie pour votre efficacité!
Je vous félicite pour le prix vous êtes les moins cher après avoir comparé 5 devis à la concurrence!</t>
  </si>
  <si>
    <t>obru-93430</t>
  </si>
  <si>
    <t xml:space="preserve">Un service sinistre nul ! Mon DDE date de octobre et on est toujours dans les procédures. Injoignable au téléphone. Je dois les relancer sans arrêt. Bref à fuire! Je résilie rapidement. </t>
  </si>
  <si>
    <t>08/07/2020</t>
  </si>
  <si>
    <t>melaniehaye-121415</t>
  </si>
  <si>
    <t xml:space="preserve">a FUIR !!!!!! ne rembourse pas dans les temps, 2 mois d'attente pour un simple remboursement de 130€ 
pour les avoirs au téléphone minimum 20 min d'attente 
</t>
  </si>
  <si>
    <t>28/06/2021</t>
  </si>
  <si>
    <t>auger-e-127889</t>
  </si>
  <si>
    <t>Bonjour, Dommage que le montant annuel prenne 15% en mensuel. Ca aurait été bien de l'annoncer avant. Commercialement parlant, c'est une faute et les fameux prix compétitifs ne le sont pas vraiment. Merci</t>
  </si>
  <si>
    <t>13/08/2021</t>
  </si>
  <si>
    <t>az-93884</t>
  </si>
  <si>
    <t>Aucune considération pour ses clients, personne ne répond jamais ! J'ai un dégât des eaux depuis le 23/02/2019 (!!!) dont je ne suis pas à l'origine et la Matmut ne fait rien ! Mon appartement était neuf, et depuis 1 an et demi je vis avec des moisissures sur le mur de ma cuisine (l'odeur est horrible, j'ose imaginer ce que je respire), les meubles hauts sont posés au sol dans le salon. Le dégât n'est toujours pas identifié mais récemment j'ai reçu un misérable chèque pour les réparations. Je fais refaire mon mur pour qu'il soit de nouveau abîmé dans 1 mois et qu'on recommence la procédure ? Aucun test d'humidité n'a été réalisé sur le mur, donc impossible de constater une évolution. Il faut se battre à chaque instant pour obtenir que quelque chose bouge, et c'est reparti pour la même rengaine. Leur soit disant espace en ligne ne sert qu'à vous laisser seul dans votre galère. Les agences ne servent à rien, elles sont là uniquement pour faire signer des contrats ! 
Si vous comptiez choisir cette assurance pour son nom et sa proximité passez votre chemin, vous vous éviterez des cheveux blancs ! Le seul service qui fonctionne est celui qui envoi les avis d'échéances de cotisations !</t>
  </si>
  <si>
    <t>12/07/2020</t>
  </si>
  <si>
    <t>chris-129734</t>
  </si>
  <si>
    <t>Bien placé niveau prix mais niveau communication a revoir ils n écoutes pas et répèt en boucle ce qu'ils voient sur leurs écrans dommage pour le client qui ne peut pas expliquer son problème.autrement c'est la 3e motos que j assure chez vous</t>
  </si>
  <si>
    <t>maryse-117518</t>
  </si>
  <si>
    <t xml:space="preserve">Lors de mon entretien avec Émeline  afin de résoudre un problème de remboursement de neoliane elle m'a très gentiment débloquée  la situation et répondue immédiatement. Elle a su prendre les choses en main et résoudre le problème .Tour ceci avec un bon accueil et très agréable. 
Maryse Lacaze </t>
  </si>
  <si>
    <t>suzanneborja-96300</t>
  </si>
  <si>
    <t>Je suis inquiète ....Suite à l  attaque d'un chien sans laisse et sans muselière dans un jardin de la ville de Nice  qui a occasionné la mort de ma petite chienne et des blessures sur ma personne;je pensais que mon assurance responsabilité civile interviendrait,mais au bout de 3 
mois,je n'ai aucune nouvelles de la Matmut;où en est mon dossier? serais je remboursée des frais de vétérinaire(intervention chirurgicale et 3 jours d'hospitalisation,sans parler du prix de ma petite chienne,stérilisation,vaccins;Quant au préjudice moral,je n attends rien;mais au moins les frais matériels!j'envoie des messages mais pas de réponses
J'ai souscrit plusieurs contrats depuis juillet 2019;Tres déçue,mais peut être qu il faut du temps pour traiter ce dossier;je demande simplement des nouvelles pour me rassurer;merci</t>
  </si>
  <si>
    <t>sarahbnm-52846</t>
  </si>
  <si>
    <t>Le service client est indisponible ==_x009b_ j'attends 15 min en moyenne avant d'avoir quelqu'un au téléphone.
Donc je me suis dis que j'allais plutôt tenter de communiquer par email, je pense que c'est un peu la base d'avoir un service client avec qui communiqué par email et bien il faut croire que non chez Crédit Mutuel puisqu'ils mettent 1 semaine à répondre à une simple demande d'envoi de constat, 1 semaine de plus pour envoyer le constat bon à ce rythme là effectivement on passe 3 mois à régler un petit dégat des eaux...</t>
  </si>
  <si>
    <t>05/07/2017</t>
  </si>
  <si>
    <t>beck-103673</t>
  </si>
  <si>
    <t>Remboursement rapide suite à sinistre, mais une augmentation conséquente lors d'un renouvellement, ou lors de l'assurance d'un nouveau véhicule. Le mieux est peut-être de changer de compagnie d'assurance chaque année.</t>
  </si>
  <si>
    <t>04/02/2021</t>
  </si>
  <si>
    <t>life5656-51319</t>
  </si>
  <si>
    <t>Je suis en invalidité catégorie 2 depuis le 1 er octobre 2016
mon employeur a informé harmonie mutuelle de ma situation le 30 novembre j'étais alors en suspension de contrat de travail
Harmonie mutuelle m'a radié à partir du 1er octobre 2016
sans me prévenir aucun e-mail aucun courrier aucun coup de téléphone.Je l'ai découvert par hasard en consultant mon compte ameli .HONTEUX !!!!
Par contre ils on continué à me prélever des cotisations option B  jusque fin décembre 2016.
Actuellement je me bats avec eux pour récupérer ma portabilité prévue dans mon contrat sans réponse de leur part .A suivre ....</t>
  </si>
  <si>
    <t>15/01/2017</t>
  </si>
  <si>
    <t>cloe-f-108897</t>
  </si>
  <si>
    <t>L’assurance la moins chère que j’ai trouver avec autant de garanties. Très simple pour réaliser un devis et une réponse immédiate. Je suis très satisfaite.</t>
  </si>
  <si>
    <t>02/04/2021</t>
  </si>
  <si>
    <t>ouioui-74676</t>
  </si>
  <si>
    <t>Je suis inscrite depuis un mois, depuis pas de carte verte. Ils ne répond pas au mail ni au téléphone.
je ne suis pas sure si je suis assuré ou pas. 
Une assurer qu'on peut pas faire confiance
Service clientèle inexistante</t>
  </si>
  <si>
    <t>02/04/2019</t>
  </si>
  <si>
    <t>jf-115867</t>
  </si>
  <si>
    <t>ayant payé pendant 20 ans un assurance dependance auprès de cette compagnie , j'ai demandé vu mon etat de santé la mise en place de la rente debut mai 2021 sans nouvelle j'ai fait envoyé des emails par mon gendre sans reponse, après plusieurs telephone avec le sevice clients on m'informe qu'il manque le rib et l'attestation de securité sociale, on m'a prelevé pendant 20ans sur le compte les primes et ils ne connaissent pas celui ci , les documents relatifs a ma santé font etat de mon  n° de SS et les hopitaux ont fait leur  rapport !la copie de la carte ss etait fournie ? 
"Ne pas payé" ce doit étre le leitmotif de ce service que nous n'arrivons pas a joindre  !
lamentable !</t>
  </si>
  <si>
    <t>03/06/2021</t>
  </si>
  <si>
    <t>alexandre1325-75467</t>
  </si>
  <si>
    <t xml:space="preserve">Suite à une demande d'un deuxième contrat auto pacifica me dit qu'ils doivent faire une demande de dérogation et après signer le contrat mais ça on ne sait pas quand et attendant voiture non assuré. Donc ou est la loi de l'obligation d'assurer une voiture si cette assurance n'es pas disponible sur internet et qui n'assure pas sans l'autorisation de leurs siège social. Ensuite tout documents doit être envoyé par courrier et non scanner on ce demande qui est vraiment PACIFICA. Donc annulation des deux contrats autos bravo à cette assurance qui ne respecte pas les lois. </t>
  </si>
  <si>
    <t>29/04/2019</t>
  </si>
  <si>
    <t>pat-101362</t>
  </si>
  <si>
    <t xml:space="preserve">Faites un devis et vous serez choqués entre ce que vous payez et ce qu'on vous propose.pour ma part 400€ d'écart.J'ai appelé plusieurs conseillers et ils sont incapables de me dire pourquoi.J'ai donc résilié mon contrat après 12 ans
</t>
  </si>
  <si>
    <t>12/12/2020</t>
  </si>
  <si>
    <t>rfkanthony-103412</t>
  </si>
  <si>
    <t xml:space="preserve">Je déconseille largement cet assurance. 
Aucune agence physique, au téléphone on vous proposera un rendez-vous sous 7 jours. 
Et en cas de litige, on vous renvoie vers une longue procédure avec le médiateur. 
Les prix sont peut être intéressant, mais on le regrette très vite. 
A bon entendeur. </t>
  </si>
  <si>
    <t>29/01/2021</t>
  </si>
  <si>
    <t>leo-b-113452</t>
  </si>
  <si>
    <t xml:space="preserve">Tarif un peu trop élevé pour une simple 59 cm3 juste au tier au minimum et il aurai pus faire un tarif vus que que j ai dejas un véhicule assuré chez eu </t>
  </si>
  <si>
    <t>elo64160-78832</t>
  </si>
  <si>
    <t>accueil téléphonique est bienveiillant les explications sont claires vos conseiiller sont patient</t>
  </si>
  <si>
    <t>31/08/2019</t>
  </si>
  <si>
    <t>koffi--h-124879</t>
  </si>
  <si>
    <t>C'est dommage d'être obliger de rentrer ses informations personnelles alors que je suis déjà assuré chez vous..
Je n'ai pas besoin de voir de prêt car j'ai déjà une autre voiture.
Sinon RAS</t>
  </si>
  <si>
    <t>genou-60047</t>
  </si>
  <si>
    <t>Très sérieux et très réactif</t>
  </si>
  <si>
    <t>30/12/2017</t>
  </si>
  <si>
    <t>robert-c-128818</t>
  </si>
  <si>
    <t xml:space="preserve">Satisfaite des tarifs préférentiels. A voir dans le temps,mais je pourrais être tentée de faire appel à L'Olivier Assurances à l'avenir pour d'autres contrats si besoin.
</t>
  </si>
  <si>
    <t>20/08/2021</t>
  </si>
  <si>
    <t>dav-f-88713</t>
  </si>
  <si>
    <t>Prix accrocheur dès la première année, puis "assassin" une fois le poison ferré, l'année suivante. Je confirme, qu'il ne faut pas avoir d'accident, mauvaise prise en charge du dossier. Et ensuite, vous devenez un paria.</t>
  </si>
  <si>
    <t>06/04/2020</t>
  </si>
  <si>
    <t>belugue---137349</t>
  </si>
  <si>
    <t xml:space="preserve">Merci à RAMATA pour sa compétence et sa gentillesse dans le traitement de mon dossier a réussi par débloquer une situation compliquée pour moi.
Entièrement satisfaite du suivi. </t>
  </si>
  <si>
    <t>joey75dasul-134834</t>
  </si>
  <si>
    <t xml:space="preserve">Rien à redire , je suis satisfaite 
Depuis des années à la Mgp mes services sont corrects. 
A chacune de mes questions les réponses sont claires et précises. </t>
  </si>
  <si>
    <t>jeanti-98477</t>
  </si>
  <si>
    <t xml:space="preserve">Je suis sociétaire à la GMF depuis 1980. Je suis satisfait des services rendus, j'ai toujours été bien accompagné et obtenu les réparations adéquats. L'attribution des prêts par l'intermédiaire de SEDEF est rapide et les taux d'intérêt proposés sont attractifs. </t>
  </si>
  <si>
    <t>charlie-97536</t>
  </si>
  <si>
    <t>Après avoir regroupé mes assurances habitations et voiture dans une agence de la MAAF à Paris, j'ai subi un sinistre dû à la sécheresse en 2018. TROIS interlocutrices responsables de cette même agence se sont succédées en TROIS ans et des échanges par mail avec les services sinistres de la MAAF totalement obtus j'ai donc décidé de retirer l'ensemble de mes dossiers de la MAAF. A éviter.</t>
  </si>
  <si>
    <t>17/09/2020</t>
  </si>
  <si>
    <t>poupou49-50824</t>
  </si>
  <si>
    <t>En tant que sociétaire, je suis très déçu du traitement de mon dossier sinistre.
Je me suis aperçu que la MACIF avait unilatéralement augmenté la franchise applicable à mon véhicule de 170 à 250 € sans m'en informer de manière claire...
Ils n'ont rien voulu entendre sur ce point lors de mes différents appels téléphoniques avec leur service commercial.
Leur attitude est inadmissible... mais ils l'ont appliqué en connaissance de cause... et de peur de perdre beaucoup de clients s'ils avaient modifié ce critère du contrat dans les règles !
Donc en ce qui me concerne, MACIF c'est STOP !
Un client fidèle arnaqué...</t>
  </si>
  <si>
    <t>vivijean-61622</t>
  </si>
  <si>
    <t xml:space="preserve">Depuis toujours, les courriers , informations, réclamations  et tous documents transmis à vos services ne sont jamais traités correctement.  Il faut systématiquement rappeler et rappeler encore pour qu'enfin l'on obtienne satisfaction et tout cela avec un tarif mutuelle en augmentation chaque année.
J'attends que ma modification bancaire soit faite depuis 8 mois maintenant!!!!!!!!!  
</t>
  </si>
  <si>
    <t>jamila19-85574</t>
  </si>
  <si>
    <t xml:space="preserve">J'ai eu un sinistre non responsable voilà déjà quelques mois. Après la visite de l'expert, la reprise du véhicule est décidée. Néanmoins je n'ai jamais reçu le courrier et les papiers de reprise et notre véhicule ne pouvant plus rouler occupe une place de parking... Malgré plusieurs relances auprès d'AXA (Telephone, email,) rien ne se passe. On tourne en bourrique et on s'entend dire c'est pas moi c'est l'autre service.... </t>
  </si>
  <si>
    <t>07/01/2020</t>
  </si>
  <si>
    <t>lord-67727</t>
  </si>
  <si>
    <t>Remboursement très longs a venir, plateforme clients  pas très mauvaise,les sévices se renvoient la balle les un aux autres, dossier remboursement plusieurs mois avant remboursement</t>
  </si>
  <si>
    <t>16/10/2018</t>
  </si>
  <si>
    <t>machado-m-124179</t>
  </si>
  <si>
    <t xml:space="preserve">Je suis satisfaite du service. Les prix sont compétitifs, par contre la signature des documents peu être un peu compliqué. L'espace perso est facile d'accès. Merci </t>
  </si>
  <si>
    <t>hui-fen-c-128102</t>
  </si>
  <si>
    <t>je suis content pour le site., le devis est transparent..
cependant j'espère que vous avez un service en anglais
L'assurance peut-elle être payée mensuellement et non annuellement ?
Je vous remercie</t>
  </si>
  <si>
    <t>15/08/2021</t>
  </si>
  <si>
    <t>fangfang-z-125719</t>
  </si>
  <si>
    <t>j'ai parcouru toutes les offres sur les site de comparaison, vous etes le seul fournisseur a qui je peux payer... pas de probleme affichage page, pas de probaleme chargement page paiement... du coup je choisi celui qui prend de l'argent...</t>
  </si>
  <si>
    <t>31/07/2021</t>
  </si>
  <si>
    <t>abdrahamane-f-134053</t>
  </si>
  <si>
    <t xml:space="preserve">Je suis satisfaite du service  et concernant le prix est convenable pour le service c'est simple et pratique je recommande direct assurance a mes proches </t>
  </si>
  <si>
    <t>vaz-e-108011</t>
  </si>
  <si>
    <t>Très agréable accueil téléphonique et les conseillers sont très disponibles pour renseigner et conseiller les clients. Je recommanderai L'OLIVIER ASSURANCE très volontiers</t>
  </si>
  <si>
    <t>ludo-86912</t>
  </si>
  <si>
    <t>Un des seuls assureur à proposer une indemnisation dès le premier pourcentage d'invalidité en cas de sinistre. La personne prime sur le materiel.</t>
  </si>
  <si>
    <t>09/02/2020</t>
  </si>
  <si>
    <t>lois-l-102260</t>
  </si>
  <si>
    <t>Je suis satisfait du service. Le tarif de l assurance pour le prêt immobilier est très satisfaisant. En revanche je n arriva pas a joindre un conseiller par téléphone.</t>
  </si>
  <si>
    <t>06/01/2021</t>
  </si>
  <si>
    <t>twist-137699</t>
  </si>
  <si>
    <t>Attention , meme en cas de vente de votre moto April vous prends des frais de resiliation .
Je ne trouve pas cela normal car c est un cas accepte par les assurances.</t>
  </si>
  <si>
    <t>francois-92264</t>
  </si>
  <si>
    <t xml:space="preserve">Je suis satisfait du service qui est simple d'accès. On est orienté pour le contrat le mieux adapté ; le devis est immédiat mais je ne vois pas le montant de la franchise applicable ! </t>
  </si>
  <si>
    <t>25/06/2020</t>
  </si>
  <si>
    <t>marie-103454</t>
  </si>
  <si>
    <t xml:space="preserve">Après avoir passé 32 ans assuré à la maif, ils m ont écrit qu ils me viraient parce que je leur ai dit que je divorçais.  J avais un mois pour trouver une nouvelle assurance. J ai tt de même voulu rester chez eux, c etait un attachement sentimental je pense, alors ils m ont proposé un tarif en doublant le prix que je payais avant mon divorce. Je suis restée sidérée par cette attitude. J ai bien répété vous vous rendez compte 32 ans...et le gars de la maif m a répondu oui Madame c est comme ça. Beaucoup de mépris de toutes les personnes que j ai eu au téléphone, inadmissible quand on voit leur campagne publicitaire. </t>
  </si>
  <si>
    <t>30/01/2021</t>
  </si>
  <si>
    <t>dodifr-79466</t>
  </si>
  <si>
    <t>Je suis  en phase de devenir client chez santiane assurance, jai' été bien reçu par Nadège au service téléphonnique et les expliquations étaient claire pense que enfin je vais trouver la mutuel qui ira le mieu : voir la suite</t>
  </si>
  <si>
    <t>mary-anne-r-110338</t>
  </si>
  <si>
    <t>Je suis assez satisfaite du service. Manque quand même de temps en temps un petit geste commercial pour remercier davantage les adhérents ou un petit cadeau pour vous démarquer des autres assureurs.Ensemble malgré tout correct pour moi et ma famille.</t>
  </si>
  <si>
    <t>abdellah-100017</t>
  </si>
  <si>
    <t xml:space="preserve">Je déconseille à toutes personnes normal de souscrire active assurance, j'en fais les frais actuellement j'ai eu un sinistre au mois de aout 2020 et 5 mois après mon dossier n'est toujours pas traité, le service sinistre est inexistant j'appelle 15 fois par jour et je n'arrive pas avoir un interlocuteur la prochaine étape est la justice voilà si vous avez du temps à perdre et de l'argent à perdre vous pouvez les appeler sinon aller voir des compagnies sérieuse
</t>
  </si>
  <si>
    <t>12/11/2020</t>
  </si>
  <si>
    <t>la-margotte-111929</t>
  </si>
  <si>
    <t>Une catastrophe!
Depuis novembre 2020 pour adhérer à la complémentaire santé j'ai envoyé 3 dossiers postaux (+ 1 par internet) tous perdus ou jetés à la poubelle . Le 4eme envoi par Lettre recommandée avec AR a été pris en compte. Enfin si on peut dire. La MGEN ne prévient pas la CPAM.  C'est obligatoire. Je ne peux pas mettre à jour ma carte vitale. Malgré mes multiples relances rien n'y fait: c'est comme si je n'ai pas de complémentaire santé, malgré mes cotisations. Je ne suis remboursé que sur tarif sécu. Pire, ma demande de prise en charge pour l'optique, (faite par l'opticien: verres et montures a été  rejetée par la MGEN). Aux dernières nouvelles on va m'envoyer par voie postale ma carte d'adhérent (j'attends!). Ça ne résoudra pas le problème qui est d'en informer la CPAM puisque je n'ai pas le droit de le faire moi-même.
Alors quand c'est possible ALLEZ VOIR AILLEURS. En tout cas je sais ce que je ferai l'an prochain.  Au niveau satisfaction : 0 étoile.  
A bon entendeur salut!
Bon courage, vous n'êtes pas seuls!</t>
  </si>
  <si>
    <t>norut-97228</t>
  </si>
  <si>
    <t xml:space="preserve">Expertise mal menée
La Maif a payé un expert pour constater une usure des disques d'embrayage évidente !
Pas besoin d'expert pour ça!N'importe quel conducteur,même le plus incompétent, fera ce constat.
Ce n'est pas ce que je demandais.
Voici les faits . A 16000km,l'embrayage de mon Vitara (Suzuki)donne des signes de faiblesse , quelques jours après la première révision.Diagnostic du mécanicien du Groupe Lafontaine de Bassussary (64) qui me l'a vendu un an auparavant : embrayage à changer.On est le 14 août. Il me dit qu'il fait une demande de prise en charge.Je le rappelle le mercredi 19 août.Réponse : «  M. P qui doit donner son accord est en congé.Il doit revenir dans quatre jours. »
Lundi 24 , après un email infructueux, j'appelle le président du Groupe Lafontaine : M Denis.Même réponse : attendons M. P...
Le 26 août, j'alerte le service clients Suzuki a Trappes.. Réponse laconique : M. P est rentré de congé il va étudier le dossier.Quelques jours plus tard je rappelle le mécanicien du GarageLafontaine . Sa réponse : »je dois démonter l'embrayage et envoyer des photos à M. P pour qu'il;prenne une décision.Je vous donne rendez-vous le 8 septembre à8h30. »
Il se sera écoulé un mois pendant lequel j'ai roulé avec un embrayage défaillant qui,patine à la moindre côte avec le RISQUE DE TOMBER EN PANNE .
Je me tourne vers la MAIF , mon assureur. Cette usure n'est pas normale. Il faut en rechercher la cause.Pour ma part j'	ai constaté une garde d'embrayage très courte : a t-elle une influence?J'ai aussi constaté des traces d'huile sur le sol à l'endroit où je gare ma voiture. Est-ce une fuite d'huile du système d'embrayage?Je demande donc qu'un expert réponde à ces questions. La Maif confie l'affaire à un cabinet d'expertise de Lons (64.)Lequel cabinet me demande l'heure du rendez-vous : 8h30. Je discute au téléphone avec l'expert désigné et lui fait part de mes soupçons concernant la garde d'embrayage et la fuite d'huile.Et je lui confirme l'heure du rdvous.
Mardi 8 septembre : 9h30. Oscar, le mécanicien m'appelle:l'expert n'est pas là. « Je démonte ! » me confie-t-il.
J'appelle le cabinet d'expertise. On me dit que l'expert doit passer dans la journée.Puis sur mon insistance dans la matinée.A midi 30 l'expert m'appelle pour me dire que l'embrayage est mort !!!
Quelle nouvelle sensationnelle !! Pas besoin de lui pour savoir ça. Il n'a rien vu d'autre. Evidemment ! Il aurait fallu être là au MOMENT DU DEMONTAGE POUR VERIFIER LA GARDE DEMBRAYAGE ET LES TRACES DHUILE .C'est une faute  professionnelle inadmissible.
Je suis furieux. J'aurais voulu être fixé sur les causes ! Pas sur les effets.
On va me dire que je suis responsable. Et je ré »pondrai qu'avant ce Suzuki, j'ai acheté et conduit jusqu'à 60000km quinze voitures que j'ai revendues à des particuliers qui comme moi n'ont eu aucun problème mécanique!!!Je sais comment ménager un embrayage!!!
Résultat des courses : j'ai réglé une facture de 650 euros pour une Vitara Suzuki sous garantie au kilométrage de 16000km pour un défaillance d'embrayage dont personne ne m'a expliqué la cause.
J'ai fait appel à la MAIF qui a manifestement très mal conduit cette affaire en faisant confiance à un cabinet d'expertise situé à 100km du garage(il n'y a pas d'experts sur la Côte Basque?)et en étant plus attentive aux diresd'une secrétaire qu'à mes demandes de présence  AU MOMENT DU DEMONTAGE .
L'expert s'est même chargé de m'annoncer lui-même que Suzuki ne prendrait pas en charge la dépense.Le garage Lafontaine n'a pas eu besoin de m'en informer ! C'est gentil de sa part , non ?
J'ajoute mais est-ce nécessaire que  JAMAIS je n'ai reçu un mot de regret, de compassion ni du garage Lafontaine ni  du service clients de la marque Suzuki.
</t>
  </si>
  <si>
    <t>10/09/2020</t>
  </si>
  <si>
    <t>hicham--c-129584</t>
  </si>
  <si>
    <t xml:space="preserve">Toutes les démarches étaient très simple, le prix est très intéressant je n’ai pas eut de mal à faire la transition entre mes deux véhicules et les conseillers sont toujours disponible pour un renseignement </t>
  </si>
  <si>
    <t>26/08/2021</t>
  </si>
  <si>
    <t>thierry-78684</t>
  </si>
  <si>
    <t>Le MICMAC de la CARAC
Je vais vous relater comment la CARAC traite un ancien combattant de 91 ans numéro d'adhérent 5464601 ,en l'occurrence mon père qui a passé sa vie en s'appuyant sur des valeurs exemplaires,principes et symboles de notre république.
Je ne veux pas faire pleurer dans les chaumières par ce témoignage mais simplement dénoncer le mépris de cette mutuelle envers ses adhérents et ainsi être un énième citoyen à me trouver confronté aux COUACS de la CARAC.
La CARAC dresse un portrait séduisant sur les pages de son site:
Mutuelle qui fait vivre au quotidien les valeurs du mutualismes telles que la loyauté l'engagement ou encore la proximité 
Ou bien sur son logo:
«CARAC VOTRE ÉPARGNE LE MÉRITE. 
et j'en passe.
A la lecture de ces arguments vous courrez adhérer à ces belles promesses.Ne vous y trompez pas! Ce n'est pas la réalité et vous n'aurez qu'une hâte c'est de fuir cette mutuelle pour ne plus avoir à passer des jours et des nuits dans l'angoisse de ne pas revoir votre argent .
Car c'est la que réside le problème,de plus lorsque vous êtes âgé avec une vie passée de labeurs et que vous pensez que votre capital est géré en toute confiance avec toutes les règles mises en place par la réglementation,vous vous trouvez démuni devant un gestionnaire comme la CARAC qui ne respecte pas ses textes et surtout sa parole donnée en laissant traîner les dossiers.
Mon père attend depuis 3 mois le versement d'un capital décès qui malheureusement après de nombreux appels téléphoniques ,des contacts de proximité,des dates précises de déblocage ,d'innombrables démarches auprès des conseillers restées également sans retour dans un mépris total.
Alors réfléchissez bien avant de vous engager avec cette mutuelle.
Pour ma part je vais continuer à me battre auprès de mon père afin qu'il retrouve les droits qu'il mérite.
Seul les réseaux sociaux permettent de dénoncer ces méthodes et ainsi de lutter contre les méfaits de cette institution puissante en permettant par la détermination du plus grand nombre et surtout des plus démunis d'informer sur la réalité de cette mutuelle.
N'hésitez pas à poster vos déboires.
A suivre.</t>
  </si>
  <si>
    <t>Carac</t>
  </si>
  <si>
    <t>bebekoualy-64629</t>
  </si>
  <si>
    <t>Le Joker est très intéressant pour les moins de 30 ans. La possibilité d'avoir l'assurance au 0 km en étant au tiers et très appréciée aussi. Le fait d'avoir un interlocuteur présent à tout moment par Internet et très intéressant.</t>
  </si>
  <si>
    <t>11/06/2019</t>
  </si>
  <si>
    <t>titi26299-76515</t>
  </si>
  <si>
    <t>Depuis deux mois j attends des remboursements et le service client (joignable au bout de 40 minutes) répond ça va arriver...... Sans compter qu'ils perdent les documents</t>
  </si>
  <si>
    <t>05/06/2019</t>
  </si>
  <si>
    <t>bd-65481</t>
  </si>
  <si>
    <t>Service client injoignable 
Accès site web non ergonomique 
Procédure expertise sinistre complexe</t>
  </si>
  <si>
    <t>13/07/2018</t>
  </si>
  <si>
    <t>mamydoudu77-102183</t>
  </si>
  <si>
    <t>Très mécontente de MERCER depuis quelques mois, soit on retire ma fille de ma carte MERCER, soit on me refuse ma prise en charge hospitalisation sans raison. Et impossible de joindre un responsable, ces derniers vivent sans responsable......</t>
  </si>
  <si>
    <t>philippe-m-110432</t>
  </si>
  <si>
    <t>Je suis satisfati du service et efficacité de création ou adaptation des contrats. Politique d'augmentation régulière des prix décevante malgré un meilleur bonus...  très dommageable pour les clients fidèles</t>
  </si>
  <si>
    <t>godfroy-p-115474</t>
  </si>
  <si>
    <t>Merci à l'olivier assurance !!
Devis rapide ,efficace, vous avez su répondre à nos questions, Merci encore ! Je recommande l'olivier assurance ! N'hésitez pas</t>
  </si>
  <si>
    <t>31/05/2021</t>
  </si>
  <si>
    <t>leonce-a-126786</t>
  </si>
  <si>
    <t xml:space="preserve">Merci pour ce contrat facile à réaliser.. et à mettre en place.. en espérant que le remplissage des dossiers sera aussi simple.. le prix est attractif et intéressant </t>
  </si>
  <si>
    <t>jazz-80200</t>
  </si>
  <si>
    <t>Malveillance et refus de régler les prestations aprés une procédure longue;;;et fastidieuse</t>
  </si>
  <si>
    <t>18/10/2019</t>
  </si>
  <si>
    <t>henri-trane-f-131393</t>
  </si>
  <si>
    <t>Revoir les prix à la baisse, et j’espère que vous serez présent et Operationnel si le besoin se pose. Parce que quand il s’agit de convaincre les prospects de vous rejoindre vous êtes très reactifs</t>
  </si>
  <si>
    <t>05/09/2021</t>
  </si>
  <si>
    <t>sana-53112</t>
  </si>
  <si>
    <t xml:space="preserve">Chez la MACIF depuis une quinzaine d'année, je suis plutôt satisfait de leur service.... mais jamais eu d'accident responsable.
Gros point noir cette année =_x009b_ la grille tarifaire à changer fin décembre 2016. A priori tarifs plus attractifs, mais non répercuté sur les anciens contrats.... En clair n'hésitez pas à faire des simulations sur leur site. Perso entre 10 et 20% de gagné suivant la voiture assurée, avec une franchise plus basse.
Je trouve la façon de faire peu glorieuse, car la moindre des choses est d'être reconnaissant envers ses anciens clients.
Du coup même si je n'ai rien à reprocher à la Macif pour leurs services je risque tout de passer à la concurrence par principe.
</t>
  </si>
  <si>
    <t>09/03/2017</t>
  </si>
  <si>
    <t>abeille37-114107</t>
  </si>
  <si>
    <t>TOUT VA BIEN LES PRIX SONT RAISONNABLE , ET LA GARANTIE EST BIEN ..SINON CA CE PASSE ASSEZ BIEN POUR INSTANT , je recommande cet assureur . toujours a écoute .</t>
  </si>
  <si>
    <t>isa88-126646</t>
  </si>
  <si>
    <t xml:space="preserve">Conseiller très disponible pour vous convaincre de verser des fonds, aux abonnés absents pour se retracter
Des frais de dépôts non annoncés exorbitants 
Une demande de remboursement établie par mon conseiller mais qui n arrive jamais au siège
Un recommandé et de multiples appels pour enfin réussir à obtenir une promesse par mail de remboursement 
3 semaines que l on me dit que la lettre chèque est partie, et puis que non elle va partir , et puis que oui elle est partie... mais toujours rien dans ma boîte aux lettres
46 000 euros en jeu, je ne dors plus, cette situation me mine depuis des mois et bloque totalement mes recherches de logement 
Cette compagnie n est pas sérieuse 
</t>
  </si>
  <si>
    <t>pajejazz-58368</t>
  </si>
  <si>
    <t>bien que mes cotisations soient payées je ne suis pas assurée ? Complicite de la banque a qui je n'arrive pas a faire rendre raison</t>
  </si>
  <si>
    <t>25/10/2017</t>
  </si>
  <si>
    <t>ad91hm-64845</t>
  </si>
  <si>
    <t>Globalement le service est efficace je n'ai eut aucun problèmes de versement ou autre.</t>
  </si>
  <si>
    <t>18/06/2018</t>
  </si>
  <si>
    <t>deniche--122625</t>
  </si>
  <si>
    <t>Bonsoir
Suite à mon appel téléphonique je remercie Emeline pour les informations données sur mon contrat et la télétransmission de documents,  pour son accueil  et sa gentillesse</t>
  </si>
  <si>
    <t>adam-70526</t>
  </si>
  <si>
    <t xml:space="preserve">Très bon accueil et vous écoute attentivement , plusieurs années assurée aucun problème pour l instant équipe très sérieuse et disponible prend le tps de  vous expliquez et vous rassurer et toute les personnes que j' ai eu au téléphone sont  très aimable bon tarif pour les scooter   j' attend de voir la suite de mon sinistre vol si tout se passe bien  mais pour l instant rien a dire 
Je ne note pas souvent mais qd les gens sont bien il faut le dire et on dis trop les mauvaises choses que les bonnes
Je recommande </t>
  </si>
  <si>
    <t>23/01/2019</t>
  </si>
  <si>
    <t>pouly-95667</t>
  </si>
  <si>
    <t>A fuir ... Décevant au possible. J'ai essayé de prendre un contrat auto avec direct assurance mais avant de signer mon contrat j'ai voulu vérifier certaines lignes . Les franchises sont incompréhensiblement haute ! En attendant ils ont commencé par me prélever... !!! Étant donné que j'étais inscrit sans mon accord j'ai voulu me rétracter.... Ils ne veulent pas utiliser les 14 jours comme le dit la loi !!! Suite à cela je les ais a nouveau recontacter . A ce moment là ils me font savoir que mon contrat sera résilié au 21/07/20 car celui-ci ne sera pas signé... D'accord sauf que le 22/07 a 15h je reçois un mail me disant que j'avais un mois de plus avant résiliation. Sans aucun accord de ma part !!! J'avais eu le temps de prendre une autre assurance le 22/07 pour être couvert ... 
Ils font ce qu'ils veulent. Attention à vous .
A fuir ...</t>
  </si>
  <si>
    <t>hubert-f-124832</t>
  </si>
  <si>
    <t>Plutot tres satisfait des prix et du service client qui m'a tres bien renseigner lors de mes changement d'assurance, je recommande l'ollivier assurance</t>
  </si>
  <si>
    <t>gonzalez-r-117945</t>
  </si>
  <si>
    <t>Votre site internet a de gros problèmes y compris en changeant de moteur de recherche. J'ai eu des prix différents sans rien changer et sans même recharger la page, le site mélange toute les informations que l'on donne. Sur mon contrat le nom et prénom sont changés par l'adresse mail et je ne peux pas le corriger. Fort heureusement le contrat reste à mon nom. Vous restez cependant les moins chers et j'ai eu de bons retours vous concernant mais ces problèmes informatiques sont inadmissibles et j'espère ne plus en avoir.</t>
  </si>
  <si>
    <t>nithya-b-130801</t>
  </si>
  <si>
    <t>Tout est niquel, par contre j'aurais aimé connaitre ce que comprend la cotisation que nous réglons au départ. Que ce soit plus transparent vu que la somme est conséquente.</t>
  </si>
  <si>
    <t>youcef-s-131345</t>
  </si>
  <si>
    <t xml:space="preserve">Je suis satisfait au niveau prix  qualité 
Pratique simple et rapide 
Bravo direct assurance 
Je vous recommande l'assurance direct assurance 
Joignable au téléphone  tout est clair </t>
  </si>
  <si>
    <t>noresset-62542</t>
  </si>
  <si>
    <t>Assurance à fuir rapidement. Le bonus malus n'est en aucun cas pris en compte chez eux ma cotisation a changer seulement de 0.21 centime si je reste avec un paiement annuel alors que je n’ai aucun sinistre donc 5% de bonus acquis cette année. 
Pour le coup, ma cotisation a pris 50 euro de plus vu que je suis passé à un paiement mensuel.
Jattends la fin du mois afin de pouvoir partir dans une autre assurance qui m'a proposer 70 euro moins chère a l’année ce qui me fera un plein de voiture.
Vive la fidélité est les bons conducteurs qui paye la même chose.
On comprend mieux pourquoi il sont aussi mal noté est que pas mal de personne préfère partir dans une vraie assurance.
je vais résilier mon contrat est ensuite celui de ma femme.</t>
  </si>
  <si>
    <t>25/03/2019</t>
  </si>
  <si>
    <t>wil-130443</t>
  </si>
  <si>
    <t xml:space="preserve">Assurance qui ne sert à rien puisqu’elle ne rembourse rien !!! A fuir absolument.. ils prennent votre argent sans rien en retour,toujours une bonne excuse pour ne pas rembourser… </t>
  </si>
  <si>
    <t>petit-m-116077</t>
  </si>
  <si>
    <t>je suis satisfait du service en ligne , les prix me conviennent , les démarches sont très simple et pratique je suis content de m'assurer chez L'olivier ASSURANCE.</t>
  </si>
  <si>
    <t>pj74-60666</t>
  </si>
  <si>
    <t xml:space="preserve">Assurance a fuir en cas de vol de voiture </t>
  </si>
  <si>
    <t>11/03/2018</t>
  </si>
  <si>
    <t>julio-113655</t>
  </si>
  <si>
    <t>nul nul nul .pour accepter votre argent ils sont fort mais pour les remboursements un vrai cinema cette mutuelle santé .NEXT .allez voir ailleurs et vite</t>
  </si>
  <si>
    <t>14/05/2021</t>
  </si>
  <si>
    <t>melimelo-131871</t>
  </si>
  <si>
    <t>tres bon contact avec Mon intelocutrice mariama 
 elle a bien repondu a mes questions poser 
et bien trouver la  solution a mon prebleme 
personne a  l ecoute  .</t>
  </si>
  <si>
    <t>chantal-107828</t>
  </si>
  <si>
    <t>je suis très satisfaite de votre conseillé SALIM, qui a répondu favorablement à ma demande et a été très courtois, , j'ai obtenu grace à lui, à tout ce que je demandas comme explication en ce qui concerne ma nouvelle adhésion Néoliane santé</t>
  </si>
  <si>
    <t>philippe-r-121905</t>
  </si>
  <si>
    <t xml:space="preserve">Très bonne expérience sur le parcours de souscription d’assurance moto en ligne permettant d’obtenir rapidement toutes les informations nécessaires pour activer le contrat </t>
  </si>
  <si>
    <t>30/06/2021</t>
  </si>
  <si>
    <t>juliepetot-70647</t>
  </si>
  <si>
    <t xml:space="preserve">Pour moi la macif n’est pas une bonne Assurance voiture.
Quand on est client depuis 9 ans sans avoir aucun accident en tout risque.
On peut estimer que l’assureur est plutôt content de vous avoir.
Pourtant j’ai eu un accrochage sur un parking et l’assurance n’a rien voulu prendre en charge alors que je suis tout risque. Aucun suivi sinistre, personne au téléphone très peut agréable et consiliante. 
Vraiment on a l’impression d’être abandonné par son assureur au moindre problème. </t>
  </si>
  <si>
    <t>27/01/2019</t>
  </si>
  <si>
    <t>fredowill-85787</t>
  </si>
  <si>
    <t xml:space="preserve">Le service client laisse à désirer, après avoir reçu un courrier avec des frais supplémentaires non seulement prévu, le service client après 25 minutes d'attente l'annonce qu'il n'a pas le temps de me répondre car ma demande n'est pas prioritaire... De qui se moque t-on ??? </t>
  </si>
  <si>
    <t>11/01/2020</t>
  </si>
  <si>
    <t>mherry-76970</t>
  </si>
  <si>
    <t xml:space="preserve">J'étais locataire d'un logement avec l'option Protection Juridique dans mon contrat Assurance Habitation. J'ai quitté ce logement et ait rencontré un problème avec le propriétaire qui ne m'a pas restitué le dépôt de garantie sans raison. Lorsque j ai contacté la protection juridique Matmut on m'a dit qu'ils ne prenaient pas en compte mon dossier car j avais plus l'assurance avec Protection Juridique à la date du conflit avec le propriétaire. Donc en conclusion, j'ai payé l'option Protection Juridique pendant toute la durée où j ai loué mon logement et je ne peux pas en bénéficier alors que mon dossier concerne justement ce logement </t>
  </si>
  <si>
    <t>20/06/2019</t>
  </si>
  <si>
    <t>krim84-64897</t>
  </si>
  <si>
    <t>en 3 année d'assurances aucun geste commercial ni proposition ! malgré des prix plus intéressant chez certains concurrent</t>
  </si>
  <si>
    <t>19/06/2018</t>
  </si>
  <si>
    <t>hakim-56640</t>
  </si>
  <si>
    <t xml:space="preserve">Attention direct assurance offre dès prestation correcte sur le papier mais en réalité, il n'en est rien. J'ai eu un accident nn responsable fin juillet. Je suis assuré TOUT risque donc il doive réparer mon véhicule dans l'immédiat. Cependant, il m'on proposer Dd commencer les réparations 2 moiS apres car leurs garage partenaire sont tous indisponible. TOUT cela sans pret de véhicule puisque que cela est possible qu'une fois les réparation entamé. Bonne chance pour ceux qui sont encore chez cette assureur </t>
  </si>
  <si>
    <t>12/08/2017</t>
  </si>
  <si>
    <t>jean-yves-e-107126</t>
  </si>
  <si>
    <t xml:space="preserve">Je suis chez vous depuis plus de 25 ans. A u début, les taris étaient largement inférieurs aux autres assurances. Maintenant c'est l'inverse même ma banque est moins cher que vous.
Sinon au téléphone pour les problèmes et renseignements c'est super.
</t>
  </si>
  <si>
    <t>gh-97773</t>
  </si>
  <si>
    <t>Personnel réactif et a l'ecoute qui ne pousse pas à la consommation . Étude personnalisée et attentive des dossiers. Remboursements rapides.
En cas de demande de contact il y a toujours quelqu'un qui vous répond ou vous rappelle dans les plus brefs délais.</t>
  </si>
  <si>
    <t>ded-64-59463</t>
  </si>
  <si>
    <t xml:space="preserve">augmentation des tarifs 2018 de 5% alors que je suis a 50% de bonus et sans sinistre, et aucune négociation possible il y a eu trop d'intemperie en 2017....... </t>
  </si>
  <si>
    <t>19/12/2017</t>
  </si>
  <si>
    <t>mariloumimi-90001</t>
  </si>
  <si>
    <t xml:space="preserve">Plus d'un an que j'attends d'être payée pour un arrêt hors mission datant de Janvier 2019 !!!! 
Intolérable, devant toucher plus de 1000 euros, seulement 19 euros et 10 cts m'ont été versés. 
A deux reprises on me signale que mon dossier a été "oublié" 
Il semblerait que la dernière option soit le recours à la justice, j'entame donc les démarches en ce sens </t>
  </si>
  <si>
    <t>16/02/2021</t>
  </si>
  <si>
    <t>andrew-d-107531</t>
  </si>
  <si>
    <t>Je suis très satisfait du serviceJe suis très satisfait du service, du prix et de la facilité de traiter avec vous.Je suis très satisfait du service, du prix et de la facilité de traiter avec vous. Je te recommande à tous mes amis.</t>
  </si>
  <si>
    <t>marc-110696</t>
  </si>
  <si>
    <t>Franchement merci Pacifica, nous avons été cambriolé le lundi 12h à 15 la serrure été remplacé et le jeudi on avais le remboursement  du surplus payé au serrurier (396€). 
Donc Assurance au top et super réactif ??????</t>
  </si>
  <si>
    <t>16/04/2021</t>
  </si>
  <si>
    <t>vetier-a-109687</t>
  </si>
  <si>
    <t xml:space="preserve">Je suis satisfaite du service, mais  j'avais juste une question complémentaire, pouvez vous me rappeler ? merci de votre compréhension , bonne fin de journée </t>
  </si>
  <si>
    <t>ambre2222-66978</t>
  </si>
  <si>
    <t xml:space="preserve">Suite à ma résiliation en MARS - j'attends toujours le remboursement de mon trop percu de presque 300euros. Je leur avait alors demandé de verser cette somme sur nouveau compte (autre banque) et avait fourni mon RIB.
Ils ont fait le virement sur mon ANCIEN compte fermé 3 FOIS. Ensuite entre tous mes appels (environs une quinzaine) on me balade puis on me dit que ça a était envoyé par chèque à une ancienne adresse (nouvelle adresse étant notifié dans mon courrier de résiliation). On m'a raccroché au nez on m'a balader via le service client.
Nous sommes le 20.09.2018, je n'ai toujours rien. 
J'envoie ce jour une mise en demeure. Je veux bien être compréhensive car oui il y a toujours des délais des retards de traitements, mais là on me prend vraiment pour une imbécile.
JE DECONSEILLE FORTEMENT CETTE ASSURANCE QUAND VOUS N ETES PLUS CLIENT ET QUE VOUS AVEZ QUELQUE CHOSE A REGLER AVEC EUX VOUS N ETES PLUS RIEN.
</t>
  </si>
  <si>
    <t>20/09/2018</t>
  </si>
  <si>
    <t>kelenborn-77172</t>
  </si>
  <si>
    <t>Est ce une plaisanterie? Quand vous cherchez à changer de mutuelle, tous les courtiers qui vous contactent sont d'accord sur un point;Santiane c'est le comble de l'horreur. J'ai eu toutes les peines du monde à m'en débarrasser car ils vont jusqu'à nier avoir reçu une lettre recommandée.
Il conviendrait de s'interroger sur la réalité des avis qui sont publiés. Leur caractère laconique sème le doute: laisse-t-on un avis pour dire "excellente mutuelle" sauf si c'est la mutuelle qui...
.tient la plume? En tout cas, en totale contradiction avec ce que l'on entend de la part des professionnels</t>
  </si>
  <si>
    <t>27/06/2019</t>
  </si>
  <si>
    <t>laura11-88958</t>
  </si>
  <si>
    <t>Compagnie sérieuse avec de très bonnes garanties.</t>
  </si>
  <si>
    <t>17/04/2020</t>
  </si>
  <si>
    <t>nico-94376</t>
  </si>
  <si>
    <t>Service client injoignable pendant plusieurs jours. Fermeture de lignes téléphonique inexpliquées. Incroyable!</t>
  </si>
  <si>
    <t>17/07/2020</t>
  </si>
  <si>
    <t>kazo-96078</t>
  </si>
  <si>
    <t>suite a  un accident  je suis en invalidité  en 2019 au bout de 3 ans de combat avec generali pour avoir une expertise  avec un expert  impartial et  non en cheville avec eux . suite a mon invalidité  le montant  n est pas conforme aux conditions  particulières et générales ... aucune revalorisation  de ma rente signe en 2007  comme prévu dans les conditions soit une perte de 25 %   ...de plus ils me prélèvent des  prélèvements sociaux alors que j ai un revenu  fiscal qui donne droit a exonération. de plus ils continuent  a me prélever mes cotisations alors que je ne plus prétendre  a mes garanties . enfin  suite a l expertise mon taux fonctionnel  ne tient pas compte du barème invalidité  selon mes pathologies ... des gens incompétents  qui ne veulent pas reconnaître leur erreur et régler le litige ..c est un scandale de ne pas répondre a ses clients et de  rectifier son erreur .</t>
  </si>
  <si>
    <t>08/08/2020</t>
  </si>
  <si>
    <t>gpourrot-102515</t>
  </si>
  <si>
    <t>plutôt bon dans l'ensemble, sauf quand il s'agit d'avoir un contact.  Lorsque je veux accéder à mon attestation de tiers payant pour pouvoir la télécharger, il y a écrit "aucune attestation à afficher". Sur l'appli mobile rien ne s'affiche également. Et pareil lorsque je cliques sur les liens envoyer par le serveur vocal pour générer l'attestation : il y'a bien écrit mon attestation mais rien ne s'affiche.
La mutuelle a bien été réglé et je travaille toujours dans la même structure. Je ne comprends pas et souhaiterai avoir au plus vite des réponses et surtout avoir accès à mon attestation de tiers payant introuvable sur le site Génération.</t>
  </si>
  <si>
    <t>assure-96191</t>
  </si>
  <si>
    <t>j'ai eu un contrat d'habitation chez MAAF depuis quelques ans celui qui vient d'être résilié au début mois de mars 2019. Après avoir passé un an et demi, je vient de recevoir un mail de leur part concernant cotisation à payer. Ils m'ont donné un facteur en disant qu'on est en attente de votre lettre de résiliation, tandis que j'avais déjà contacté avec leur service et ils m'ont envoyé accusé de réception. De tout façon, ils m'ont imposé une cotisation à payer pour la période où ce logement n'a pas été à mon nom.</t>
  </si>
  <si>
    <t>11/08/2020</t>
  </si>
  <si>
    <t>rey-n-138672</t>
  </si>
  <si>
    <t>Super, prix attractif. 2eme fois que je viens ici. Bien pratique les -10% pour le second contract. Dommage de pas cumuler le parrainage de 50€ mais bon.</t>
  </si>
  <si>
    <t>31/10/2021</t>
  </si>
  <si>
    <t>frederique-l-116391</t>
  </si>
  <si>
    <t>je suis satisfaite du service, c'est une bonne assurance
les interlocuteurs sont très agréables et disponibles
Je recommande Direct Assurance à mes amis</t>
  </si>
  <si>
    <t>gwestphal-49363</t>
  </si>
  <si>
    <t>Bonne relation jusqu'au sinistre... Et là, on vous résilie l'assurance auto même avec 39% de bonus et après 2 ans d'assurance chez eux ainsi que 3 autres contrats d'assurance... Ca se dit mutualiste mais fonctionne  comme une assurance privée.</t>
  </si>
  <si>
    <t>19/11/2016</t>
  </si>
  <si>
    <t>jmm-56903</t>
  </si>
  <si>
    <t xml:space="preserve"> J'ai assuré tous risques la Polo VW de ma fille en tant que jeune conducteur en 2014, elle a été victime d'un accident responsable en 2016 (chaussée verglassée), elle a vu son malus augmenter à 1,2, logique. Suite à un appel téléphonique de l'agence,   j'ai appris être rayé de la compagnie d'assurance et que mon contrat ne sera pas reconduit en 2018.
Après 30 ans de fidélité et de cotisations à la MAAF, j'ai eu du mal à accepter cette situation. J'ai donc résilié tous les contrats et assurance vie que j'avais et je me suis assuré ailleurs.</t>
  </si>
  <si>
    <t>27/08/2017</t>
  </si>
  <si>
    <t>jibeex-54887</t>
  </si>
  <si>
    <t>Il m'a envoyez un avis pour augmenter le prix le 19/04/2017. Je n'ai pas revoir le avis par lettre normal ou lettre recommender. Je suis pas d'accord à ce changement. Mais il est pris en compte si je réponds pas dans 20 jours. Il est 23/05/2017 aujourd'hui, mon échéance est 19/07/2017, je peux plus résilier même je suis pas d'accord avec le nouveau prix car il est obligatoire de résilier 2 mois avant le date d'échéance.</t>
  </si>
  <si>
    <t>23/05/2017</t>
  </si>
  <si>
    <t>encolere-50733</t>
  </si>
  <si>
    <t xml:space="preserve">attention à cet assureur qui pratique une signature électronique sans s'assurer qui est celui qui signe, surtout passant des accords avec un cabinet de courtage comme santhel à Nice </t>
  </si>
  <si>
    <t>28/12/2016</t>
  </si>
  <si>
    <t>ayari-o-115567</t>
  </si>
  <si>
    <t>Devis et Souscription assez facile.
Pour autant pour un vieux vehicule, citadine de marque française, le montant de la prime d'assurance reste assez chèr par rappor au prix de la voiture.</t>
  </si>
  <si>
    <t>liladu94-70125</t>
  </si>
  <si>
    <t>assurée depuis 1980 pour l'habitation et les véhicules jusqu'en 2008 ou suite à un courrier la macif m'apprend que mon conjoint avait résilié le contrat "comme il en avait le droit " n'ayant pas les moyens de m'assurer je n'ai pas donnée suite à ce courrier mais je n'ai jamais reçue de relevé d'information mentionnant le taux de mon bonus qui était de 0,50 en 2012 je suis allée les voir pour une demande d'assurance auto il m'ont dit que je n'avait plus de bonus car j'ai eu une interruption d'assurance de plus de deux ans et que je devais payer la cotisation comme un conducteur débutant suite à cela l'assureur ne m'ayant pas donné de relevé d'information il m'ont dit qu'au bout de deux ans il ne restait aucune trace de mon bonus donc je suis parti et repartis sans aucun bonus à ce jour j'ai un bonus de 0,72 alors que j'étais à 0,50 en 2008 après 30 ans de d'assurances à la Macif</t>
  </si>
  <si>
    <t>soazig-g-123258</t>
  </si>
  <si>
    <t>Je suis satisfaite du service!
Les prix sont correctes!
facilité de compréhension et de paiement en ligne et signature en électronique très pratique !</t>
  </si>
  <si>
    <t>caroline-m-112812</t>
  </si>
  <si>
    <t xml:space="preserve">Je suit satisfaite pour les tarifs.
je suis déçue de la façon dont ils décident la résiliation sans aucune raison du jour au lendemain et surtout sans donner aucun motif
</t>
  </si>
  <si>
    <t>marco-82003</t>
  </si>
  <si>
    <t xml:space="preserve"> assurer ma voiture depuis de nombreuses années je viens de me faire virer de l'assurance parce que j'ai fait 3D bris de glace en 3 ans c'est honteux je suis très déçu il voulait me faire contracter une autre assurance habitation avec marchandage vraiment très déçu</t>
  </si>
  <si>
    <t>17/12/2019</t>
  </si>
  <si>
    <t>mathieu-g-126229</t>
  </si>
  <si>
    <t xml:space="preserve">Je sui satisfait de cette assurance merci pour vos tarifs incroyablement bien merci pour tous je me sens rassuré et je vais pouvoir rouler en toute sérénités </t>
  </si>
  <si>
    <t>03/08/2021</t>
  </si>
  <si>
    <t>f-jouanneau-90044</t>
  </si>
  <si>
    <t>La présentation des garanties des conditions particulières "tous risques ECO" est mensongère (le bris de glace ne couvre que la pare-brise, le vol que le vol de la totalité du véhicule...), la gestion des sinistres est une honte (ils vous disent que c'est pris en charge alors que ça ne l'est pas).</t>
  </si>
  <si>
    <t>29/05/2020</t>
  </si>
  <si>
    <t>guerin-g-110515</t>
  </si>
  <si>
    <t xml:space="preserve">Je suis satisfaite du service et des prix qui me sont proposés, de plus j'ai pu profité d'un avantage grâce au parrainage. Le service téléphonique est impeccable. </t>
  </si>
  <si>
    <t>vivie70-27677</t>
  </si>
  <si>
    <t xml:space="preserve">Ils me proposent bien de m assurer sur mon prêt mais avec une surprime sur 7ans et non sur 22 ans, durée de mon prêt. Ce qui ferait une cotisation d environ 500 euro d assurance c est a dire autant que le montant de mon prêt. Puis au bout de 7 ans ça passerait à 48 euro. Autant dire que c est se moquer de moi. Qui peut payer 500 euro d assurance. Donc pas de projet immobilier quand on a un problème de santé par contre  je suis en assez bonne santé pour payer un loyer et les factures qui vont avec.
</t>
  </si>
  <si>
    <t>Afi Esca</t>
  </si>
  <si>
    <t>daniel-s-134506</t>
  </si>
  <si>
    <t>je suis content des tarifs, j'ai jamais eut de soucis avec mon contrat en même temps jamais de sinistre jusqu'au mois de juillet 2021, j'attends de voir l'efficacité et rapidité par rapport à mon sinistre.</t>
  </si>
  <si>
    <t>alexandre-b-131119</t>
  </si>
  <si>
    <t>Globalement je suis satisfait,la ou je ne le suis pas c'est surtout sur le prix du scooter j'aimerais pouvoir arreter son assurance lorsque qu'il est dans le garage pendant plusieurs mois en gros de novembre à avril .
et Ensuite mois je roule tres peu ne peut on pas ajuster l'assurance au KM ?</t>
  </si>
  <si>
    <t>pas62-97588</t>
  </si>
  <si>
    <t xml:space="preserve">Voilà ça fait depuis le 2 avril 2020 que je suis en arrêt maladie à ce jour j'ai téléphoné aujourd'hui le 18 septembre 2020 pour mon complément salaire que j attend à ce jour il me dise le dossier il long et pourtant les décomptes de la sécurité sociale des indemnités journalières ,et même le dossier il long. Reçu et en plus j ai envoyé aux moins 6 email avec une réclamation aucune réponse je suis très déçue de leur comportement </t>
  </si>
  <si>
    <t>19/09/2020</t>
  </si>
  <si>
    <t>patrice-g-110453</t>
  </si>
  <si>
    <t xml:space="preserve">Je suis satisfait de votre service le tarif et les conditions me conviennent .
Je trouve très bien votre page sur le site, la facilité pour remplir les formulaires.
</t>
  </si>
  <si>
    <t>filipe--s-128936</t>
  </si>
  <si>
    <t xml:space="preserve">Je suis ravi et satisfait
Merci beaucoup pour votre rapidité
Tout es bon, pour mon inscription et le reste
Encore merci de votre réaction et la rapidité 
</t>
  </si>
  <si>
    <t>21/08/2021</t>
  </si>
  <si>
    <t>kacem-a-116157</t>
  </si>
  <si>
    <t xml:space="preserve">je suis satisfait du service et les prix sont raisonnable conseiller à l'écoute et bonne explication de mes droits d'assurance simple et efficace en ligne </t>
  </si>
  <si>
    <t>06/06/2021</t>
  </si>
  <si>
    <t>pat-57711</t>
  </si>
  <si>
    <t>la maaf ne respecte pas les devis et vous force à prendre des options, ils sont moins chers sur les comparateurs de prix, et lorsqu'on veut souscrire, ils vous imposent des prix plus onéreux.ils m'ont fait perdre mon temps</t>
  </si>
  <si>
    <t>04/10/2017</t>
  </si>
  <si>
    <t>sad-62614</t>
  </si>
  <si>
    <t xml:space="preserve">Bonjour a tous . (Assure tout risque + auto et habitation)
Au moi de septembre , le chêne situé a cote du parking  
attribue a ma location dans le domaine du propriétaire largue  en mon absence ses glands sur mon véhicule . 
Constatant les dégâts (capot , pavillon et malle) et
après s être renseigne auprès de son assurance sur les démarches a effectues et nous affirmant qu' il prendra bien en charge la totalité  les frais occasionnes de ce sinistre ,
nous établissons donc un constat avec mon propriétaire .
Or direct assurance refuse de demander recours a                l assurance adverse  prétextant que mon propriétaire ne peut être tenu responsable juridiquement et m impose de régler la franchise attribuée a ce genre de sinistre .
Malgré mes  très bons rapports avec direct assurance        j envisage très sérieusement d entamer des démarches auprès d un éventuel nouvel assureur .  
</t>
  </si>
  <si>
    <t>smgrod-94838</t>
  </si>
  <si>
    <t>Avoir la carte de tiers payant partout grâce à l application c est top. Visualiser les remboursements et la géo-localisation pour le toubib c est cool. Délai de remboursement raisonnable. Une bonne mutuelle</t>
  </si>
  <si>
    <t>lola-joy-100913</t>
  </si>
  <si>
    <t>Bonjours, J'ai monté mon dossier depuis le mois Aout 2020 et toujours aucunes avance dans mon dossier.....
Il manque toujours des papiers.
Tous est excuses pour retarder et laisser les personnes vraiment MALADE dans la difficulté.
Prélever les échéances ça va mais verser les indemnisations est plus difficile.
Franchement déçue!!!!</t>
  </si>
  <si>
    <t>03/12/2020</t>
  </si>
  <si>
    <t>lolo38-106396</t>
  </si>
  <si>
    <t xml:space="preserve">Bof mutuelle souscrite par mon employeur j'ai pris l'option maximal pour mes dents car j'ai de gros problèmes dentaires sur un devis de 4770 euros il me reste 1400 euros à payé donc plutôt bien pris en charge même si je sais qu'il y a certaines mutuelles qui remboursent un peut mieux cependant comme la plus part des gens de gros problèmes avec le service client ma société ma fais une mutation je vous raconte pas les dégâts que ça a mis je me suis retrouvé avec 2 contrats chez eux un avec mes options l'autre non j'ai voulu résilier le premier contrat et basculer mes options sur le nouveau ça a pris 10jours et autant vous dirent que je les est pas lâché tout les jours téléphone sur plusieurs sav mails ect ect j'ai fini par les menacé en leurs expliquant qu'ils avaient jusqu'au lendemain pour régler mon problème avant que je débarque dans leurs locaux résultats 30min après ce mail tout était réglé c'est quand même aberrant de devoir en arriver là pour ce qui est des remboursements je n'est jamais eu de soucis ils remboursent correctement dans les temps et je peux tout suivre sur le site donc hors mis le sav qui est clairement une catastrophe pour le reste je suis plutôt satisfaite </t>
  </si>
  <si>
    <t>johan-49292</t>
  </si>
  <si>
    <t>j'ai rejoint Néoliane en début d'année suite à un besoin de garanties suplémentaires et ma formule me permet de bénéficier d'un capital optique conséquent et ma vue m'oblige à y mettre le prix. Je n'ai de consommations importantes habituelement mais quand j'en ai besoin cela est vite couteux et j'ai bien été remboursé.</t>
  </si>
  <si>
    <t>17/11/2016</t>
  </si>
  <si>
    <t>christophe-d-132428</t>
  </si>
  <si>
    <t>Simple et rapide, 
devis moitié moins cher que certaines assurances.
Souscription faite pour l'assurance du scooter de ma fille.
Je regarderai du coup pour ma moto.</t>
  </si>
  <si>
    <t>kjh-69230</t>
  </si>
  <si>
    <t>Interlocuteur au téléphone pas très objectif pour les infos de resiliation. Renseignements pas du tout clairs voire erronés.
Prix intéressant seulement la 1ère année compte tenu de promo ou prix d appel mais beaucoup plus cher ensuite.</t>
  </si>
  <si>
    <t>07/12/2018</t>
  </si>
  <si>
    <t>nash-55748</t>
  </si>
  <si>
    <t xml:space="preserve">  envoie de courier plus   recommande rien n y fait accueille téléphonique nul  jamais au courant de rien il font les sourds depuis plusieur mois  situation catastrophique  meme les gens de cetelem avoue qu il font tous pour ne pas paye  mon mari invalide grace ac est gens malhonnête a fini par faire une tentative pour en finir les gens de cetelem nous  soutienne  et on meme essaye de communique avec c est personne meme eu non pas de réponse une volonté de cardif de ne pas payer </t>
  </si>
  <si>
    <t>gabriel--a-134657</t>
  </si>
  <si>
    <t xml:space="preserve">Le prix me convient, les garantis proposées satisfaisant.
Un appel pour confirmer le contrat serai super. Par contre l'avis à cent cinquante caractere minimum un peu lourd à mon avis </t>
  </si>
  <si>
    <t>editorial-79403</t>
  </si>
  <si>
    <t>Bas prix oui mais</t>
  </si>
  <si>
    <t>pilote-136722</t>
  </si>
  <si>
    <t xml:space="preserve">Sidéré !!! Suite à un événement  climatique d’août, je reçois un courrier de la MAAF hier le 8 m’éjectant de mon assurance habitation TEMPO formule intégrale pour cause "trop de sinistres”. 
J’ai mes 2 voitures assurées chez eux depuis plus 30 ans bonus à vie, jamais eu de sinistres, 1 prévoyance tranquillité famille garantie 3 ET pour avoir eu un sinistre bris de glace en juin 2021 et un dégât des eaux en septembre 2020, voilà les seuls dégâts recensés à ce jour, et là où j’en suis maintenant !! 
J’ai été très bien conseillé pour ses diverses garanties, pourquoi les souscrire si derrière le risque potentiel est d’être éjecté ?!
Sinon paradoxalement, très bonne écoute lors de ces déclarations de sinistres, réponses promptes et efficaces, rien à leur reprocher quant aux remboursements </t>
  </si>
  <si>
    <t>09/10/2021</t>
  </si>
  <si>
    <t>haikel-91924</t>
  </si>
  <si>
    <t xml:space="preserve">Je suis satisfait du service le tarif est aussi bon donc pourquoi pas souscrire à l’assurance vie les prix du devis je suis vraiment content merci pour votre professionnalisme </t>
  </si>
  <si>
    <t>stevan-92424</t>
  </si>
  <si>
    <t xml:space="preserve">Pratique et pratique... 
Assurance en ligne avec une application, pratique ainsi que des codes promo intéressant 
serait il possible de descendre encore le prix de mon assurance </t>
  </si>
  <si>
    <t>27/06/2020</t>
  </si>
  <si>
    <t>boyer-v-115384</t>
  </si>
  <si>
    <t>Très bon service rapide et clair. Réponse téléphonique immédiate, tarifs très corrects, site internet clair et efficace. Rien à ajouter premier contrat enregistré et traité rapidement, amabilité de l'interlocuteur, voit le service en cas de sinistre désormais.</t>
  </si>
  <si>
    <t>jean-marc-m-129476</t>
  </si>
  <si>
    <t>Je trouve le tarif un peu cher mais vous êtes le moins cher donc. maintenant j'espère être satisfait de votre assurance.
Facile d'utilisation pour souscription d'un contrat.</t>
  </si>
  <si>
    <t>roro49-51480</t>
  </si>
  <si>
    <t>On me cherche des poux dans la tête, j'ai résilié dans les règles par LRAR et ils refusent ma signature numérique,44 jours après j'attends toujours mon certificat de radiation ainsi que le retrait de la télétransmission à la SS, du coup j'attends pour déposer les ordonnances de mon épouse, c'est une rétention abusive qui met en péril la santé des gens : fuyez !!!</t>
  </si>
  <si>
    <t>tommy-12345-91835</t>
  </si>
  <si>
    <t>Satisfait du site , a voir maintenant avec le devis . 
J’attend de tout vérifier mais ça a l’air pas mal .
Si c’est bien il y a de fortes chances que je souscrive</t>
  </si>
  <si>
    <t>22/06/2020</t>
  </si>
  <si>
    <t>patrick-l-117849</t>
  </si>
  <si>
    <t xml:space="preserve">Aurais  aimé  pouvoir vous joindre au téléphone 
Le tarif  me convient 
Et il serait  bon que je soit contacté  car j ai un autre contrat  assurance  chez vous  assurance  bateau </t>
  </si>
  <si>
    <t>22/06/2021</t>
  </si>
  <si>
    <t>gg82-68301</t>
  </si>
  <si>
    <t>Cet compagnie d'assurances et nul,personnes répondant aux téléphones incompétentes.</t>
  </si>
  <si>
    <t>03/11/2018</t>
  </si>
  <si>
    <t>kenny-l-127013</t>
  </si>
  <si>
    <t>Je suis très satisfait, le site est fluide et rapide . La souscription est rapide , facile de prise en main. Tout est bien expliquer et détailler ……..</t>
  </si>
  <si>
    <t>07/08/2021</t>
  </si>
  <si>
    <t>ab-67365</t>
  </si>
  <si>
    <t>Assurance à fuir !!!
Accident de voiture depuis le 1/09/2018 , à ce jour l'assurance refuse le remboursement , aucune réponse à toutes mes demande un silence , gestionnaire du dossier de mauvaise fois qui ne répond jamais ni au mail ni au courrier.
Un scandale .</t>
  </si>
  <si>
    <t>02/07/2019</t>
  </si>
  <si>
    <t>gene-60215</t>
  </si>
  <si>
    <t>à la date du 28/02/22017,j'ai signè une mutuelle santè initiale+ chez neoliane santè,ma cotisation mensuelle en janvier 2018,ètait de 102,64euros,je viens de recevoir un mail de leur part,me disant suite à une modification de mon contrat de ma part,ma cotisation sera de 120,95euros,modification non demandè.et je n'ai toujours pas reçue ma carte de tiers payant,pour 2018.les joindre au telephone c'est impossible.je commence à croire que je me suis fait bernè.et je regrette d'avoir signè.</t>
  </si>
  <si>
    <t>taha-133129</t>
  </si>
  <si>
    <t>Ma voiture en panne.
Impossible d'avoir l'assistance.
C'est ABSOLUMENT NUL
Je dois rentrer chez sans que mon problème soit résolu.
...................</t>
  </si>
  <si>
    <t>gilles-b-137630</t>
  </si>
  <si>
    <t xml:space="preserve">site facile de compréhension et d'utilisation, consultation  rapide  avec differents tarifs explicites tarifx correctes,  souscription en ligne immédiate . </t>
  </si>
  <si>
    <t>17/10/2021</t>
  </si>
  <si>
    <t>claude-l-113275</t>
  </si>
  <si>
    <t>un peu cher, je ne me sert pas beaucoup du véhicule donc pas beaucoup de kilomètres,
c'est pour cela que je trouve le prix cher
un peu cher, je ne me sert pas beaucoup du véhicule donc pas beaucoup de kilomètres,
c'est pour cela que je trouve le prix cher</t>
  </si>
  <si>
    <t>nicolas-98556</t>
  </si>
  <si>
    <t>suite a un litige avec un courtier mal intentionné, je suis entré en relation avec une femme ( Houria ) qui, elle a pu m'aider dans ma démarche de résiliation, très sympathique et gentille elle ma accompagner dans la démarche a suivre, dans cet avis je ne note pas l'assurance ni ce foutu courtier, mais Houria qui mérite méme une évolution rapide car elle prend le temps pour ces interlocuteurs. je lui met donc 5 étoiles rien que pour elle.</t>
  </si>
  <si>
    <t>09/10/2020</t>
  </si>
  <si>
    <t>jeremie-58892</t>
  </si>
  <si>
    <t>Simplement du vol , documents envoyés avant la date butoir d'un mois mais jamais reçu ma carte verte ... Contrat annulé car mon justificatif d'assurance ne remontait pas à 2014 mais prennait en compte mon dernier véhicule , de plus ils avaient la photocopie de ma carte grise mais l'avait rangé dans le mauvais dossier et l'on retrouvé pendant la conversation ... ce qui prouve le manque de professionnalisme de cette "compagnie" aucuns arrangement possible et plus grave ils ont résigné le contrat sans même me prévenir j'ai donc conduit 10 jours sans assurance et sans avoir été prévenu.
Par contre pour encaisser l'argent et le garder ça ne leur pose aucuns problèmes , comment est ce possible que de telles assurance puisse avoir le droit d'exercer c'est aberrant.
Je n'aurai jamais du contacter cette société et je m'en mords les doigts.</t>
  </si>
  <si>
    <t>16/11/2017</t>
  </si>
  <si>
    <t>alexis-c-132667</t>
  </si>
  <si>
    <t>Prix relativement cher mais il semble que les services et les options soient là.
Lorsque l'on passe par lelynx les prix ne sont pas les mêmes (plus avantageu) pourtant les informations sont rentrées correctement sur ce comparatif.</t>
  </si>
  <si>
    <t>13/09/2021</t>
  </si>
  <si>
    <t>solene-maitre--92696</t>
  </si>
  <si>
    <t xml:space="preserve">Je suis satisfaite des tarifs proposés
Je vais souscrire des la mi juillet
Je suis déjà cliente direct assurance habitation et assurance scolaire
Les prix défis toutes concurrence </t>
  </si>
  <si>
    <t>29/06/2020</t>
  </si>
  <si>
    <t>djk13-71169</t>
  </si>
  <si>
    <t>A fuir absolument, leur assurance tous risques n'en est pas une, vol subi sur mon scooter neuf non garanti !!! ils font perdre leur temps aux gens, bref j'ai hâte de résilier !</t>
  </si>
  <si>
    <t>Peyrac Assurances</t>
  </si>
  <si>
    <t>11/02/2019</t>
  </si>
  <si>
    <t>valery-v-130226</t>
  </si>
  <si>
    <t>j'aimerai  pouvoir  reviser  a la  baisse  l'ensemble  des cotisations de mes multiples  contrats et  rencontrer plus  facilement   mon  conseiller,  ou  alors par  telephone</t>
  </si>
  <si>
    <t>damien-d-128433</t>
  </si>
  <si>
    <t>Satisfait du tarif et de l'inscription automatique du concubin.
Flexibilité des offres intéressantes selon les besoins. 
Souscription rapide. 
Choix de paiement manquant pas de trimestre .</t>
  </si>
  <si>
    <t>lambert-f-138356</t>
  </si>
  <si>
    <t>prix ok. pas d'expérience donc pas vraiment d'avis
prix ok. pas d'expérience donc pas vraiment d'avis
prix ok. pas d'expérience donc pas vraiment d'avis</t>
  </si>
  <si>
    <t>alexandra-j-134361</t>
  </si>
  <si>
    <t xml:space="preserve">SATISFAITE ! le site est simple d'utilisation , tout est assez intuitif, la souscription est rapide et efficace et concernant les tarifs , ils restent raisonnables. </t>
  </si>
  <si>
    <t>24/09/2021</t>
  </si>
  <si>
    <t>camso0144-74606</t>
  </si>
  <si>
    <t>Assurance à fuir. Augmentation abusive malgré le bonus. J'étais à 564 eur par an et je passe à 599 cette année. Je passe à la concurrence et les laisse avec leur mensonge. Malgre les explications du service client, je trouve que l'augmentation n'est pas justifiée</t>
  </si>
  <si>
    <t>30/03/2019</t>
  </si>
  <si>
    <t>cindy-p-122302</t>
  </si>
  <si>
    <t>satisfait des services mmais je vais refaire le point sur l ensemble de mes contrats et voir ce qui est encore plus interessant
les conseillers sont toujours très aimables</t>
  </si>
  <si>
    <t>alexandre--p-129282</t>
  </si>
  <si>
    <t>Je suis satisfait du rapport qualité/prix. J'ai opter pour direct assurance comme 1ere assurance auto. J'en suis satisfait. En espérant que cela continue</t>
  </si>
  <si>
    <t>24/08/2021</t>
  </si>
  <si>
    <t>mattmatt-98226</t>
  </si>
  <si>
    <t xml:space="preserve">Déplorable ! Prise en charge partielle des dommages, délais à rallonge, absence de communication, expertise complice, fuyez Allianz ! D autres assurances sont bien plus sérieuses. </t>
  </si>
  <si>
    <t>fernandes-m-127582</t>
  </si>
  <si>
    <t>Les prix sont compétitifs et le site est très intuitif
Le service est rapide et l’assurance a des bonnes couvertures
A suivre pour les devis habitation</t>
  </si>
  <si>
    <t>11/08/2021</t>
  </si>
  <si>
    <t>marinette-127567</t>
  </si>
  <si>
    <t xml:space="preserve">mutuelle employeur donc obigatoire.
ne sert strictement à rien, nous prendre notre argent et ne jamais rien remboursé "correctement"
depuis 7 mois que je suis chez eux, j'ai jamais autant payé de reste à charge
heureusement que je m'en vais, mais je ne vous conseille pas ce groupe </t>
  </si>
  <si>
    <t>filali-m-134287</t>
  </si>
  <si>
    <t>je suis satisfait par le prix en ce qui concerne le service je n'ai toujours pas eu par chance l'occasion de l'utiliser                                .</t>
  </si>
  <si>
    <t>michel-76315</t>
  </si>
  <si>
    <t xml:space="preserve">je me suis assuré  chez  lolivier  pour  la rapport qualité prix  bien sur la franchise  est un peu plus cher mais j" ai trouvé chez cet assurance  beaucoup de satisfaction finalement ayant du faire changer mon pare brise  je leu ai téléphone et j" ai eu une conseillère déjà très agréable  et courtois qui me proposé  leur garage partenaire mais  j" ai refusé ayant mon petit garagiste a dispo et avec lequel je suis habitué  il ne m"ont pas fait de problème j" ai du avancer l" argent et envoyé la facture il m"ont remboursé très vite voila bonne expérience  avec cet assurance pour l" instant </t>
  </si>
  <si>
    <t>28/05/2019</t>
  </si>
  <si>
    <t>canda-53011</t>
  </si>
  <si>
    <t xml:space="preserve">FUYEZ LA MAAF !!! Assuré depuis plus de 30 ans, noté comme excellent conducteur avec un bonus à vie de 50% sur mes 2 véhicules, quelle ne fut pas ma stupeur de recevoir un courrier qui résiliait le contrat d'un de mes véhicules pour un excès de sinistres "Non responsables" sur les 5 dernières années ! </t>
  </si>
  <si>
    <t>05/03/2017</t>
  </si>
  <si>
    <t>le-rest-e-114264</t>
  </si>
  <si>
    <t>les prix me conviennent
satisfaite du service
rapide efficace agréable concis professionnel 
rapide efficace agréable concis professionnel
satisfaite du service</t>
  </si>
  <si>
    <t>19/05/2021</t>
  </si>
  <si>
    <t>montmartre-115795</t>
  </si>
  <si>
    <t>Le service s'est fortement dégradé depuis un an . Délais insupportables pour les remboursements ( facture optique importante toujours pas remboursée après 6 semaines ) . Service clients très difficile à joindre. Pas de réponse aux mails de réclamations. Promesse d'être rappelée par un responsable non tenue.
A fuir</t>
  </si>
  <si>
    <t>dansou39-78460</t>
  </si>
  <si>
    <t>opérée le 15/01/19 et 1/08/209 l dossie'est pas encr traité il faut atteencoe 2 mois - INADMISSIBLE</t>
  </si>
  <si>
    <t>16/08/2019</t>
  </si>
  <si>
    <t>titi68-60497</t>
  </si>
  <si>
    <t>Début septembre, j'envoie tous les documents à CARDIF concernant les avenants bancaires et l'acte notarié pour une modification de la quotité (passage de 75 à 100%). Les personnes de CARDIF sont INCAPABLES de gérer un dossier, de lire les documents, font tout et n'importe quoi (vous envoi des pleins de documents qui ne sont pas les bons, vous renvois des informations erronées...). Pendant quasiment 2 mois, je n'ai pas pu être assuré alors que mon prêt était en cours (2015), et après de multiples appels téléphoniques pour essayer de leur faire comprendre qu'il y en en marre que CARDIF ne sache pas gérer, je viens d'avoir ce jour l'attestation qui est encore fausse car les durées ne prêts qu'ils ont inscrits ne correspondent en rien à ce que j'ai renseigné sur les documents ni sur les avenants bancaires. Un seul conseil, fuyez CARDIF, c'est ce que je vais faire.</t>
  </si>
  <si>
    <t>23/10/2020</t>
  </si>
  <si>
    <t>dkaset2-59354</t>
  </si>
  <si>
    <t>Victime d'un accident par un chauffard qui a reculé sans me voir, avec un véhicule de + de 5 ans L'OLLIVIER assurance auto ne m'a été d'aucune aide face à l'expert qui a minoré au maximum la cote de mon véhicule en prétextant qu'ils tenait aussi compte des pneus usagers, et quand je lui fournis des factures de changements de pièces de Juillet 2017, afin qu'il en tienne compte dans le montant à me rembourser,  il prétend que les pièces changées sont de l'usure normale. Heureusement que je ne me suis pas faite percuter par un conducteur sans assurance, ou qui se serait enfui,  je ne sais pas quel soutient L'OLLIVIER m'aurait apporté. La seule aide qu'ils me proposent est d'envoyer un courrier avec A/R à leur DIRECTION QUALITE, il serait plus simple qu'ils fassent suivre l'ensemble de mes mails, mais là encore aucun soutient de L'OLLIVIER.</t>
  </si>
  <si>
    <t>david-n-131408</t>
  </si>
  <si>
    <t>Je suis toujours satisfait de la GMF et cela fait depuis plus de 20 ans que je suis chez eux. Les conseilles sont toujours à l'écoute et trouvent toujours une solution</t>
  </si>
  <si>
    <t>jay-p-110043</t>
  </si>
  <si>
    <t xml:space="preserve">Au moment d'établir un contrat avec Direct Assurance (et régler trois mois d'avance), tout paraît possible.
J'avais expliquer ma situation avec la conseillère qui paraissait plus pressé d'encaisser l'argent
que de bien me conseiller. Résultat des courses j'ai payé plus de 100 euros dans le vent car mon dossier n'est pas recevable.
Bref une compagnie d'assurance mediocre comme une autre. Soyez sûr d'avoir les documents nécessaire et ne pas tenir compte de ce que l'on vous raconte au téléphone! </t>
  </si>
  <si>
    <t>elodie-s-123092</t>
  </si>
  <si>
    <t>je suis satisfaite du service, les tarifs me permettent de pouvoir assurer une voiture sans pour autant me ruiner et les garanties que l'on me donne me conviennent parfaitement</t>
  </si>
  <si>
    <t>pc-87406</t>
  </si>
  <si>
    <t>je ne recommande pas la matmut, cela fait 3 mois que j'attend le remboursement d'un sinistre suite à un vandalisme, vous demandent des documents très intimes, vous balance de service en service a fuir!</t>
  </si>
  <si>
    <t>pascale-99934</t>
  </si>
  <si>
    <t xml:space="preserve">Je remercie Fairouz pour son écoute, sa compréhension, et sa gentillesse
par contre , temps d'attente trop long , pas coordination dans vos services ,
désolant
</t>
  </si>
  <si>
    <t>10/11/2020</t>
  </si>
  <si>
    <t>seb8413-54777</t>
  </si>
  <si>
    <t xml:space="preserve">Nouveau Client je suis satisfait . Facile a les joindre, personnel tres accueillant . J'espere que sa va durer. </t>
  </si>
  <si>
    <t>24/05/2017</t>
  </si>
  <si>
    <t>yannick-n-128803</t>
  </si>
  <si>
    <t>Prix plutôt bien placés par rapport à la concurrence et facilité à le faire évoluer en fonction des options. Site simple d'utilisation pour le choix final de son contrat.</t>
  </si>
  <si>
    <t>cossi-a-116175</t>
  </si>
  <si>
    <t>Je suis satisfait du services et le prix reste abordable.
Je n'hésiterai pas à recommander DIRECT ASSURANCE AUTOUR DE MOI .
Voire faire assure mes autres véhicules</t>
  </si>
  <si>
    <t>louise-t-106911</t>
  </si>
  <si>
    <t>Suis très satisfaite de l'accueil et des informations transmises lors de mon premier appel. Dans l'attente d'un nouvel appel afin de valider les devis qui m'ont été proposés.</t>
  </si>
  <si>
    <t>17/03/2021</t>
  </si>
  <si>
    <t>losmn-78061</t>
  </si>
  <si>
    <t>Une conseillère du nom de Salima a su répondre à toutes mes questions,l'échange fut très agréable je ressors de cet appel avec toutes les réponses que je cherchais ainsi que l'esprit tranquille.</t>
  </si>
  <si>
    <t>30/07/2019</t>
  </si>
  <si>
    <t>lili-86704</t>
  </si>
  <si>
    <t xml:space="preserve">Ayant eu un sinistre non responsable mon véhicule a été remorqué par un dépanneur pour ensuite être conduit au garage. L'expert est passé 4 jours après. Lors du constat il a signalé un frottement sur le pare-choc arrière. Or mon véhicule étant neuf il n'y avait aucune rayure sauf les dommages liés au sinistre. Tout le monde se renvoie la balle et la GMF m'explique que ce sera à ma charge car parole contre parole. Donc ma parole n'a aucune valeur face à des prestataires aux méthodes douteuses qui n'assument par leurs méfaits.
Je suis très déçue, surtout lorsque l'on m'explique que c'est que du matériel. Bref, par principe on est censé prendre ses responsabilités. Le dépanneur périphérique nord est à éviter, mais la GMF Assistance m'explique que ce prestataire est le plus important au nord de Paris. En gros, moi assurée je suis forcément une menteuse. No comment   </t>
  </si>
  <si>
    <t>marina-101238</t>
  </si>
  <si>
    <t>Voilà un fait un devis par téléphone et la la Matmut nous demande la somme du devis je n'ai rien signe et cet lettres et l'être m'aime recommandé  pour que je paie mat mur cet  pas bien comme  assurance jamais je recommanderais</t>
  </si>
  <si>
    <t>10/12/2020</t>
  </si>
  <si>
    <t>esteban69-92665</t>
  </si>
  <si>
    <t>Pris intéressant qui correspondent à mes attentes, à affiner néanmoins. Mais c'est un début et j'en suis content A suivre peut etre avec un teleconseiller</t>
  </si>
  <si>
    <t>chloeh92-57304</t>
  </si>
  <si>
    <t xml:space="preserve">Impossible de joindre quelqu'un ni d'être remboursé pour les sinistres. Je résilie cette année et choisirai plus cher mais capable de mener à bien un dossier. 
Mon sinistre n'est pourtant pas d'un gros montant : ils l'auraient rentabilisé en me gardant quelques mois de plus ...
Bref à fuir ! </t>
  </si>
  <si>
    <t>13/09/2017</t>
  </si>
  <si>
    <t>nonakymo-71631</t>
  </si>
  <si>
    <t>J’ai été en arrêt le 13 août jusqu’en  décembre puis j’ai été licencié en décembre pour inaptitude au jour d’aujourd’hui Nous somme le 25 février je n’ai toujours eu aucuns complément de salaire j’appel   tout les 15 jours environ et à chaque fois nous répondent qu’ils sont dans l’attente de pièces justificatives alors Que j’ai vu avec mon ancien patron et tout à été envoyé
Lorsque je les appellent impossible de parler avec un responsable et la personne au téléphone dit toujours la même chose rapprochez vous de votre ancien employeur
Je pense qu’ils font traîner les choses mais j’aimerais bien voir leurs têtes si c’etait a eux qu’on devait de l’argent je pense que l’on aurait vite l’huissier devant notre porte</t>
  </si>
  <si>
    <t>25/02/2019</t>
  </si>
  <si>
    <t>abdelaziz-b-123313</t>
  </si>
  <si>
    <t>Je viens de m'assurer alors j'attend avant de me prononcer mais pour l'instant je pense que qualité prix je pense que c'est pas mal car chez la concurrence que j'ai pu contacter c'est moins cher.</t>
  </si>
  <si>
    <t>jerome-n-138596</t>
  </si>
  <si>
    <t>La souscription est rapide et facile. A voir l’accompagnement dans l’avenir. 
J’espere que cela répondra à l’ensemble de mes attentes en termes de couverture santé</t>
  </si>
  <si>
    <t>29/10/2021</t>
  </si>
  <si>
    <t>debby-55016</t>
  </si>
  <si>
    <t>Client depuis 8h seulement, j'ai souscrit à une assurance automobile chez l'olivier assurances il y a à peine 8h, c-à-d le 30/05/2017 à 16h, l'opératrice qui s'est occupée de mon dossier m'a envoyé le document Dispositions Particulières que je dois signer et renvoyer.
Or, dans la partie "Conducteur principal" de ce document il y a une adresse mail qui est saisie au lieu du nom et du prénom du conducteur principal.
Je ne peux donc pas signer ce document car c'est un document contractuel, le nom et prénom du conducteur principal sont importants, même primordial.
Une heure seulement après avoir souscrit, j'ai donc rappelé mais j'ai dû attendre 25 mn au lieu des 12 mn alors que 1h avant, pour la souscription c'était bien plus rapide.
J'ai finalement eu quelqu'un au bout du fil qui m'a de suite reproché que je pouvais envoyer ce document par courrier et que je n'avais pas besoin d'appeler le service client pour cela.
J'avais un peu l'impression de me faire avoir car je venais seulement de souscrire il n'y avait même pas 1h et j'étais déjà traité comme un client conflictuel avec qui il y avait beaucoup de sinistres.
D'autant plus que sa collègue m'avait justement conseillé d'envoyer les documents justificatifs scannés par mail.
Bref, j'ai insisté pour que le document soit modifié en mettant les noms et prénoms du conducteur principal à la place du mail dans les 4 champs de saisie concernés.
L'opératrice m'a dit qu'elle le ferait après avoir raccroché et que cette erreur était dû au fait que j'avais fait plusieurs devis avec la même adresse mail, ce qu'il ne faut pas faire.
Je n'ai pas compris sa remarque car il n'y a aucune fonctionnalité sur le site qui interdit d'utiliser la même adresse mail pour plusieurs devis ?!
Le potentiel client n'est-il pas en droit de faire autant de simulations qu'il le souhaite d'autant plus que le choix d'un assureur n'est pas anodin ?
Bref, j'ai dit que j'attendais son mail et que je lui faisais confiance car je ne pouvais signer le contrat avec des erreurs aussi graves.
Elle m'a remercié de la confiance que je lui ai accordé.
Quelques minutes plus tard, je regarde le soi-disant nouveau document que j'ai reçu et je me rends compte qu'il n'y a eu aucune modification et que l'erreur est toujours là.
Qu'a-t-elle fait ? Rien ?! Je ne comprends pas...
Ça me panique sérieusement, car en même pas 24h, le service client semble ne pas répondre aux demandes qui ne concernent que des modifications de coordonnées dans un contrat.
Je suis sérieusement en train de réfléchir à utiliser le délai de rétractation, car cela me fait très peur.
Si des demandes aussi simples sont traitées de cette façon, qu'en sera-t-il d'un sinistre ou d'une assistance urgente par exemple ?
J'ai envoyé un mail de ce problème à l'adresse client@olivier.fr, mais j'ai reçu une réponse automatique me signalant que le délai de réponse est de 7 à 10 jours.
Gloups ! Comment faire, sachant que je suis censée renvoyer ces documents signés sous 10 jours, on va dire sous 9 jours maintenant ?
J'aimerais bien recevoir le document avec la bonne correction afin que je le renvoie signé mais je ne sais plus à qui m'adresser et je ne souhaite pas attendre 30 mn environ pour joindre à nouveau le service client pour rien, car je n'ai aucune assurance que ma demande sera correctement traitée.
J'ai déjà payé comptant, mais je ne souhaite pas faire jouer mon droit de rétractation car je veux encore leur faire confiance bien que ça me semble mal parti.
Je n'ai pas non plus d'accès à mon espace perso,  alors que je suis censée y renvoyer les documents justificatifs.
J'attends encore toute la journée du 31 Mai pour voir si mon problème sera traité et ainsi savoir si je dois rester chez eux ou pas, même si j'ai l'impression que ce n'est pas de chance pour moi, ça commence mal.</t>
  </si>
  <si>
    <t>31/05/2017</t>
  </si>
  <si>
    <t>abdellah--b-133696</t>
  </si>
  <si>
    <t xml:space="preserve">Je suis satisfait de votre service toujours à l'écoute. Et l'efficacité des conseillers.
Facile à souscrire. Je recommande cette assurance à tout le monde. </t>
  </si>
  <si>
    <t>20/09/2021</t>
  </si>
  <si>
    <t>laurent-27518</t>
  </si>
  <si>
    <t>Le volet défense/recours de l'assurance multirisques est une supercherie et une tromperie, vu les conventions entre assureurs. Les responsables d'accidents de la route sont défendus par des avocats, quand aux blessés, victimes innocentes, c'est la double peine: trahies, méprisées, humiliées, bafouées! C'est crapuleux et insupportable!</t>
  </si>
  <si>
    <t>rick-104471</t>
  </si>
  <si>
    <t>Non fiable, tous les prétextes sont bons pour ne pas procéder à des remboursements.
Des erreurs volontaires de calculs de leurs parts pour éviter une prise en charge de lunettes, le centre d'optique a dû s'y reprendre à plusieurs fois avant l'accord.
Etc, etc ....
Bref, n'y allez pas</t>
  </si>
  <si>
    <t>19/02/2021</t>
  </si>
  <si>
    <t>delmotte-j-123029</t>
  </si>
  <si>
    <t>Devis facilement réalisé, super service client, des conseillers agréables et patients, des tarifs intéressants pour un jeune conducteur et une fidélité récompensée.</t>
  </si>
  <si>
    <t>10/07/2021</t>
  </si>
  <si>
    <t>haniaa-80143</t>
  </si>
  <si>
    <t xml:space="preserve">Assistance panne pourquoi ? Pour te faire perdre ton temps il sont la même noté le moindre contact il en sont incapable j'attends ma dépanneuse depuis 9h du matin a ce jour il et 10h13 j'appelle pour la 3ème fois et on me redis la même chose il arrive (le foutage de ******* il sont la aucun respect pour sa clientèle mâtiné gâché et encore autant compter la journée si vous ne voulez pas travailler démissionné </t>
  </si>
  <si>
    <t>17/10/2019</t>
  </si>
  <si>
    <t>daniel-g-114291</t>
  </si>
  <si>
    <t>il devrait avoir des prix pour les conducteurs roulant moins de 5000 km par an
j'ai 50000km au compteur la voiture est une première main  et est suivie régulièrement par le garage Renault de quincy sous Sénart</t>
  </si>
  <si>
    <t>vanille-76587</t>
  </si>
  <si>
    <t>Le vol s'est produit un dimanche et j'ai appelé l'assistance Mon pavillon était ouvert et je ne me sentais pas en sécurité L'assistance n'avait pas de nom à me donner pour la sécurisation et ils ont dit de chercher moi-même Si je n'avais pas trouvé cette société ils auraient du envoyer un gardiennage
La sécurisation a été assurée provisoirement et il faisait très froid Le volet et le double vitrage étaient cassés Une semaine après le double vitrage a été remplacé puis le volet Je ne me sentais pas en sécurité tant que les deux n'avaient pas été remplacés</t>
  </si>
  <si>
    <t>07/06/2019</t>
  </si>
  <si>
    <t>rachel-m-110796</t>
  </si>
  <si>
    <t>tres bon service et tarif tres competitif c est donc maintenant à l usage et surtout en cas de besoin que je verrai la qualité du service et des éventuels remboursement</t>
  </si>
  <si>
    <t>wendell-a-128983</t>
  </si>
  <si>
    <t xml:space="preserve">je suis satisfait du votre travail.....
merci beaucoup et à bientôt... a toute la équipe de direct assurance
je suis content a disponibilité du engagement </t>
  </si>
  <si>
    <t>mohamed-k-116893</t>
  </si>
  <si>
    <t>Pas grand chose à redire pour l'instant. L'expérience jusqu'ici est satisfaisante .sur assurance Auto et maison. Attendons de voir comment se passera la gestion d'un sinistre.</t>
  </si>
  <si>
    <t>13/06/2021</t>
  </si>
  <si>
    <t>lafosse-j-108990</t>
  </si>
  <si>
    <t xml:space="preserve">Je suis satisfait du prix et de rapidité le site est bien esplique et facile pour les personnes qui ont pas l abitude d internet merci beaucoup je très satisfaite </t>
  </si>
  <si>
    <t>patricia-d-102802</t>
  </si>
  <si>
    <t xml:space="preserve">Je suis satisfaite des services de direct assurance
Moins chère et plus réactive que certaines compagnies, merci pour votre sérieux et des tarifs que vous appliqués 
</t>
  </si>
  <si>
    <t>18/01/2021</t>
  </si>
  <si>
    <t>giaume-l-110636</t>
  </si>
  <si>
    <t>Très bon service, le contact au telephone fut très agréable, clair et rapide.
Les prix sont les meilleurs du marché que j'ai pu trouvé, compte tenu de ma situation (10 ans a l'étranger sans assurance auto)</t>
  </si>
  <si>
    <t>odilebernard-68996</t>
  </si>
  <si>
    <t xml:space="preserve">Ma maman a cotisé et puisque elle est pas morte à 70 ans tout ce qu'elle a cotisé c'est en pure perte vive cette assurance,si vous cotisé c'est pour eux si vous avez pas 70 ans vous toucher si vous avez plus de 70 ans vous perdez tout
</t>
  </si>
  <si>
    <t>11/12/2018</t>
  </si>
  <si>
    <t>sebastien-s-130370</t>
  </si>
  <si>
    <t>C'est un nouveau contrat d'assurance pour lequel j'ai trouvé le prix très attractif, c'est le seul point de comparaison sur lequel je peux m'appuyer pour l'instant.</t>
  </si>
  <si>
    <t>stephane-m-121231</t>
  </si>
  <si>
    <t>Conseiller toujours disponible pour repondre aux questions.
Precis et rapide sur les reponses apportees.
Tarifs attractifs pour un createur d'activite.</t>
  </si>
  <si>
    <t>Mapa</t>
  </si>
  <si>
    <t>abdes-108313</t>
  </si>
  <si>
    <t xml:space="preserve">Assuré chy axa depuis 2004 pas d'accident responsable jusqu a j'étais victime de vandalisme sur ma voitur ya 7 mois qui assuré tous risques et depuis que des problème pour réparé ma voitur merci axa </t>
  </si>
  <si>
    <t>christian-f-111019</t>
  </si>
  <si>
    <t xml:space="preserve">je suis très satisfait de l'accueil rapide et efficace  
c'est pour cette raison que je suis sociétaire depuis toujours 
mon interlocuteur a été très professionnel </t>
  </si>
  <si>
    <t>jm07-87045</t>
  </si>
  <si>
    <t>Après plusieurs relances et un mail au service réclamation, je n'ai toujours pas le remboursement d'une facture envoyée le 7/01. Ce n'est pas la première fois que je dois relancer pour obtenir un remboursement, mais là ça devient long après plus d'un mois.</t>
  </si>
  <si>
    <t>12/02/2020</t>
  </si>
  <si>
    <t>tahar-h-112793</t>
  </si>
  <si>
    <t>Je suis satisfait du service dans l'ensemble.
Pour le prix, c'est mitigé puisque je n'ai assuré qu'un véhicule sur deux chez vous, voyant qu'un de vos concurrent me propose bien mieux.</t>
  </si>
  <si>
    <t>lois-l-137169</t>
  </si>
  <si>
    <t xml:space="preserve">satisfait c bien sauf ce formulaire qui est interminable
merci de ne plus imposer ces formules lourdes et improductives
bonne journée
bien cordialement 
</t>
  </si>
  <si>
    <t>12/10/2021</t>
  </si>
  <si>
    <t>debernard-j-129937</t>
  </si>
  <si>
    <t>Service téléphonique parfait, les informations correspondent au devis effectué en ligne.
Personnel très agréable lors de la finalisation de la souscription. 
Je recommande les yeux fermés.</t>
  </si>
  <si>
    <t>28/08/2021</t>
  </si>
  <si>
    <t>dyves-104031</t>
  </si>
  <si>
    <t xml:space="preserve">je ne peut affirmer quel et bien ou pas car je n ai jamais u de sinistre chez eux depuis que j y suis pourvu que sa continue comme ca .par contre je trouve que le prix deviens de moins en moins attractif avec plus de 50% de bonus   .conclusion pour moi j envisage faire des devis ailleurs ce que j ai commencer ce jour et a voir il y a de sacrer différence .car ici anciens client n ont pas beaucoup d avantage     </t>
  </si>
  <si>
    <t>11/02/2021</t>
  </si>
  <si>
    <t>salade21-97197</t>
  </si>
  <si>
    <t xml:space="preserve">Très bonne prise en charge après un bris de glace dont j’ai été victime. Franchise correcte et simplicité d’utilisation du service sur internet. Cette prise en charge facile aide beaucoup quand la casse arrive est n’est pas prévue.  </t>
  </si>
  <si>
    <t>stephane-l-112016</t>
  </si>
  <si>
    <t>le site april moto est très facile et simple et rapide
les devis sont détaillés
les conseillers répondent aux questions et aux mails
je suis satisfait</t>
  </si>
  <si>
    <t>ahmed-d-127697</t>
  </si>
  <si>
    <t>Prix abordable, souscription simple et efficace, je suis satisfait des services d'assurance proposé par direct assurance. C'est la moins chère parmi toutes les assurances proposées sur internet</t>
  </si>
  <si>
    <t>adrien-f-124233</t>
  </si>
  <si>
    <t>Très facile et tarifs très attractif, par contre il est insupportable de recevoir plusieurs coups de téléphones de pubs et autres em...deurs après avoir enregistré mon numéro sur votre site.</t>
  </si>
  <si>
    <t>herve-72449</t>
  </si>
  <si>
    <t>Déclaration d'un sinistre 06 2018, 10 mois après toujours aucun rendu</t>
  </si>
  <si>
    <t>lg-91844</t>
  </si>
  <si>
    <t>Service client déplorable. On se moque du client. Cette assurance fait tout pour faire traîner les dossiers d'indemnisation pour que les clients se lassent et renoncent à faire valoir l'application du contrat d'assurance.</t>
  </si>
  <si>
    <t>bara-76486</t>
  </si>
  <si>
    <t>MA mère vient de décéder très handicapée en EHPAD n'a jamais pu bénéficiée de son contrat safir, son handicape était insuffisant pour ce contrat,il faut devenir un légume.Elle a payé pendant plus de 25 ans pour rien. Safir est une pompe à fric</t>
  </si>
  <si>
    <t>lea-z-111185</t>
  </si>
  <si>
    <t xml:space="preserve">Pas de soucis particulier si ce n'est que la seule fois ou j'ai eu à vous contacter la personne ne parlait pas très bien Français ce qui a compliqué l'échange et autant vous dire que l'amabilité n'était pas au rendez-vous. </t>
  </si>
  <si>
    <t>21/04/2021</t>
  </si>
  <si>
    <t>leguite-93577</t>
  </si>
  <si>
    <t xml:space="preserve">accident arrivé depuis 4 mois , toujours pas indemnisé totalement , ils disent que ont va être payé puis il faut rappeler et il faut se nourrir de leur dessolement  </t>
  </si>
  <si>
    <t>09/07/2020</t>
  </si>
  <si>
    <t>sisco33000-50519</t>
  </si>
  <si>
    <t>Mutuelle recommandable ! Il ne faut pas oublier que cet organisme rembourse les frais médicaux mais également assure le complément du salaire, protège si on rencontre une situation délicate (invalidité, dépendance). Et pour ma part, je n'ai rien a redire des Conseillers toujours à l'écoute.</t>
  </si>
  <si>
    <t>20/12/2016</t>
  </si>
  <si>
    <t>lelynx-59418</t>
  </si>
  <si>
    <t>Les ennuis commencent quand vous avez un sinistre : jamais dans la garantie. Une plateforme formée pour vous rétorquer que vous n'êtes pas garantis. Un sketch pas drôle. Ex. ds le cadre d'une PNO : "non votre porte de garage (faisant partie il ns semble du bien assuré...) endommagée n'est pas garantie" : en tte bonne foi, on tombe des nues...</t>
  </si>
  <si>
    <t>jaypfr53-78768</t>
  </si>
  <si>
    <t xml:space="preserve">Je déconseille fortement. Je suis client de longue date et ils n hésitent pas à mettre des bâtons dans les roues et vous traitent comme un numéro. Ils ne font rien pour arranger les choses. Très décevant. Et l accueil téléphonique, je n en parle même pas. Fuyez cette assurance </t>
  </si>
  <si>
    <t>david-a-133849</t>
  </si>
  <si>
    <t xml:space="preserve">Satisfait du prix malgré que désormais il a mieux, mais bon client chez eux depuis bientôt 20 ans.....
Par contre le service client décline d'année en année, pas forcement du aux humains derrière le téléphone.  </t>
  </si>
  <si>
    <t>21/09/2021</t>
  </si>
  <si>
    <t>olivianoel-108628</t>
  </si>
  <si>
    <t>Service clients à l'écoute, rapide et efficace. Les conseillers cernent entièrement nos demandes et y répondent facilement et rapidement. Les cotisations sont correctes ainsi que les remboursements !</t>
  </si>
  <si>
    <t>31/03/2021</t>
  </si>
  <si>
    <t>gaby-85791</t>
  </si>
  <si>
    <t xml:space="preserve">Le pire assurer, non seulement ils ont pas voulu reparer ma voiture malgre tout rissue assure en plus ils ont qualifié 100 % accident de parking responsables et du bon client 085 je passe au malus 1.15 satisfaction client zero </t>
  </si>
  <si>
    <t>paco-103161</t>
  </si>
  <si>
    <t xml:space="preserve">Fortement déconseillé. Ne respecte pas les devis émis et suite à mon refus ne rembourse pas au prorata les fonds versé. J'ai dû insisté pour être remboursé et pour 2 jours d'assurance soit 0.5% ils ne m'ont remboursés que 90 % de la somme. A éviter. </t>
  </si>
  <si>
    <t>24/01/2021</t>
  </si>
  <si>
    <t>laurent-101276</t>
  </si>
  <si>
    <t>Si vous voulez une couverture légale au meilleur prix, c'est parfait. Si vous voulez être défendu, obtenir un conseil ou assurer un véhicule supplémentaire, oubliez : on ne vous répond pas si demande écrite sur l'espace personnel et on vous refuse un mail si vous joignez un conseiller par téléphone. Voilà. Il faut le savoir.</t>
  </si>
  <si>
    <t>11/12/2020</t>
  </si>
  <si>
    <t>dronne-i-123200</t>
  </si>
  <si>
    <t>Satisfait de la relation client et des explications nécessaire à la souscription du devis pour une assurance automobile. L'offre est intéressante sur les engagements/</t>
  </si>
  <si>
    <t>marcel-56980</t>
  </si>
  <si>
    <t>Certes une assurance qui se veut la plus basse, du moins la première année pour captiver de nouveaux clients. En effet, la première année est intéressante, puis la deuxième année, +17%, la troisième année 21% et cela sans jamais avoir d'accidents ! Du coup, j'ai résilier pour le principe car aucun appel commercial malgré ma demande pour en connaître la raison et négocier le prix. A éviter !</t>
  </si>
  <si>
    <t>30/08/2017</t>
  </si>
  <si>
    <t>clipet-115816</t>
  </si>
  <si>
    <t>Au départ toujours méfiant des assurances en ligne (méfiance sans doute liée à mon age), je dois avouer avoir été agréablement surpris de la qualité des échanges téléphoniques avec les collaborateurs de cette Compagnie d'Assurances. J’ai pu notamment apprécier le professionnalisme, la réactivité et la gentillesse de mes interlocuteurs. En ce qui concerne mon contrat d’assurance lui-même, la possibilité de le moduler en fonction de la période (on pilote moins sa moto l'hiver qui reste le plus souvent au garage pendant cette période) est un avantage non négligeable. Les tarifs sont en tous cas tres corrects.</t>
  </si>
  <si>
    <t>myaou-61718</t>
  </si>
  <si>
    <t>Je suis à la macif depuis 2 ans et j'ai eu un accident qui n'etait pas de ma faute. Aujourd'hui je vais me retrouver sans emploi car ils refusent de m'envoyer un document daté certifiant la reprise de mon véhicule que me demande mon employeur. De plus au téléphone, ils vous disent avant le départ que les frais d'essence sont à votre charge et au retour ils vous demandent les justificatifs !! Si je perds mon emploi je change tout de suite d'assureur. Ce la fait pres d'une semaine que je leur demande ce document ils me répondent a chaque fois qu'ils ont beaucoup de choses a faire (moi aussi d'ailleurs) et si vous insistez poliment ils vous raccrochent tout bonnement au nez ! Un manque de sérieux et un grand je m'enfoutisme a l'egard des clients.</t>
  </si>
  <si>
    <t>24/02/2018</t>
  </si>
  <si>
    <t>solredo-113725</t>
  </si>
  <si>
    <t xml:space="preserve">La Maïf était un organisme attractif il y a quelques années.
Les dossiers étaient traités avec humanité, la confiance régnait entre l’adhérent et sa délégation.
Ce n’est malheureusement plus le cas aujourd’hui malgré toutes les publicités qui courent.
</t>
  </si>
  <si>
    <t>michael-l-114517</t>
  </si>
  <si>
    <t xml:space="preserve">Très satisfait du service april je vais vous recommander rapide et efficace les tarifs sont raisonnables et la demande est effective site très clair et bien expliqué </t>
  </si>
  <si>
    <t>buzz-103783</t>
  </si>
  <si>
    <t xml:space="preserve">Horrible !!!! Je viens de souscrire un contrat auto chez eux, pour finaliser celui ci nous devons envoyer des documents (jusque là tout est normal) 
Cependant cela fais un mois que j envoi de multiples mails et appels pour fournir ses documents et aucune réponse, les mails finissent par ne même plus être reçu par Allianz car les boîtes mails sont saturées (retour automatique indiquant qu il n y a plus de place pour fournir notre mail) 
Par téléphone on me dit tout est ok, le lendemain je reçois un mail pour me dire votre dossier n est pas complet, "attention vous aller perdre les 3 mois d assurance payé si vous ne fournissez pas les documents" je renvoi les documents et le lendemain ça recommence avec une personne différente. Et par téléphone c est pareil !
Aucun suivi de dossier, aucun service client, je ne comprends pas qu une entreprise puisse tourner en fonctionnant comme cela... Quelle belle erreur de souscrire chez eux ! Et encore pour l instant je souhaite juste finir ma souscription, qu est ce que ça sera quand j aurais un sinistre... </t>
  </si>
  <si>
    <t>06/02/2021</t>
  </si>
  <si>
    <t>abdou75-52520</t>
  </si>
  <si>
    <t>C'est un organisme bien organisé, je sui sadhérent depuis la 1 janvier 2015 et ils sont à meme d'apporter un service de qualité tout en faisant évoluer les outils mis à notre disposition. Une start up qui vie avec son temps j'imagine.</t>
  </si>
  <si>
    <t>17/02/2017</t>
  </si>
  <si>
    <t>houmadi-a-126293</t>
  </si>
  <si>
    <t xml:space="preserve">Je suis peut satisfait j’ai deux voitures assuré ici mais les mensualités sont chère pour deux voitures 
De plus sa fait plus d’un an que je suis assuré </t>
  </si>
  <si>
    <t>fabrice-l-129430</t>
  </si>
  <si>
    <t xml:space="preserve">Satisfait tout c'est bien passé
et les prix me conviennent
 Satisfait tout c'est bien passé
et les prix me conviennent 
Satisfait tout c'est bien passé
et les prix me conviennent </t>
  </si>
  <si>
    <t>frederic-t-137588</t>
  </si>
  <si>
    <t>j'ai été convaincu de cette assurance par le prix attractif. Les démarches pour assurer le véhicule sont très simples et rapide. J'ai été contacté par téléphone pour m’éclaircir sur les détail de l'offre.
je suis satisfait du tarif et du service proposé.</t>
  </si>
  <si>
    <t>16/10/2021</t>
  </si>
  <si>
    <t>damien-j-133695</t>
  </si>
  <si>
    <t>Je suis satisfait du prix et des options proposées. Il serait bien de faire un tarif spécial pour les motocyclistes professionnels comme les motards gendarmerie/police ou escorte convoi exceptionnel</t>
  </si>
  <si>
    <t>eric20-124930</t>
  </si>
  <si>
    <t xml:space="preserve">UNE CATASTROPHE IMPOSSIBLE  A JOINDRE  
pas  de sinistre  résiliation suite a contrat mieux couvert  et moins cher  par loi hamon  impossible de joindre un conseiller contrat transférer de eallianz a allianz  connection impossible sur le site et téléphone toujours en attente et raccroche grosse perte de temps a fuir </t>
  </si>
  <si>
    <t>aucun-111710</t>
  </si>
  <si>
    <t>Je ne puis rien dire sur la rapidité de remboursement, car je n'ai pas eu d'accident. par contre le prix augmente trop: un exemple sur le dernière demande, ajout de taxes " réglementaire" en contribution aux attentats de 25.81€, une honte!! 1) assurance moto
                                                                             2) les assureurs ont fait, grâce au covid de super bénéfices.
                                                                             3) quand vous avez besoin après des années à payer, il n'y a plus personne ( valable pour beaucoup d'assureurs).
Ai changé vers AMV, voir sur le long terme.
Je ne désir pas recevoir de pub et autres mail sur mon mail.  Supprimez mon compte: merci.</t>
  </si>
  <si>
    <t>26/04/2021</t>
  </si>
  <si>
    <t>nolan-116146</t>
  </si>
  <si>
    <t xml:space="preserve">Je suis très satisfait des prix je recommande vivement cette assurance vous pouvez y aller les yeux fermer assurance près profesionelle devis rapide. </t>
  </si>
  <si>
    <t>skip-macabou-112025</t>
  </si>
  <si>
    <t>Sur conseil de de mon agent AXA, J'ai remplacé le 16 mars dernier mon ancien contrat LIBRETTO souscrit en 1993 par un contrat PERPESTIV'PIANO beaucoup plus intéressant d'après mon agent.
A ce jour, je n'ai aucune nouvelle sur mon nouveau contrat malgré plusieurs relances chez mon agent.
Je me pose des questions sur le sérieux d' AXA VIE.</t>
  </si>
  <si>
    <t>thurinus-65466</t>
  </si>
  <si>
    <t xml:space="preserve">cela fait pas mal d'années  que nous sommes chez A M V tout s'est toujours très bien passé sans compter que rapport qualité prix il n'y a vraiment rien à dire et au tel ils sont très aimables et font ce qui à été convenu pas besoin de les rappeler </t>
  </si>
  <si>
    <t>antoine-c-107614</t>
  </si>
  <si>
    <t>Meilleure offre disponible aujourd'hui. Service client répond en ligne. Offre promotionnelle un peu longue a débloquer. Conseiller en ligne tres aimable et bon suivi de dossier</t>
  </si>
  <si>
    <t>kamel-89808</t>
  </si>
  <si>
    <t xml:space="preserve">ATTENTION ne vous faites surtout pas avoir à ne jamais souscrire dans cette assurance si vous y êtes fuyez le plus vite possible on a incendié mon véhicule le 27 janvier il assure une prise en charge rapide mais ces pas le cas du tous il font traîner le dossier un maximum tout d'abord au niveau de l'expertise du véhicule il on étais jusqu'à faire des analyse d'huile en laboratoire après avoir vu que mon véhicule étais bien entretenue il me demande de justifier comment j'ai acheter mon véhicule sachant qui coûte pas plus de 6500€ sur le marcher il font traîner l'affaire en disant qu'il son obliger de demander selon la loi alors qu'après mettre déplacer dans un cabinet d'avocat il m'a certifier que cette loi ne concerner que les grosse somme suspecte et que là en l'occurrence ces autoriser par la loi, en bref je n'es pas d'autre choix que de prendre un Avocat à mes frais pour régler le problème, il font tous pour pas vous rembourser en vous demandant des documents qui n'on pas à demander ne vous faites pas avoir </t>
  </si>
  <si>
    <t>21/05/2020</t>
  </si>
  <si>
    <t>lorevict-56319</t>
  </si>
  <si>
    <t>un assureur de qualité</t>
  </si>
  <si>
    <t>27/07/2017</t>
  </si>
  <si>
    <t>narnard-75463</t>
  </si>
  <si>
    <t xml:space="preserve">tres a l'ecoute des problemes rencontres et trouvé une solution </t>
  </si>
  <si>
    <t>dave-101275</t>
  </si>
  <si>
    <t>TARIF PROHIBITIF:505 EUROS pour SMART FOR TWO de 2015 .Pour CONTRAT PETIT ROULEUR (700 KM PAR AN )SANS ACCIDENT_VEHICULE. DANS GARAGE FERME, LUI MEME DANS RESIDENCE FERMEE_LE TOUT DANS SECTEUR CALME_150 EUROS DE MOINS EN MOYENNE A LA CONCURENCE_ CONTRAT IDENTIQUE: SCANDALEUX.  ASSURANCE MUTUALISTE:CURIEUSE CONCEPTION.</t>
  </si>
  <si>
    <t>sarah-g-116454</t>
  </si>
  <si>
    <t xml:space="preserve">Je suis insatisfaite de la qualité de service que vous accordez au traitement de mon dossier. Je dois moi-même relancer pour être informé du suivi de mon dossier, vous êtes injoignable. On a raccroché directement alors que nous étions en appel et que vous m'avez demandé de patienter. C'est vraiment pas ce que l'on attend d'une société d'assurance, surtout lorsqu'on est victime d'un sinistre ! </t>
  </si>
  <si>
    <t>rh-furieux-102556</t>
  </si>
  <si>
    <t>Remboursements impossibles à avoir pour les collaborateurs ! Je peux dire que le service rendu est honteux ! 
En qualité de RH je ne ferai plus jamais appel à Mercer car le niveau d’insatisfaction est vraiment trop important.</t>
  </si>
  <si>
    <t>13/01/2021</t>
  </si>
  <si>
    <t>bm-89776</t>
  </si>
  <si>
    <t>Après quelques jours assuré chez Direct assurance, j'ai eu la mauvaise surprise d'avoir été résilié par l'assurance !
Pour une assurance qui devait me coûter 187€/an, cela m'a couté  65 € pour 20 jours, soit 1 186€/an !
A fuire !</t>
  </si>
  <si>
    <t>20/05/2020</t>
  </si>
  <si>
    <t>juju-71408</t>
  </si>
  <si>
    <t>Honteux, difficile voir impossible de  joindre l'agence d’Ajaccio au téléphone j'ose imaginer en cas de sinistre réel le temps pour que ces assureurs en manque total de professionnalisme agissent</t>
  </si>
  <si>
    <t>Groupama</t>
  </si>
  <si>
    <t>lazic-l-130037</t>
  </si>
  <si>
    <t>simple, prix intéressant, pratique. A voir après une fois qu'il y a sinistre. c'est à ce moment là que l'on s'aperçoit de la réactivité, de la qualité de la compagnie d'assurances.</t>
  </si>
  <si>
    <t>cricous-77893</t>
  </si>
  <si>
    <t>LA meilleure assurance du marché en terme de garanties et de prix. Tous les avis négatifs que je peux lire ne sont pas fondés car c'est un manque de compréhension des clients. Tout le monde oublie que c'est une délégation d'assurance et que les changements de garanties ou les résiliations ne peuvent se faire qu'avec l'accord du bénéficiaire acceptant, c'est à dire la banque, et par écrit. Ceux qui sont prelevés alors qu'ils n'ont pas donné suite, devraient se retourner contre leur intermédiaire qui a déclenché sans leur accord. Quand on fourni les bons documents, Metlife est très réactif et si il manque quelque chose, ils vous écrivent ou vous envoie un mail directement.</t>
  </si>
  <si>
    <t>24/07/2019</t>
  </si>
  <si>
    <t>yacine-66401</t>
  </si>
  <si>
    <t xml:space="preserve">Bonjour,
j'ai eu un accrochage 100% non responsable et je suis assuré TOUS RISQUE avec le pack TRANQUILLITÉ j ai attendu 1 mois pour avoir une expertise. l expert a estimé ma voiture irréparable  il ma proposé 8500e elle est coté a l argus a 11300e 
A FUIRE !! A FUIRE </t>
  </si>
  <si>
    <t>25/08/2018</t>
  </si>
  <si>
    <t>lou-52156</t>
  </si>
  <si>
    <t>souscription d'un nouveau contrat pour ma nouvelle voiture sachant que j'étais déjà assuree pour mon ancien véhicule sans aucun problème . J' ai donc souscris sans problème , payée les  2 mois d'avances envoyé tout les documents à  temps et en voyant que je ne recevait pa ma carte verte définitive je les ai apele et la surprise .. on me dit que je suis résilié parce que le numéro du type mine du contrat ne correspond pas à celui de la carte grise. 
Or je n' avais fourni aucun numéro lors de mon inscription par téléphone la conseillère à mis le numéro qu'elle a voulu et résultat c moi qui en paye les frais . Mais le comble c'est qui ne veulent pas remboursé le mois que j'ai payé à lavance . Active assurance  ne vous y aventurez même pas . J'ai d' ailleurs engagé des poursuite judiciaire ils n' avaient aucun droit de me résilier !!!! 
D'après mon avocat ils vont me payer de sacré dommage et intérêt.  
Ça leurs donnera une bonne lecon .</t>
  </si>
  <si>
    <t>07/02/2017</t>
  </si>
  <si>
    <t>nat69510-55455</t>
  </si>
  <si>
    <t>Mon papa a eu un accident le 2 février dernier, il n'est pas en tord, l'expert et Pacifica ne veulent pas prendre en charge les réparations, du jamais vu!!! L'expert n'explique pas les dégâts sur la voiture et nous traite de menteur comme Pacifica. Il me demande de faire une contre expertise à ma charge mais j'ai demandé par mail la motivation du refus ainsi que l'analyse technique, mais aucune réponse, ils répondent même pas au courrier recommandée</t>
  </si>
  <si>
    <t>18/06/2017</t>
  </si>
  <si>
    <t>idriss-t-106441</t>
  </si>
  <si>
    <t>Je suis très peu satisfait de ce que fait Direct Assurance pour garder ses clients, vous nous poussez clairement a partir de chez vous pour revenir et profiter d'un contrat en tant que nouveau client, la preuve, près de 250e de différence dont je ne peut pas profiter car je suis déjà chez vous, résultat je vais probablement partir le mois prochain et revenir peut-être dans 1an ou 2. Ce n'est ni bénéfique pour vous, ni pour nous clients.</t>
  </si>
  <si>
    <t>13/03/2021</t>
  </si>
  <si>
    <t>pongou-51844</t>
  </si>
  <si>
    <t>j'ai eu un accident en angleterre ou j'etais censé etre assuré.
resultat presque d'1 an pour me faire rembourser l'argus de ma moto.et le reste est encore en cours.
j'ai du faire l'avance pour reparer ma moto.(3700eur), et du revenir en france pour les reparations!
impossible de m'envoyer une carte verte par email. pratique quand ont est loin...
bref plus jamais
de plus ils ne m'ont pas rembourser pour un degat des eaux en assurance habitation...
heureusement que j'etais client de puis plus de 10ans...
ils me doivent plus de 700eur et viennent me faire chier pour des cotisations a 90eur....
seul point positif, la dgsi(filliale qui s'occupe des accidents a l'etranger) extremement reactif et facilement joignable gratuitement. mais ce n'est pas la macif lol</t>
  </si>
  <si>
    <t>30/01/2017</t>
  </si>
  <si>
    <t>magi-99393</t>
  </si>
  <si>
    <t>Conseillère qui raccroche le téléphone pendant la conversation, un peu facile le télétravail comme ça, dès que l'on est pas d'accord.
Inadmissible !!!
Ps: ça ne se reproduira pas, je vais changer d'assureur.</t>
  </si>
  <si>
    <t>30/10/2020</t>
  </si>
  <si>
    <t>serge-57549</t>
  </si>
  <si>
    <t>société depuis 2013, payant plus de 900 euros de cotisation annuelle, je suis résilié en 2017 pour 3 sinistres non responsable : un accident avec tiers identifié en 2015, un bris de glace en 2017 (pare brise) et un soit -disant 3ème sinistre alors que le caillou qui est venu fissurer le pare-brise de mon véhicule a également touché le toit panoramique ce qui n'est pas considéré comme un bris de glace. Résultat : je suis considéré comme un danger au volant et résilié. Direction SOS malus et autres. C'est franchement scandaleux. La GMF assurément humain ? je vous laisse apprécier...</t>
  </si>
  <si>
    <t>23/09/2017</t>
  </si>
  <si>
    <t>lolopesche-63246</t>
  </si>
  <si>
    <t xml:space="preserve">Nulle ! je ne réussi pas à obtenir mon relevé d'information , aucun moyen d'arriver jusqu'au service gestion , on tombe sur un prestataire , une certaine plate forme téléphonique ,ils ne m'ont jamais rappelé depuis 6 mois. Je ne peux même plus assurer ma moto ! </t>
  </si>
  <si>
    <t>clientdecu-c-110531</t>
  </si>
  <si>
    <t>je vous ai deja dit au telephone pourquoi je suis insatisfait
je vous ai deja dit au telephone pourquoi je suis insatisfait
je vous ai deja dit au telephone pourquoi je suis insatisfait
je vous ai deja dit au telephone pourquoi je suis insatisfait
je vous ai deja dit au telephone pourquoi je suis insatisfait
v</t>
  </si>
  <si>
    <t>dgoblet-76344</t>
  </si>
  <si>
    <t>Depuis le 16 mars soit plus de 2 mois j'attends une réponse sur la prise en charge d'un devis de mon dentiste. La hot line, contactée plusieurs fois, me répond à chaque fois que ma demande va être traitée dans la semaine qui suit, sans résultat. Dois-je changer de mutuelle?</t>
  </si>
  <si>
    <t>29/05/2019</t>
  </si>
  <si>
    <t>loic-s-105892</t>
  </si>
  <si>
    <t>simple, pratique, rapide et pas cher. Je pense que je vais mettre mes deux voitures chez vous, il faut que j'attende d'avoir mes nouvelles plaques minéralogique.
Bien à vous</t>
  </si>
  <si>
    <t>camillemt-77635</t>
  </si>
  <si>
    <t>Attention ne vous faites pas avoir !! Ne pas appeler la maif pour une demande de renseignement car ils enregistre votre demande comme un sinistre et donc ça apparaît sur votre relever d'information lorsque vous voulez changer d'assurance . Et donc inutile de vous dire que la nouvelle assurance considère ça comme un vrai sinistre et donc du malus ect... c'est honteux !!!!</t>
  </si>
  <si>
    <t>15/07/2019</t>
  </si>
  <si>
    <t>stephane-90722</t>
  </si>
  <si>
    <t>nous sommes en possession de 4 véhicules dans notre foyer 1 seul es assure chez direct assurance actuellement dommage que vous n assurez pas de quad qui fais parti des 4 véhicules</t>
  </si>
  <si>
    <t>13/06/2020</t>
  </si>
  <si>
    <t>sophie--128461</t>
  </si>
  <si>
    <t xml:space="preserve">Suite à un sinistre non responsable puisque voiture stationnée à mon domicile et dommage causé par un tiers on m’augmente mon assurance !! Je n’ai jamais vu ça !! 
Plus de 2 mois que le sinistre a eu lieu et Pacifica me répond on ne va pas envoyer un courrier de relance toutes les semaines ! C’est une blague ...
Très déçu de cette compagnie </t>
  </si>
  <si>
    <t>pacifica-53428</t>
  </si>
  <si>
    <t xml:space="preserve">Je suis affiliée à l ' Ag2r par mon employeur plus de 10000 employés. Je suis en arrêt de longue durée.  J'ai reçu mes remboursements de la Cpam en temps et en heure. Par contre de l ' Ag2r cela a été très compliqué. Mon service paie se bat pour obtenir les remboursements de l ' Ag2r. J'ai vécu avec un peu plus de 100 euros pour un mois.Ils ne sont pas joignables. </t>
  </si>
  <si>
    <t>20/03/2017</t>
  </si>
  <si>
    <t>morel-s-122042</t>
  </si>
  <si>
    <t>je suis satisfait du service  de l'accueil et des explications et surtout parce que c'est très rapide et très intéressant au niveau tarif en comparaison avec les autres assurances</t>
  </si>
  <si>
    <t>ajevan-71359</t>
  </si>
  <si>
    <t>Sinistre : 
Un sinistre pris en charge très rapidement, avec une voiture de prêt mise à ma disposition à mon domicile le jour suivant le sinistre.
Relation clientèle: 
Personnel très agréable au téléphone, qui a su apporter les réponses nécessaires. 
Prix :
Direct Assurance proposait un prix plus attractif, mais le dossier n'a pas aboutit, mon choix s'est porté sur L'olivier.</t>
  </si>
  <si>
    <t>16/02/2019</t>
  </si>
  <si>
    <t>tt-91170</t>
  </si>
  <si>
    <t xml:space="preserve">Trop chère 250 à *270 €/mois pour 2 adultes et 2 enfants, trop compliqué à suivre, la carte santé complique lay compréhension des débits et remboursements, des cumuls de différents remboursements de différents membres de la famille avec des spécialistes différents.... Impossible de savoir clairement voire pas du tout ce qui est remboursé. Mal aidé quand on demande des explications, jamais eu les décomptes des remboursements sauf quand j'ai résilié !! </t>
  </si>
  <si>
    <t>17/06/2020</t>
  </si>
  <si>
    <t>jari-j-126979</t>
  </si>
  <si>
    <t>Je suis très satisfait, vous êtes meilleure que vos concurrents, je suis content d’être clients chez vous, merci beaucoup, j’espère avoir fait le bon choix.</t>
  </si>
  <si>
    <t>jean-francois-m-136136</t>
  </si>
  <si>
    <t>Bien diriger par le site, rapide et efficace cette mutuelle est a la hauteur de mes attentes. Je découvre APRIL et suis satisfait pour la prise en charge du client.</t>
  </si>
  <si>
    <t>scad-65459</t>
  </si>
  <si>
    <t xml:space="preserve">Globalement Axa fait parmi à mon gout des assureur pas trop malhonnête. Il est vrai que c'est plus cher que les low-cost, mais ils ne cherchent pas à voler des frais de dossiers non prévu ou des changements de prix 15 jours après la souscription. Rappelons cependant que la qualité du service dépend avant tout de votre agent général. Étant assuré automobile et habitation, je sis satisfait sur mes contras auto et moto, moins sur l'habitation suite à un dégât des eaux très mal géré.   </t>
  </si>
  <si>
    <t>bienz-m-115505</t>
  </si>
  <si>
    <t xml:space="preserve">Madame, Monsieur,      
Je vous remercie de pouvoir faire partie de votre organisme, merci à toute l'équipe, je suis satisfaite de votre travail et de votre qualité d'expériences agréable. je vous prie d'agréer Madame, Monsieur l'expression de mes salutations distinguées  Mme BIENZ </t>
  </si>
  <si>
    <t>pale-p-137304</t>
  </si>
  <si>
    <t xml:space="preserve">Satisfait du service. 
Excellente prestation 
Tarif très convenable 
Très bonne réactivité des services 
Reponse favorable à ma demande.  Je recommande </t>
  </si>
  <si>
    <t>dracu-65563</t>
  </si>
  <si>
    <t>Assurance a fuir. Garantie minimaliste , prix exorbitant.
Quand mon emprunt se prélevé  656 euros et que   l'assurance April arrive tous les trimestre arrive, 666 euros !!! Nous n'arrivons plus en joindre les deux bouts. Ma femme a une maladie  de crohn la surprime est énorme pas rapport a la gravité  de sa maladie. Je pensais que une assurance était là pour nous aider pas pour nous ruiner .</t>
  </si>
  <si>
    <t>bob75015-53199</t>
  </si>
  <si>
    <t>Mutuelle nulle... Chère, service client inexistant; remboursements effectués mais lents.
En outre, marketing agressif.
Bref, à fuir d'urgence</t>
  </si>
  <si>
    <t>12/03/2017</t>
  </si>
  <si>
    <t>kusias41-69642</t>
  </si>
  <si>
    <t>Attention aux pratiques commerciales abusives d'apfil et de ses courtiers. Ces derniers ont vendu à ma belle mère de 83 ans une assurance santé en pratiquant l'abus de faiblesse et le mensonge en lui disant que son actuelle assurance n'existerait plus l'année prochaine en lui faisant signer un contrat sans option je vais porter plainte et vous invite à éviter cette société aux pratiques délictueuses</t>
  </si>
  <si>
    <t>24/12/2018</t>
  </si>
  <si>
    <t>hounga-f-127187</t>
  </si>
  <si>
    <t>Je suis très satisfait de cette offre, au niveau des tarifs, des avantages de cette assurance automobile. Niveau service client, c'est vraiment intéressant.</t>
  </si>
  <si>
    <t>chloe--v-109453</t>
  </si>
  <si>
    <t xml:space="preserve">Je suis très satisfaite, des conditions et des prix, je recommanderais cette assurance à ma famille et à des amis, même à des collègues qui cherchent une bonne assurance. </t>
  </si>
  <si>
    <t>07/04/2021</t>
  </si>
  <si>
    <t>issam-z-124476</t>
  </si>
  <si>
    <t>Je suis satisfait du service 
Amv est très réactif par téléphone 
Dommage que le numéro est surtaxe
Amplement satisfait du service et de la réactivité d’amv</t>
  </si>
  <si>
    <t>nanou-79950</t>
  </si>
  <si>
    <t>J'aurai mis 0 étoile si cela était possible ! Après le décès de notre père qui avait côtisé chez AXA, une rente éducation trimestrielle devait nous être versé à chaque enfant jusqu'à nos 26 ans et cela sans obligation de poursuite d'études et même si les études étaient terminées! Et bien depuis 4 ans nous ne recevons plus aucune rente alors que nous avons encore l'âge requis...Une honte !</t>
  </si>
  <si>
    <t>renee-lucie-h-113256</t>
  </si>
  <si>
    <t>tres bon acceuil et ecoute des demandes personne agreable et super pour m;avoir aider a soucrire mes assurances 10/10 il faut des petrsonnes comme celle que j;ai eut pour venir chez vous s;assurer</t>
  </si>
  <si>
    <t>charles-b-112690</t>
  </si>
  <si>
    <t xml:space="preserve">Je suis très satisfait des services et de l'interface direct assurances, facile d'accès contact immédiat et prix intéressants , je recommande à tous d'essayer </t>
  </si>
  <si>
    <t>maaf-112403</t>
  </si>
  <si>
    <t xml:space="preserve">Grosse surprise quand j'ai voulu assurer un nouveau véhicule, la Maaf m'a dit que c'était impossible compte tenu des sinistres que j'ai enregistré :
2 en 2019 dont un pour vandalisme sur rétroviseur électrique et 1 ou en faisant un cerneau pour me garer j'ai accroché la voiture de mon voisin ( donc pas une collision )
et ils sont remontés jusqu'en 2017 pour toujours un vandalisme sur rétroviseur électrique...
C'est la Maaffff....Jamais était averti de cette future exclusion d'assurance sur un nouveau véhicule, non ! Ils continuent à vous prélever... </t>
  </si>
  <si>
    <t>juju-80871</t>
  </si>
  <si>
    <t>A éviter vous jete des qu'ils doivent engagé des frais.
Pub mensengere il n'y a pas de bonus 50 a vie car vous jete avant.
Sais pour cela qu'il recherche des nouveaux pigeon.
A VOS RISQUE ET PÉRILS.</t>
  </si>
  <si>
    <t>09/11/2019</t>
  </si>
  <si>
    <t>alastor-139229</t>
  </si>
  <si>
    <t xml:space="preserve">Attention . La publicité ne reflète en rien la réalité. 
Aucun problème tant que vous payez.
Par contre , dès le premier sinistre , l’assurance vous laisse tomber et ne vous dédommage de rien du tout ! Très mauvais conseil de leur part
Je part dans l’instant.
</t>
  </si>
  <si>
    <t>kloug-96802</t>
  </si>
  <si>
    <t>La pire assurance santé de ma vie, qui n'a de mutuelle que le nom et traite les gens comme de simples "clients". 40 jours de délai pour un remboursement pourtant transmis électroniquement, un service téléphonique très désagréable et bien sûr jamais de retard dans l'envoi de publicités sur papier et autres courriers coûteux, ni pour encaisser les cotisations !
A éviter.</t>
  </si>
  <si>
    <t>29/08/2020</t>
  </si>
  <si>
    <t>rahali-a-133818</t>
  </si>
  <si>
    <t xml:space="preserve">Je suis satisfait du service et du prix est surtout le service clientèle franchement bravo vous êtes les meilleures merci à toute l’équipe pour le travaille </t>
  </si>
  <si>
    <t>julien-b-124754</t>
  </si>
  <si>
    <t>Service pratique et rapide. Je voulais juste une attestation scolaire pour mes filles et c'est assez simple et rapide. Rien à dire de plus. Merci et bonne journée</t>
  </si>
  <si>
    <t>auronblaze-114324</t>
  </si>
  <si>
    <t>Assurance totalement incompétente, informations sur le contrat différentes de celles entrées, dates modifiées, souscrit le 19, résilié le lendemain... FUYEZ</t>
  </si>
  <si>
    <t>jojobosse-65157</t>
  </si>
  <si>
    <t xml:space="preserve">Je suis super déçu du service administratif de cette Assurance  depuis juillet 2017 le service est incapable de résoudre un sinistre dont j'ai été victime avec la compagnie adverse a chaque appel téléphonique la même et unique réponse qui ressort ..."  La compagnie d'assurance adverse qui est la poste ne réponde pas !!! je leur dit chapeau " </t>
  </si>
  <si>
    <t>29/06/2018</t>
  </si>
  <si>
    <t>gay-c-138992</t>
  </si>
  <si>
    <t>Très satisfait de l'accueil et de la rapidité pour souscrire le contrat. 
De plus le tarif est très intéressant pour la couverture offerte.
Il n'est pas impossible que je transfère mon assurance logement à la prochaine échéance</t>
  </si>
  <si>
    <t>moutarde-87863</t>
  </si>
  <si>
    <t>En 5 ans, tous ses points, aucun accident responsable, bonus au max, 3 accrochages par des  tiers entièrement responsables,  un véhicule parfaitement entretenu preuves en mains hélas détruit par un court circuit et  voila mon fils "jeté" par la Matmut comme un malpropre avec en prime une attestation qui le marque comme un conducteur à risques ! Assuré kleenex c'est le bon terme.</t>
  </si>
  <si>
    <t>02/03/2020</t>
  </si>
  <si>
    <t>maitre-129725</t>
  </si>
  <si>
    <t xml:space="preserve">Je me suis assuré chez eux depuis plus de 3 ans, apar le tarif attractif, le service client est tellement professionnel et à l ecoute, je recommande , rien à dire , c est le meilleur assureur </t>
  </si>
  <si>
    <t>momo90-63660</t>
  </si>
  <si>
    <t>Voilà je suis en accident de travail depuis le 22 décembre 2016 j'ai fait marcher mon assurance Cardif il fallait attendre 90 jours de carence sur ce que j'ai fait de l'allemand rembourser pendant 12 mois il m'a ensuite envoyer un questionnaire médical à remplir par mon médecin chaussettes apparemment je ne suis plus prise en charge alors je suis encore en accident de travail j'ai une complication de ma capsulite rétractile droite de l'épaule je n'arrête pas de passer des examens ils ils ne veulent plus prendre en charge je suis outré je suis au bout de ma vie au bout du rouleau déjà pour moi ne plus travailler et très dur savoir que tu payes une assurance pour du vent ça me le cela me dégoûte je pense à mettre fin à mes jours je suis dégoûté de la vie sur ma tombe il y aura écrit morte à cause de l'assurance Cardif</t>
  </si>
  <si>
    <t>03/05/2018</t>
  </si>
  <si>
    <t>makha-b-130492</t>
  </si>
  <si>
    <t xml:space="preserve">Je suis satisfait de la rapidité du devis et réalisation de mon contrat avec la qualité des prix et service proposé dans sa diversité et je recommanderai </t>
  </si>
  <si>
    <t>f12018-64240</t>
  </si>
  <si>
    <t>je cherchais une mutuelle et santiane m a rappelé de suite. j ai trouvé la bonne formule avec je pense le bon prix et je souhaite remercier la teleconseillere  super gentille et a l ecoute je pense sincerement la rappelé en cas de doute</t>
  </si>
  <si>
    <t>28/05/2018</t>
  </si>
  <si>
    <t>falasi23-61420</t>
  </si>
  <si>
    <t>Au niveau de l'assurance je suis en tous risques, donc pas de surprise, j ai pris vehicule de location en cas de soucis... Assurance est joignable et a rapidement fait le necessaire suite a mon accident... Mais pour le suivi c'est autre chose....</t>
  </si>
  <si>
    <t>14/02/2018</t>
  </si>
  <si>
    <t>el-mehdi-m-129607</t>
  </si>
  <si>
    <t xml:space="preserve">j'ai opdté pour assurer ma voiture chez vous car le devis rapide et le prix est aussi me convient, 
j'ai opdté pour assurer ma voiture chez vous car le devis rapide et le prix est aussi me convient, </t>
  </si>
  <si>
    <t>vachoulette-103482</t>
  </si>
  <si>
    <t>A fuir !!!! + de 71 appels avec biensur des attentes de 15, 16, 17 mins avec bien souvent personne au bout du fil... des renvois de papiers, de mails, des accusés réceptions à n’en plus finir ! C’est une honte... il faudrait tous se regrouper pour porter plainte contre cette société qui nous vole NOTRE argent... ce n’est pas normal !! A titre informatif, si certains n’ont pas encore leur mail pour réclamer votre argent ou envoyer des papiers, allez y... je vous le donne !  Assures@cnp.fr 
Mettez bien votre numéro de dossier, ils répondent en 2/3 jours. 
Biensur à cette heure je n’ai pas encore reçu mon rachat partiel mais cette assurance ne s’en sortira pas comme ça ! Je compte bien porter plainte contre eux !</t>
  </si>
  <si>
    <t>31/01/2021</t>
  </si>
  <si>
    <t>fc-55191</t>
  </si>
  <si>
    <t xml:space="preserve">Une catastrophe ! assurance résiliée au mois de Mars, toujours pas effectuée au mois de Mai, et au mois de Juin on me prélève parce que renouvellement tacite ! Honteux, les prix ne sont pas élevés mais on sait pourquoi.Bref, à éviter à tout prix </t>
  </si>
  <si>
    <t>07/06/2017</t>
  </si>
  <si>
    <t>benoist-86998</t>
  </si>
  <si>
    <t xml:space="preserve">Tres très déçu ,la personne qui "suis" mon dossier est clairement pas compétente me donne des infos quelle contestera ensuite (me disant quelle consulterais nos appels téléphoniques ....,belle ambiance ), dans son dernier mail  elle n a pas retrouvé nos appels ... et enfin quelle ne comprend même de quoi je parle ...,après 5 mail et 4 appels , et enfin elle est capable de s emportée ,de monter la voix ,si on la confronte a ses propres contradiction. 
Ps j ai écrit un lettre recommandée( pour avoir droit a mes droits) le 24.01.2020 réceptionné le 27.01.2020 , depuis ?!? rien bien sur </t>
  </si>
  <si>
    <t>11/02/2020</t>
  </si>
  <si>
    <t>vera-diogo--106918</t>
  </si>
  <si>
    <t xml:space="preserve">
Une agence qui fonctionne de cette manière 
devrait être fermé par la loi ! 
Pas d'autres commentaires 
Toujours avec des excuses dans le remboursement
Non contactable
Ne pas faire de mutuelle à cegema
</t>
  </si>
  <si>
    <t>dave-114758</t>
  </si>
  <si>
    <t xml:space="preserve">Je suis scandalisé que mon contrat auto soit résilié sachant que j'ai obtenu en 2020 deux accident non responsable, et un bris de glace. 
Vu cette décision, je pense résilier tout mes contrats. </t>
  </si>
  <si>
    <t>maurizionews-62931</t>
  </si>
  <si>
    <t xml:space="preserve">Je viens de rappeler mercer - après 15 jours, comme on m’avait dit la dernière fois au téléphone - car je n’ai toujours pas eu de réponse à mon devis. On me dit d’attendre encore 1 à 1,5 semaine… On est donc à un temps d’attente de presque un mois. L’email initial avec le devis a été envoyé le 15 mars. Je n’accepte pas la situation et je souhaite parler avec un responsable. Au début on rejette et on me demande d’attendre mais après on essaie de me passer un responsable. Apparemment personne est disponible, on me demande quand est-ce que j’ai envoyé le devis. Il se trouve qu’ils voient mes deux relances mais pas l’email initial avec le devis, pour lequel pourtant j’ai bien reçu le numéro d'accusé de réception. J’indique le numéro d'accusé de réception et mercer ne trouve rien sous ce numéro. Je demande quoi faire maintenant et on me dit de renvoyer le devis. Je demande « et après » ? On me dit de devoir attendre 2 à 3 semaines car c’est le délai de traitement actuellement.  
Entre-temps la conversation (temps d’attente inclus) a duré 32 minutes (11h30 à 12H02) et a coûté presque 5 EUR. 
C'est une blague... </t>
  </si>
  <si>
    <t>04/04/2018</t>
  </si>
  <si>
    <t>paul-m-132552</t>
  </si>
  <si>
    <t xml:space="preserve">Parfait cela meme convient !
En tout risque je m'attendais à ce que ce contrat me coûte bien plus cher car mon assureur actuel mindiquais une somme bien plus élevée pour le même contrat
</t>
  </si>
  <si>
    <t>pierre-b-132328</t>
  </si>
  <si>
    <t xml:space="preserve">Du premier contact par tel jusqu'à la signature par internet, rien à dire. Pro, réactif, prix, recup bonus sur véhicule de fonction ...       
Pierre </t>
  </si>
  <si>
    <t>julie-81335</t>
  </si>
  <si>
    <t xml:space="preserve">Assurance digne du Guinness Book ! Service inexistant. J'attends les réparations pour mon appartement suite à un sinistre depuis Mai 2018 et toujours rien alors que je suis sous assistance respiratoire c'est donc un cas urgent et je continue à manger de la peinture dans mon assiette. L'assurance et leurs experts refusent de prendre en charge les réparations alors que je possède un contrat qui stipule la REMISE A NEUF des éléments endommagés. C'est une assurance qu'on paye dans le vide. C'est inacceptable, assurance à absolument absolument absolument éviter ! </t>
  </si>
  <si>
    <t>25/11/2019</t>
  </si>
  <si>
    <t>virginie-c-129110</t>
  </si>
  <si>
    <t xml:space="preserve">La prise d’assurance est simple, pratique et rapide. Pas beaucoup de différence sur les tarifs pratiqués .
Rien a dire de plus,
Cordialement,
Bruno Cruanes
</t>
  </si>
  <si>
    <t>jfb-85755</t>
  </si>
  <si>
    <t>Assuré depuis bientôt deux ans chez Assur ô Poil, je suis déçu par la façon de faire des décideurs de cette société: même si l’on est informé d’une augmentation annuelle de la prime que l’on règle chaque mois dans les conditions générales, cette augmentation est injuste. Que les nouveaux assurés paient le tarif en vigueur au moment de leur souscription, c’est évidemment correct et juste mais pénaliser les anciens assurés par une  augmentation annuelle, ce n’est pas fairplay et aucune reconnaissance de leur fidélité à Assur ô Poil. Il est nécessaire que les futurs nouveaux assurés sachent ce qui les attend au fil des années.</t>
  </si>
  <si>
    <t>manitoba59940--99817</t>
  </si>
  <si>
    <t>Depuis 2012, n
Un dossier de protection juridique a été ouvert pour un.litige d'une salle de bain payée et jamais livrée.  A ce jour en 2020, toujours rien. Un service de protection juridique incompétent.   On attend, et les années passent tranquillement !!</t>
  </si>
  <si>
    <t>07/11/2020</t>
  </si>
  <si>
    <t>edmodena360-68306</t>
  </si>
  <si>
    <t>tout neuf tout beau mais lorsque l'on lit les petites lignes c'est là que l'on a les surprises
notamment pour les réparations d'impacts de pare brise ou les partenaires ne sont pas présent dans ma région
d'ailleurs y a t -il obligation d'aller chez des partenaires qui sont beaucoup plus chers qu'un ROADY par exemple 
pour info c'est le site les furets.com qui m'a recommandé direct assurance</t>
  </si>
  <si>
    <t>hubert-102989</t>
  </si>
  <si>
    <t>L'assureur et professionnel, à l'écoute et réactif. Les démarches sont simples et utilisent des moyens divers qui facilitent les échanges. Néanmoins les bureaux d'expertises en charge de traiter les accidents motos ne sont pas en mesure de traiter les expertises dans des délais convenables. Du moins pour mon cas, ma moto accidentée le 23/09 était le 25/09 chez un réparateur. Je n'ai récupéré mon véhicule le 18/12. Ce délai est essentiellement dû au retard à l'expertise du véhicule qui a nécessité 2 passages.</t>
  </si>
  <si>
    <t>20/01/2021</t>
  </si>
  <si>
    <t>captain-90972</t>
  </si>
  <si>
    <t>On ne peut pas croire que la GMF traite ses sociétaires de la sorte. La GMF n'assura pas du tout. Dégas des eaux en Novembre 2019 (pas très grave, plafond, et tapisserie à refaire), expert en février 2020, devis des travaux en juin 2020 et à nouveau une expertise (pourquoi ?) bref une galère inadmissible</t>
  </si>
  <si>
    <t>15/06/2020</t>
  </si>
  <si>
    <t>machado12-96120</t>
  </si>
  <si>
    <t xml:space="preserve">J'ai envoyé les pièce justificative par voie postale et par mail, je reçois toujours des relances derrière donc j'essaye d'appeler, voila maintenant que ça fait une semaine que j'essaye de les joindre par téléphone (16min au téléphone avant qu'ils vous disent que toutes les lignes sont occupé et sa raccroche), mail et Twitter et toujours pas de réponses!!! ils sont incompétent on un service client inexistant!!!
EVITER CETTE ASSURANCE </t>
  </si>
  <si>
    <t>10/08/2020</t>
  </si>
  <si>
    <t>gdubuisson-63498</t>
  </si>
  <si>
    <t>Client MAAF depuis plus depuis plus de 25 ans j ai toujours eu un accompagnement très satisfaisant avec cette compagnie.</t>
  </si>
  <si>
    <t>23/04/2018</t>
  </si>
  <si>
    <t>ribeiro-d-109192</t>
  </si>
  <si>
    <t>Satisfait malgré les prix élevé, sinon un service client réactif au top ! je recommande pour son service client. les prix seront tout de même a revoir !</t>
  </si>
  <si>
    <t>djelassi-f-124308</t>
  </si>
  <si>
    <t>Bien bien bien. Je pense avoir trouver ce qui me convenait et concernait pour la voiture. que je possede. Juste qu on m a pas précisé et présenté les deux mois gratuits.</t>
  </si>
  <si>
    <t>ambulant-l-117913</t>
  </si>
  <si>
    <t>Satisfaite, bons prix, pas de soucis, bonne communication, rien a redire, bons services, efficace et simple, application facile a utiliser, tout est bien</t>
  </si>
  <si>
    <t>ingrid-80075</t>
  </si>
  <si>
    <t>Des pratiques proche de la tromperie, on vous incite par téléphone a signer des contrats que vous pensez être en tous risques, et après vous être ré engagé avec eux pour une belle année, vous recevez un recommandé vous expliquant que vous n'êtes en fait pas couvert pour le vol. Pourtant le montant de la prime payé correspond bien à une formule tout risque. Motif : 2 sinistres non responsables dans l'année pourtant précédé de 4 ans sans aucun souci.
Les conseillers se gardent de vous informer clairement de la situation vous poussant à souscrire des contrats pour le moins bancals</t>
  </si>
  <si>
    <t>15/10/2019</t>
  </si>
  <si>
    <t>romain-c-128140</t>
  </si>
  <si>
    <t xml:space="preserve">Souscription simple , efficace , rapide , tarifs concurrentiels . Parfait je recommande direct assurance , j’y ajouterais les 2 autres véhicules également  </t>
  </si>
  <si>
    <t>16/08/2021</t>
  </si>
  <si>
    <t>philou18520-102479</t>
  </si>
  <si>
    <t>Je viens de payer ma cotisation auto et quelle surprise, 9,2% TTC d'augmentation, mais hors taxe et prélèvements divers, juste la cotisation de base 187,72 à 216,58 soit +15,37%. Scandaleux!!!</t>
  </si>
  <si>
    <t>dominique-c-108700</t>
  </si>
  <si>
    <t xml:space="preserve">service correct popu le peu que j'ai eu a l'utiliser
Mais quelle augmentation des prix cette année 13% me semble exagéré et m'amènera a changer de compagnie d'assurances </t>
  </si>
  <si>
    <t>laurent-f-116129</t>
  </si>
  <si>
    <t>Je trouve que le tarif est très élevé par rapport aux garanties. Je vais demander un relevé d'informations afin de souscrire un contrat chez un nouvel assureur.</t>
  </si>
  <si>
    <t>cosette-s-122237</t>
  </si>
  <si>
    <t>Je suis satisfaite efficace et répond aux besoins de ma famille. En un simple clic j'obtiens ce que je demande. La plateforme est simple d'utilisation est j'arrive vraiment à trouver ce dont j'ai besoin.</t>
  </si>
  <si>
    <t>03/07/2021</t>
  </si>
  <si>
    <t>bob56delorient-76147</t>
  </si>
  <si>
    <t>Entièrement satisfait du service proposé, tant par la clarté des informations que la facilité de mise en oeuvre</t>
  </si>
  <si>
    <t>22/05/2019</t>
  </si>
  <si>
    <t>chapotot-t-109271</t>
  </si>
  <si>
    <t>Je suis satisfait les prix et les garanties me conviennent sauf la franchise que je trouve un peu chère mais elle descend au bout d'un an d'assurance.</t>
  </si>
  <si>
    <t>jami-69172</t>
  </si>
  <si>
    <t>horrible un conseil fuyez au plus vite. Impossible de trouver une solution amiable pr resilier un ct</t>
  </si>
  <si>
    <t>05/12/2018</t>
  </si>
  <si>
    <t>pikamotors-112053</t>
  </si>
  <si>
    <t xml:space="preserve">pour tous les assureurs classiques il faut à tout pris rester dans les clous sinon il est impossible d'assurer son métier chez eux c'est un scandale juste bon pour facturer mais aucuns service ... </t>
  </si>
  <si>
    <t>MMA</t>
  </si>
  <si>
    <t>responsabilite-civile-professionnelle</t>
  </si>
  <si>
    <t>mima3006-62990</t>
  </si>
  <si>
    <t xml:space="preserve">Bonjour,
Depuis 7 ans je suis assurée chez Axa, j'étais satisfaites et depuis je ne le suis plus je suis vraiment mécontente j"ai essayée de les joindre 11 fois aujourd'hui à chaque fois 5 min d'attente de plus je prends sur mon temps de travaille et personne au bout du fil. Les seuls fois où j'ai pu avoir un conseiller j'ai demandée un relevé d'information au final on m’envoie une carte verte chose que je n'ai pas demandée. J'ai fais également plusieurs demande via mon espace client pour un relevé d'information cela m'indique que ça va être envoyer par courrier, j'ai fais la demande 4 fois et je ne l'ai toujours pas. </t>
  </si>
  <si>
    <t>05/04/2018</t>
  </si>
  <si>
    <t>fabrider-52597</t>
  </si>
  <si>
    <t>très bonne assurance quand il ne se passe rien
victime d'un accident dans un rond point direct assurance s'est empressé de prendre en compte l'accident à 50/50 alors que je n'était pas en tort mais comme ça à 2 mois de passer à 50% pour toujours je suis repassé à 45%. je trouve ça lamentable . j’attends d'un assureur qu'il nous protege et nous défende.d'ailleurs venant e chager de voiture je change d'assureur</t>
  </si>
  <si>
    <t>20/02/2017</t>
  </si>
  <si>
    <t>ouly-110130</t>
  </si>
  <si>
    <t xml:space="preserve">Direct assurance est une très mauvaise assurance, incompétente en gestion des sinistres. Client depuis presque 8 ans chez eux sans aucun sinistre auparavant. Je suis assuré tous risques pack confort et mon sinistre a été jugé 50% de responsabilité. Ils ont fait trainer mon dossier 3 mois avant de me répondre qu'ils ne prenaient rien en charge, en connivence avec leur expert désigné de BCA Expertise, qui disons le n'est pas impartial et est à la solde de Direct Assurance. En gros d'après eux j'ai fait le choc tout seul contre un objet immobile alors que le constat a été signé par l'autre conducteur et les tords ont été partagés (50% chacun) d'après la conseillère Direct Assurance elle même. Donc ça fait 4 mois que je ne peux utiliser mon véhicule, impossible de les joindre, ni eux, ni le cabinet d'expertise pour contester leurs décisions. 
A moins de ne jamais conduire son véhicule et d'être sûr de ne jamais avoir de soucis, ne venez pas chez Direct Assurance. Ils sont doués pour vous faire signer le contrat mais après y a plus personne vers qui se tourner en cas de sinistre et surtout vous ne serez pas pris en charge. Même leur centre de relation client basé à l'étranger réussira à filtrer vos appels et ne décrochera pas. Direct Assurance, A FUIR !!!!!  </t>
  </si>
  <si>
    <t>aldo759-63578</t>
  </si>
  <si>
    <t xml:space="preserve">La plateforme téléphonique joignable très rapidement et gratuitement en cas de questions ou autres démarches.
la rapidité de leur retour, d envoi de documents par mail , facilité de gestion des contrats , je recommande sans hésitation cet assureur défiant toutes les concurrences. </t>
  </si>
  <si>
    <t>26/04/2018</t>
  </si>
  <si>
    <t>valerie-l-126535</t>
  </si>
  <si>
    <t xml:space="preserve">Très satisfaite et très rapide.
Meilleur prix après recherche sur internet.
Souscription faite sur internet.  Simple et efficace. Je recommande sans problème </t>
  </si>
  <si>
    <t>louis-n-107886</t>
  </si>
  <si>
    <t xml:space="preserve">Présentation au top, guidage facile pour remplir les documents et signer un contrat. Propositions a des prix très intéressants !
Je vous conseille Olivier Assurance !
</t>
  </si>
  <si>
    <t>putharson-s-112740</t>
  </si>
  <si>
    <t>les prix sont très attractifs.
J'espère que nous faisons le bon choix.
il faut voir sur le longtemps terme.
je ferais un retour dans 6 mois sur leurs sites.</t>
  </si>
  <si>
    <t>delphine-57703</t>
  </si>
  <si>
    <t>ayant eu un incident le 26 09 de cette année, un agent technique employé par l mairie de mon village a cassé une vitre arrière de mon véhicule la matmut ne fait pas le nécessaire  depuis aujourd'hui car d'après ces dires elle n'a reçu aucun constat ce qui est totalement faux puisque je l'ai envoyé et la mairie  aussi de puis mercredi et je précise que cela a été envoyé par mail je vous laisse faire votre conclusion par vous  même pour moi ma voiture est immobilisé depuis 4 jours.</t>
  </si>
  <si>
    <t>29/09/2017</t>
  </si>
  <si>
    <t>guichard-j-113998</t>
  </si>
  <si>
    <t>simple, et pratique, conditions de garantie claires. Pas de relance téléphonique commercial. Franchise un peu élevée tout de même. Sion cela semble bien</t>
  </si>
  <si>
    <t>mohamed-e-127636</t>
  </si>
  <si>
    <t>Pour le moment satisfait du prix et souscription flexible.
Génération de devis très transparente..
Assurance pour les jeunes et personnes sérieux.
Assurance moderne</t>
  </si>
  <si>
    <t>sacone-g-123835</t>
  </si>
  <si>
    <t>Le rapport qualité/prix est plutôt correct mais les prestations offertes sont à voir dans le temps. En effet, je viens à peine de souscrire le contrat.....</t>
  </si>
  <si>
    <t>frane-50982</t>
  </si>
  <si>
    <t>Bonjour,
10 ans après le décès d'un oncle, mon père bien âgé a reçu une lettre qui l'informait de ce qu'il était peut être bénéficiaire d'un contrat d'assurance vie. Depuis, malgré l'envoi des documents demandés la CNP fait silence radio et ne respecte même pas le code des assurances.
On comprend mieux ce type de difficulté quand on lit le rapport, un peu rébarbatif certes, de l'autorité de contrôle des institutions d'assurance qui a encore du ménage à faire  dans cette entreprise :
https://acpr.banque-france.fr/fileadmin/user_upload/acp/Protection_de_la_clientele/20160429-rapport-acpr-loi-eckert.pdf</t>
  </si>
  <si>
    <t>15/05/2017</t>
  </si>
  <si>
    <t>cesari-106453</t>
  </si>
  <si>
    <t xml:space="preserve">Depuis 1982 que j'adhère à la mgp, le constat est le suivant : On paie de plus en plus cher et on est de moins en moins remboursé. Je ne suis plus satisfaite. </t>
  </si>
  <si>
    <t>tim-h-129920</t>
  </si>
  <si>
    <t>Je suis très satisfait du contrat que Direct Assurance m'a proposé et je vais le recommander à tous mais les amis. Et le fait de faire mon contrat en ligne a été très très très rapide</t>
  </si>
  <si>
    <t>christ-66-105620</t>
  </si>
  <si>
    <t xml:space="preserve">Devis à 50 euros/mois en tous risque contrat signé à 52 euros par par mois et au bout de 2 ans augmenté à 56euros par mois sans aucun accidents je compte quitter pacifica </t>
  </si>
  <si>
    <t>alex66-90333</t>
  </si>
  <si>
    <t>Je suis bénéficiaire d'une assurance-vie Cardif souscrite par ma grand-mère, et Cardif Bnp Paribas n'honore pas ses engagements, plus de 2 mois de retard de paiement sans aucune raison (le dossier a été reçu complet mi-mars!)</t>
  </si>
  <si>
    <t>desreumaux-l-139074</t>
  </si>
  <si>
    <t>je suis satisfait du service les prix me conviennent simple et pratique. je le conseil a plusieurs personnes d'adhéré a cette assurance en toute sérénité</t>
  </si>
  <si>
    <t>noel-b-107785</t>
  </si>
  <si>
    <t xml:space="preserve">J'ai eu un téléconseiller plus que désagréable et limite  moqueur, gros manque de respect. Je suis téléopératrice et ce genre d'attitude est insupportable lorsque nous sommes client. Peu professionnel.
Cdt </t>
  </si>
  <si>
    <t>francis-c-133458</t>
  </si>
  <si>
    <t xml:space="preserve">Bizarrement impossible de retrouver le même tarif que le devis d il y a 3 jours. 
10€ de plus par mois. 
J aimerais que vous me rappeliez pour faire le point sur ce problème. 
Cordialement. </t>
  </si>
  <si>
    <t>elgato1993-139168</t>
  </si>
  <si>
    <t>Au départ j'etais plutôt satisfait car l'Olivier a accepté mon dossier malgré que j'avais un peu de malus seulement au bout de trois ans avec un contrat chez eux et sans accident et sans avoir eu recours à leur services j'ai continué à payer plein tarif alors que je n'avais même plus de malus, et à l'instant ou j'ai voulu faire appel à eux ils ont toujours trouver un prétexte pour ne pas payer et même pour une dépanneuse j'ai eu une réduction de 10e, Merci pour le geste, grosse blague en tout cas je suis parti de chez eux pour qu'ensuite on m'envoie une situation d'impayés complètement aberrante.... je suis dégouté de leur avoir fait confiance.
Niveau Prix pour le même type de contrat j'ai trouvé deux fois moins cher ailleurs avec des conditions plus interessantes.</t>
  </si>
  <si>
    <t>suchel-j-129285</t>
  </si>
  <si>
    <t>Souscription simple et modalités bien expliquées. Le contact téléphonique a été très courtois. Mon interlocutrice a pris tout le temps nécessaire pour m'aider à souscrire.</t>
  </si>
  <si>
    <t>evevaldel-115897</t>
  </si>
  <si>
    <t>Suite à un accident du travail , mon salaire est diminué.
Une prévoyance était souscrite auprès de Malakoff Humanis .
Durant plus de six mois , après des demandes et des démarches auprès  de cette assurance par moi même , le secrétariat de mon entreprise et le service comptable , la réponse était positive ( avec aucuns renseignements pour l employé , dixit les secrétaires :"elles ne sont pas habiliter à répondre".
   Or , aujourd'hui  leur réponse est toute différente : aucun possibilité d'avoir une aide de cette assurance.
    Être assuré chez est plus que décevant !!!</t>
  </si>
  <si>
    <t>micj-86835</t>
  </si>
  <si>
    <t>SARAH : très concis, très efficace. J'avais deux types de questions à lui poser : - sur l'activation de mon espace adhérent - comment voir les remboursements Les réponses à mes questions ont toutes été satisfaites en un temps record et je le remercie.</t>
  </si>
  <si>
    <t>07/02/2020</t>
  </si>
  <si>
    <t>stephanie22-89574</t>
  </si>
  <si>
    <t xml:space="preserve">J'ai une Opel corsa assuré tout risque , la voiture a etait incendie dans la propriété de mon père le 28 janvier .
Incendie criminelle .
Très vite l'expert passe fait l'estimation, je suis d'accord avec l'estimation , je céde la voiture a l'assurance . L'assurance me dit que je dois me débarrasser de la voiture auprès d'un épaviste , je recontacte l'expert qui me dit non pas du tout ils doivent venir chercher la voiture si non aucune indemnisation possible . Étrange !!! Après plusieurs rappelle effectivement il doive venir chercher la voiture , depuis des appels tout les jours il manque toujours un document . Mon dossier est bloqué pas de paiement et voiture toujours sur place . Mes parents sont âgées est sont en dépression de voir toujours cette voiture calciné chez eux . Est-ce normal, alors que je suis assuré tout risque!
Dossier très mal gérer jamais la même personne aucun rappelle de leur part . Ils veulent sans doute que j'abandonne est cela dure depuis 4 mois . Je ne possède rien à part ma voiture . Depuis le 28 janvier , je m'en mords les doigts d'avoir choisi l'olivier assurance . A fuir </t>
  </si>
  <si>
    <t>13/05/2020</t>
  </si>
  <si>
    <t>gonzalez-gavilan-j-110179</t>
  </si>
  <si>
    <t>Jusqu'à présent, je suis satisfait de la gestion pratique et numérique. Prix ??tout à fait correct et j'avoue avoir lu sur internet des critères favorables à cette compagnie d'assurance</t>
  </si>
  <si>
    <t>13/04/2021</t>
  </si>
  <si>
    <t>Tres bien! un peu long pour le virement du remboursement mais bien remboursée, je conseille pour avoir des déboires par ailleurs</t>
  </si>
  <si>
    <t>apian-99090</t>
  </si>
  <si>
    <t>Depuis une vingtaine d'années c'est la première fois que j'ai enfin une assurance digne de ce nom. Inutile de faire de long discours, je ne travaille pas pour AMV,comparez les prix pour une moto de grosse cylindrée et vous verrez la différence. A tous les motards je conseille vivement AMV.</t>
  </si>
  <si>
    <t>delcambre-p-112204</t>
  </si>
  <si>
    <t xml:space="preserve">satisfait du service 
prix un peu cher pour le nombre de cv meme si c'est une allemande moin cher sur ornikar
sinon bonne comunication avec le service 
</t>
  </si>
  <si>
    <t>pas-99391</t>
  </si>
  <si>
    <t>Je vous déconseille vivement LA mutuelle AG2R OU VIASANTE car malgré 64.75 € mensuels, je me suis vue refuser un forfait de dentiste de 150 € (!!!) ; aucun forfait homéopathie, etc...
Surtout, ne vous emballez pas par rapport à un conseiller qui vous endormira au téléphone : comparez vous-mêmes les mutuelles que vous contacterez à l'aide des PDF reçus.
Soyez vigilants. J'ai dû attendre un an pour résilier enfin ce contrat nul.</t>
  </si>
  <si>
    <t>felix8413-50738</t>
  </si>
  <si>
    <t xml:space="preserve">Je compare à peu près tous les deux ans les assurances auto afin de savoir si je suis bien couvert et à un prix raisonnable. Pour l'instant je n'ai trouvé que la MAIF qui rentre dans mes critères de prix et de garanties. Si vous êtes adhérent Filia Maif, le tarif est plus élevé par rapport à un adhérent Maif avec les mêmes ganranties.  La Maif reste dans sa globalité une bonne assurance avec un bon rapport qualité/prix. </t>
  </si>
  <si>
    <t>18/08/2017</t>
  </si>
  <si>
    <t>francoise-d-111474</t>
  </si>
  <si>
    <t xml:space="preserve">ca fait plus de trente ans que je suis a la GMF tout a toujours été parfait j y resterais tant que je conduirais j espere encore vingt ans ....
</t>
  </si>
  <si>
    <t>fanfouine-74942</t>
  </si>
  <si>
    <t>Difficile de noter pour la qualité des garanties et la satisfaction mon contrat prenant effet en janvier 2020</t>
  </si>
  <si>
    <t>10/04/2019</t>
  </si>
  <si>
    <t>kevin83230-64814</t>
  </si>
  <si>
    <t>Très réactive pour souscrit l’assuràce. 
Plusieurs mois pour l'acceptation de résiliation du contrat suite à la cession du véhicule. 
Obligé de faire opposition car plusieurs mois après continue le prélèvement. 
Aucun remboursement sera effectué de leur part</t>
  </si>
  <si>
    <t>16/06/2018</t>
  </si>
  <si>
    <t>manuel--102646</t>
  </si>
  <si>
    <t>A fuir j'ai assuré mon scooter pour un accident ils m'ont résilier le contrat en plus ils ont tout fait pour me compliquée les choses du coup je ne peut plus assuré mon scooter.</t>
  </si>
  <si>
    <t>14/01/2021</t>
  </si>
  <si>
    <t>jaurailamaafjelaurai-50557</t>
  </si>
  <si>
    <t>MAAF : à boycotter au maximum : BDS pour la MAAF qui boycotte nos personnes âgées qui n'ont qu'un contrat avec eux et qui ont osé téléphoner à la MAAF pour un renseignement! un renseignement pour la MAAF = un sinistre, ce qui leur permet de virer sans explication nos personnes âgées avec pour motif "fréquence de sinistres" !  VIRONS LA MAAF ET LEUR APPAT DU GAIN SANS FOI NI LOI pour "fréquences d'abus" envers les personnes vulnérables. SHAME SHAME ON YOU MAAF!</t>
  </si>
  <si>
    <t>lenne-m-108681</t>
  </si>
  <si>
    <t xml:space="preserve">je suis satisfait du service, des explication données , de la prise en main du site ainsi que des tarif  et option qui m'ont été proposée lors de mon inscription </t>
  </si>
  <si>
    <t>andre-98282</t>
  </si>
  <si>
    <t xml:space="preserve">Je n'ai pas eu le moindre problème avec Suravenir depuis les quelques huit années durant lesquelles j'y ai adhéré et cotisé. Toutefois, purement par hasard, je me suis rendu compte que je pouvais bénéficier du même produit, l'assurance au tiers la plus basique, en payant environ un tiers de moins cher par an, précisément une économie de plus de 90 € sur un total annuel de près de 300 € à Suravenir.
</t>
  </si>
  <si>
    <t>Suravenir</t>
  </si>
  <si>
    <t>brunoo49-136573</t>
  </si>
  <si>
    <t xml:space="preserve">Contacté par bs assur un courtier qui se fait passer pour vous et donc je vous mets en cause pour ne pas nettoyer vos collaborateurs. Beaucoup de personnes doivent se faire atraper par les moyens employés. Ils vous font croire que vous avez déjà un contrat et que ce n est pas un nouveau contrat et vous demande vos coordonnées bancaires pour vous débitez votre compte. 
Merci de vous entourer d organisme plus sérieux. 
</t>
  </si>
  <si>
    <t>leymet-a-110438</t>
  </si>
  <si>
    <t>Je suis hyper déçu, étant donné qu'à aucun moment dans le devis je n'ai pu inscrire mon code de parrainage et n'ai pas obtenu la réduction correspondante.</t>
  </si>
  <si>
    <t>dede27-96888</t>
  </si>
  <si>
    <t xml:space="preserve">Assurance quand tu fait que de payer ça va mais dé que c’est le cas contraire c’est différent et pourtant j’ai été assuré pendant 30 ans mais malheureusement 2 petit incident en 6 mois </t>
  </si>
  <si>
    <t>31/08/2020</t>
  </si>
  <si>
    <t>maud11-50023</t>
  </si>
  <si>
    <t xml:space="preserve">Suite à un cambriolage et à une dégradation du logement ( serrure + tapisserie je n'est touchée aucune indemnité de leur part apres près de 3 mois d'attente. Malgré de nombreuse relance téléphonique de ma part avec un service client tres désagréable. Avance des frais non remboursé. J'ai contracté cette assurance suite à un prêt auto. J'ai fais confiance à ma conseillère et je me suis fait avoir. 7000 € de perdu 
Pour payer ils sont la mais apres il n'y a personne, il ne vous reste que vos yeux pour pleure ! </t>
  </si>
  <si>
    <t>07/12/2016</t>
  </si>
  <si>
    <t>slim-111726</t>
  </si>
  <si>
    <t xml:space="preserve">Je ne suis pas satisfait de leur traitement de sinistre j'ai eu une très mauvaise expérience et je recommande plus cette assurance sachant que j'ai mon permis depuis 1999 et je n'ai jamais déclaré un sinistre jusqu'au en 2020 et là vraiment on m'a déçus .  </t>
  </si>
  <si>
    <t>isabelle-b-128516</t>
  </si>
  <si>
    <t>Merci vous êtes a la hauteur de votre image, j'ai été recommandé par beaucoup de personne et puis j'ai vu a mainte reprise votre spot de publicité.
merci</t>
  </si>
  <si>
    <t>galinette-96797</t>
  </si>
  <si>
    <t xml:space="preserve">Je suis chez Direct Assurance depuis 2005, 50% de bonus et aucun sinistre, des tarifs alléchants au départ, mais des augmentations régulières chaque année en 5 ans +46% ! 
Mon échéance arrive et encore + 43€ d'augmentation sans aucun sinistre et sans aucun remboursement pour les 2 mois de confinements en 2020 pour Covid.
Je les joins par téléphone pour avoir des explications, réponse je suis dans une région qui compte beaucoup de sinistres ?
J'ai envoyé mon préavis, je quitte Direct Assurance. 
 </t>
  </si>
  <si>
    <t>philippe-g-105016</t>
  </si>
  <si>
    <t>Pour les prix ça va mais pour le service client c'est autre chose ! Ils ne comprennent pas ce que vous leur écrivez et expliquez...Pour preuve : Ils répondent complètement à coté ! Il y a encore beaucoup d’effort à faire !</t>
  </si>
  <si>
    <t>rock-97167</t>
  </si>
  <si>
    <t>Rien à dire sur la qualité du service et la disponibilité des intervenants en cas de besoin. Le hic, c'est le prix : malgré un bonus de 50% et pas de sinistre, à couverture équivalente, le prix a augmenté d'un peu moins de 20 % en 3 ans !
Du coup je suis retourné vers mon assureur précédant qui est devenu bien moins cher.. d'environ 20 %..</t>
  </si>
  <si>
    <t>08/09/2020</t>
  </si>
  <si>
    <t>elbrahmi270-94179</t>
  </si>
  <si>
    <t>Ag2r a une gestion lamentable concernant les salariés en arrêt maladie, des compléments de salaire jamais versés.
En arrêt maladie depuis le 11/09/2019, je n'ai rien perçu à ce jour et je suis toujours en arrêt maladie.
Des cotisations prévoyance prélevées sur le bulletin de salaire pour au final une couverture inexistante.
Lorsque l'on contacte le service client, ils ne sont même pas capable de répondre et d'apporter des informations claires sur les dossiers en cours.
Après plus de 1 ans d'attente du versement de mon complément de salaire, je vais saisir avec mon avocat la juridiction compétente afin de fairr valoir mes droits.
Je me demande comment des employeurs arrivent à faire confiance à ce type d'assurance.
Aucun professionnalisme, aucun sérieux.</t>
  </si>
  <si>
    <t>04/10/2020</t>
  </si>
  <si>
    <t>frederic-d-109662</t>
  </si>
  <si>
    <t xml:space="preserve">Je suis satisfait du service, et courtois
le prix me conviens , fait des économies sur le prêt... 
le conseiller très serviable et professionnel,
merci. </t>
  </si>
  <si>
    <t>maxime-s-116113</t>
  </si>
  <si>
    <t>Très bonne assurance très rapide efficace et les appels téléphoniques avec les gens sont très agréable les gens sont polis gentil et courtois je recommande cette assurance pour les jeunes conducteurs</t>
  </si>
  <si>
    <t>nicolas-m-132799</t>
  </si>
  <si>
    <t xml:space="preserve">Très satisfait par la simplicité de la démarche  pour assurer mon véhicule 
Rapidité,  efficacité et réactivité 
Merci pour votre professionnalisme  
Cordialement </t>
  </si>
  <si>
    <t>14/09/2021</t>
  </si>
  <si>
    <t>mgervais46-41403</t>
  </si>
  <si>
    <t>assurances mutuelle parrainée par un courtier sinader qui vous fais beaucoup d offres  de mensualités gratuites mais qui ne sont pas tenues par la Neoliane 
aussi avant de vous engager dans une mutuelle méfiez vous des courtiers qui vous promettent tout afin de vous engager dans une mutuelle .Nous avons resilié notre contrat a la Neoliane car les engagements promis n ont pas été tenus.</t>
  </si>
  <si>
    <t>lothrian-63687</t>
  </si>
  <si>
    <t>Une compagnie d'assurance qui devrait être un exemple pour toutes les autres!</t>
  </si>
  <si>
    <t>30/04/2018</t>
  </si>
  <si>
    <t>andrea-a-110129</t>
  </si>
  <si>
    <t>Je suis déçu car les prix sont assez élevés. J'essaye de joindre l'assurance depuis hier lorsqu'une voiture m'a percuté a toute vitesse impossible d'avoir quelqu'un.</t>
  </si>
  <si>
    <t>bohuon-j-112910</t>
  </si>
  <si>
    <t xml:space="preserve">je suis ravi de cet entretien pour mon devis d'assurance auto. Bonne accueil téléphonique et les conseils sont bien dit au téléphone. Rapidité de souscription du contrat. </t>
  </si>
  <si>
    <t>sonia-t-135190</t>
  </si>
  <si>
    <t xml:space="preserve">Le site mériterait d'être un peu plus clair et facile de compréhension, 
Peut-on ajouter des prestations, après avoir souscrit l'assurance, ?
Les tarifs sont corrects au vu de l'âge de la voiture
</t>
  </si>
  <si>
    <t>gonzalez-s-112387</t>
  </si>
  <si>
    <t xml:space="preserve">Je suis très satisfait de votre service client et calite, de l'accueil au téléphone et le respect des données confidentiel et du cite internet très bien </t>
  </si>
  <si>
    <t>julie-p-129699</t>
  </si>
  <si>
    <t>Ma conseiller est très professionnelle, à l'écoute de ses clients! Elle fait son maximum pour chacun, c'est très appréciable!
Je ne regrette pas mon choix!</t>
  </si>
  <si>
    <t>frederic-d-110651</t>
  </si>
  <si>
    <t xml:space="preserve">Prix correct reste à voir le suivi en cas de sinistre ou d’accident  il semble que le service client sois réactif à voir à l’usage je nous souhaite une bonne collaboration </t>
  </si>
  <si>
    <t>jackatac-77401</t>
  </si>
  <si>
    <t>Difficile a joindre, attente au tél puis cela raccroche. Le 26/07/21 à 11h20 la personne me dit  désagréablement : si vous n'êtes pas content vous n'avez qu'à raccrocher et comme je refuse elle le fait ! Motif appel : impossible de se connecter au site Mercernet (a priori eux non plus).Bref assez déçu de cette mutuelle.</t>
  </si>
  <si>
    <t>pompomdapi-59712</t>
  </si>
  <si>
    <t xml:space="preserve">Le courtier ma souscrit a un contrat sans mon autorisation pour resilier le contrat ils font espres de vous répondre apres  les 14jours de retractation comme sa vous ne pouvez resilier sa fait 1 mois et demi que je n'arrête pas heureusement que j'enregistre toute les conversations a l'heure d'aujourd'hui jai demander auprès de ma banque le remboursement et je porte donc plainte sur les courtiers ainsi que neoliane faite attention </t>
  </si>
  <si>
    <t>15/12/2017</t>
  </si>
  <si>
    <t>lartisien-j-139059</t>
  </si>
  <si>
    <t xml:space="preserve">Bon prix , site à revoir , service client agréable à voir si la durée en cas de sinistre si pas de problème code parrainage obtenu vraiment site à revoir </t>
  </si>
  <si>
    <t>romuald-s-111150</t>
  </si>
  <si>
    <t>Parfait, simple et réactif ! de bons tarifs, une bonne prise en charge, et une excellente application mobile !
je recommande vivement dans mon entourage !</t>
  </si>
  <si>
    <t>expert-78439</t>
  </si>
  <si>
    <t xml:space="preserve">Pour connaître le montant de la prise en charge dentaire, plus d'un mois, 3 relances écrites et toujours pas de réponses. Cela n'est pas la première fois. Je vais certainement changer de mutuelle. </t>
  </si>
  <si>
    <t>14/08/2019</t>
  </si>
  <si>
    <t>nicolas-m-135806</t>
  </si>
  <si>
    <t>SATISFAIT DU SERVICE. EN ATTENTE DU CONTRAT ET DE LA CARTE VERTE, ET EN ESPERANT QUE LA PASSERELLE SE PASSE BIEN AVEC ALLIANZ.
SINON LES PRIX SONT TOP ET LE SERVICE EST BIEN</t>
  </si>
  <si>
    <t>04/10/2021</t>
  </si>
  <si>
    <t>ray-102012</t>
  </si>
  <si>
    <t>Je suis adhérent chez la MGP Police depuis 1999 et je suis pleinement satisfait. Mes deux enfants sont également adhérents et prochainement mon épouse.</t>
  </si>
  <si>
    <t>piras-s-135983</t>
  </si>
  <si>
    <t xml:space="preserve">je suis satisfaite première approche concluante
Personnel sympathique qui explique bien toute les closes du contrat
devis respecté, je n'ai rien a faire  </t>
  </si>
  <si>
    <t>goldorak-56711</t>
  </si>
  <si>
    <t>Suite à un sinistre causé par un tiers identifié, mon interlocuteur suivant mon dossier en cours est à lui tout seul un concentré d'imprécisions et de propos contradictoires. Sincèrement, des cours d’amabilités et de courtoisies seraient les bienvenus.  Vous etes forts pour vendre vos produits, par contre en cas de sinistres, c'est une autre histoire. Suite à cette expérience je compte quitter la maif</t>
  </si>
  <si>
    <t>17/08/2017</t>
  </si>
  <si>
    <t>ghemmouri-y-132419</t>
  </si>
  <si>
    <t>Satisfait d’etre chez l’olivier assurance vous etes la meilleure assurance en france ! Je dirais meme du monde vous etes inégalable c’est impressionnant !!!!</t>
  </si>
  <si>
    <t>val-107810</t>
  </si>
  <si>
    <t xml:space="preserve">Je ne conseil pas dutout ! Alors oui cette les prix sont avantageux et attirant MAIS ne relance aucun sinistre ! Depuis le 12 septembre 2020 il ont un sinistre à moi avec dépôt de plainte en document ! RIEN n’a bougé ! Nous somme le 24 Mars 2021 ! Cela est inadmissible je ne recommande pas dutout </t>
  </si>
  <si>
    <t>dallest-h-128620</t>
  </si>
  <si>
    <t xml:space="preserve">Il faut prendre l’habitude du service en ligne mais le site est simple et pratique. Pas encore d’app ? 
Au téléphone les collaborateurs sont sympathiques.
On verra à l’usage pour le reste.
Merci
Cdlt
Hélène </t>
  </si>
  <si>
    <t>lulu33-86670</t>
  </si>
  <si>
    <t>Ce jour, j'ai contacté vos services suite à une non réception de carte. J'ai été accueilli par Gwendal qui m'a expliqué la politique de la maison et a répondu à mes attentes très rapidement. Mille remerciements Gwendal.</t>
  </si>
  <si>
    <t>yann-m-124747</t>
  </si>
  <si>
    <t xml:space="preserve">Je suis très satisfait simple et efficace a recommander pour jeune permis, procedure de devis très efficace et rapide je recommande merci beaucoup.    </t>
  </si>
  <si>
    <t>lolo-91042</t>
  </si>
  <si>
    <t>Dans le passé ma compagne a déjà été cliente chez vous, et nous avons également une connaissance qui est assurer chez vous, je suis satisfait bien à vous</t>
  </si>
  <si>
    <t>16/06/2020</t>
  </si>
  <si>
    <t>vincent--b-129833</t>
  </si>
  <si>
    <t>Satisfait du service simple est assez rapide via l'application 
Au niveau du prix je trouve que cela reste un peut chère au vue de la voiture
Et il pourrait y avoir un prix quand plusieurs véhicules assuré</t>
  </si>
  <si>
    <t>angelle-98651</t>
  </si>
  <si>
    <t xml:space="preserve">Je peux comprendre avec la situation Covid mais 3 semaines que je me bat entre téléphone plus de 30 minutes d’attente quand on arrive à avoir quelqu’un et qui répond surtout à vos attentes et maintenant aucune connexion possible identifiants et mot de passe c’est ma mutuelle de travail mais là ça ne le fait plus rire et encore ce n’est pas un gros problème mon cas alors j’imagine même pas les personnes qui on besoin pour hospitalisation ou autre </t>
  </si>
  <si>
    <t>laurinette43-51961</t>
  </si>
  <si>
    <t>Allianz a été la seule assurance à m'accepter en tant qu'auto entrepreneur</t>
  </si>
  <si>
    <t>02/02/2017</t>
  </si>
  <si>
    <t>dahan-t-107915</t>
  </si>
  <si>
    <t>Prix très concurrentiel et équipe commercial très à l'écoute au téléphone. 
Prix très concurrentiel et équipe commercial très à l'écoute au téléphone.</t>
  </si>
  <si>
    <t>pasrassure-75472</t>
  </si>
  <si>
    <t>Service client incompétent, pas réactif, personne qui daigne vous contacter pour une relation humaine. Mauvaise relation client Assurance à éviter..........................................</t>
  </si>
  <si>
    <t>suleimen-b-115100</t>
  </si>
  <si>
    <t xml:space="preserve">pas chère pour tout les avantages qu’on a ces super le top rapide et efficace mais j’espère que sa sera fiable à 100% au k ou on a un problème mais ces le prix le plus bas  </t>
  </si>
  <si>
    <t>27/05/2021</t>
  </si>
  <si>
    <t>jekinnou-c-114449</t>
  </si>
  <si>
    <t xml:space="preserve">Prix élevé. Et niveau de service pas au top pour le moment. Le prix annoncé dans le devis n'est pas le prix final. On verra si le service et la réactivité s'améliore. </t>
  </si>
  <si>
    <t>benzougari-m-105335</t>
  </si>
  <si>
    <t>Très bel accueil du service, pas de pression pour prendre un décision. On peut poser toutes les questions sans aucun soucis. Les prix sont raisonnables et grâce à vous je viens de faire une belle économie. merci encore</t>
  </si>
  <si>
    <t>lancine-k-109331</t>
  </si>
  <si>
    <t xml:space="preserve">satisfait bien super a bientôt . Je recommande merci de votre confiance. C'est parfait, génial,formidable, magnifique, fantastique , vive april , vous êtes les meilleurs </t>
  </si>
  <si>
    <t>vandalisme-71258</t>
  </si>
  <si>
    <t>Assuree pour"incendie" hors vandalisme pour ma voiture.
On connait le contrat que l on contracte ,mais quoi qu il en soit, direct assurance va tout faire pour la réalite des faits soit favorable pour eux et que l assuré ne soit pas indemnisé.
Victime de mon véhicule incendiée, j ai fait valloir mes droits pour une expertise(BCA) et contre expertise(LECOLLIER),  les 2 mandatés et payés par l assurance, se qui leur donne le droit de donner les directives pour le rapport, donc au lieu de noter INCENDIE INDETERMINEE,  l expert note INCENDIE PAR VANDALISME mais sans preuves de vandalisme, et ce petit detail pour eux leur permet de ne plus etre responsable du client et donc de ne pas indemnisé.
et pour retablir la vérité, je dois engagé a mes frais un avocat,un expert indépendant, se quu me reviendra plus cher que l indemnisation mais c est une question de principe.</t>
  </si>
  <si>
    <t>13/02/2019</t>
  </si>
  <si>
    <t>jacquinet-c-115495</t>
  </si>
  <si>
    <t>nouvel assuré, rapidité pour souscrire en ligne mais les options ont fait grimper la facture . pas encore d'avis sur un eventuel sinistre . a voir la suite.</t>
  </si>
  <si>
    <t>bibou70-52900</t>
  </si>
  <si>
    <t xml:space="preserve">victime d'un sinistre depuis de 01/12/2019 le service sinistre de rouen incompétent manque de respect quand on les appelle 6 appel en 1 mois et dossier toujours au même point  alors que dossier complet a fuir comme assurance .sans voiture depuis le 2 décembre on doit se débrouiller pour allez bosser et mon et il continu a me prélever  J ai une protection juridique dans une autre assurance que je vais contacter </t>
  </si>
  <si>
    <t>uwevil-116790</t>
  </si>
  <si>
    <t>En souhaitant de changer CACI, plusieurs mail et une lettre recommandée envoyés mais aucune nouvelle, CACI continue à me prélever. A FUIR. 
En plus, en appelant au numéro 09 69 36 30 30 (servuce client LCL), il me donne un numéro  09 74 75 01 74 (castorama ???) pour CACI. Ce sont des esc....</t>
  </si>
  <si>
    <t>LCL</t>
  </si>
  <si>
    <t>jerome-c-117109</t>
  </si>
  <si>
    <t>J'aimerai que mon assurance baisse car chaque année cela augmente malgré que je ne déclare aucun sinistre. cordialement bonne journée.................</t>
  </si>
  <si>
    <t>philippe007-67092</t>
  </si>
  <si>
    <t>Decu que la fidelite ne soit pas recompensee : il est preferable de quitter direct assurance et se reinscrire pour beneficier de tarifs avantageux...ceci m a meme ete confirme par le conseiller de direct assurance...</t>
  </si>
  <si>
    <t>25/09/2018</t>
  </si>
  <si>
    <t>cavailhe-104346</t>
  </si>
  <si>
    <t>cotisation toujours trop onéreuse à mon avis, la prise en charge et étude des devis, ou questions relatives aux remboursements  est cependant très rapide, et le professionnalisme des intervenants est excellente</t>
  </si>
  <si>
    <t>17/02/2021</t>
  </si>
  <si>
    <t>juziu-79821</t>
  </si>
  <si>
    <t xml:space="preserve">J'ai été contacté ce jour par GWENDAL. Cet interlocuteur très perspicace et gentil m'a donné entièrement satisfaction. Il a été net et précis. Très efficace. J'aimerai l'avoir comme Interlocuteur Principal.
</t>
  </si>
  <si>
    <t>08/10/2019</t>
  </si>
  <si>
    <t>societairematmut-80557</t>
  </si>
  <si>
    <t>A fuir impérativement  ! Je suis extrêmement déçue par la MATMUT, assurée chez eux depuis 11 ans et brutalement résiliée en raison de sinistres dont la responsabilité ne m'était pas imputable : 1 stationnement, 1 bris de glace, 1 collision sur un parking à 50/50 avec des réparations très superficielles ... résultat résiliation. Je trouve leur politique de tolérance zéro réellement scandaleuse, aucune considération pour les circonstances des sinistres, votre ancienneté de sociétaire ou votre profil. 
Je suis une bonne conductrice avec du bonus, pour les 2 premiers sinistres il s'agissait un concours de malchance, je n'étais même pas dans le véhicule, mais la MATMUT n'en a que faire puisque la gestion cliente est impersonnelle et purement financière. 
Je vous déconseille fortement cette assurance, et si vous êtes sociétaire vous pouvez toujours prospecter, vous ne trouverez que mieux ailleurs, et la loi Hamon facilite la résiliation après un an c'est très simple. 
Toute ma famille est sociétaire MATMUT, et il est évident que je vais faire mon maximum afin de les convaincre de résilier leur contrat eu égard à leur inacceptable politique. 
Soyez vigilant.</t>
  </si>
  <si>
    <t>30/10/2019</t>
  </si>
  <si>
    <t>gg44-61456</t>
  </si>
  <si>
    <t xml:space="preserve">Trop chere. 600 euro pour une 206 de 99 au tiers maxi avec bonus de 0.72. Faut pas deconner. On nous prend pour des vaches a lait </t>
  </si>
  <si>
    <t>15/02/2018</t>
  </si>
  <si>
    <t>wanita14--91333</t>
  </si>
  <si>
    <t xml:space="preserve">Cliente depuis 15 ans, aucun sinistre responsable, plus de franchise étant donné ma fidélité et ma bonne conduite...
Je viens d'être résiliée sans aucun ménagement. Raison : 2 sinistres non responsables ( avec tiers identifiés) en 2 ans et 1 bris de glace. Aucune possibilité de discuter. Et résiliation qui prend effet 10 jours après la lettre recommandée. De plus fichage pour 5 ans sur le fichier des assurances comme un vulgaire chauffard !!!!
A FUIR </t>
  </si>
  <si>
    <t>20/08/2020</t>
  </si>
  <si>
    <t>mamutuelle-74810</t>
  </si>
  <si>
    <t xml:space="preserve">Contrat avec ACS depuis janvier 2019. </t>
  </si>
  <si>
    <t>06/04/2019</t>
  </si>
  <si>
    <t>vinvin54-109571</t>
  </si>
  <si>
    <t>Je mets 1 étoile parce que je ne peux pas mettre zéro, je souhaiterais créer une association ou un club avec tous les clients déçus par la MGEN, il me réclament 5700 euros alors qu'ils ont arreter de prélever les cotisations sur les salaires sans avoir prévenu personne, j'ai d'autres collègues dans le même cas, c'est tout simlement honteux, si vous êtes intéressés voici mon adresse mail sdesissaire@gmail.com</t>
  </si>
  <si>
    <t>eric59-114821</t>
  </si>
  <si>
    <t>Une compagnie d’assurances pas du tout écologique puisque quand vous souhaitez résilier votre assurance voiture car celle ci est vendue, que vous demandez la résiliation sur le site et en ayant scanné tous les documents, il faut quand même envoyer des courriers recommandés , tout imprimé car ils ne sont pas capables, surtout ils ne veulent pas résilier un contrat à la demande du client. Incroyable de voir encore cela en 2021!</t>
  </si>
  <si>
    <t>cathy-oceane-o-107789</t>
  </si>
  <si>
    <t>Je suis satisfaite  de mon assurance auto, même si le prix est pour moi un peu élevé car je suis étudiante (dommage que vous proposer pas de tarif étudiant d'ailleurs)  j'aime l'efficacité de l'application donc sinon rien à dire de plus</t>
  </si>
  <si>
    <t>nounours-78733</t>
  </si>
  <si>
    <t>ras  tres satisfai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t>
  </si>
  <si>
    <t>27/08/2019</t>
  </si>
  <si>
    <t>nathalie-54290</t>
  </si>
  <si>
    <t>Je suis très fortement décue d'avoir mis toutes meds assurances chez allianz.... quand tout va bien !!!!!! tout va bien au moindre sinistre, a la moindre demande d'information alors commence un veritable parcours du combatant!!!  pour le contrat de ma fille qui n'est pas signé allianz se donne le culot d'ouvrir quand meme le contrat sans aucune signature !!!! actuellement c'est en proces et si sa continu je retirais tout mes contrats et ceux de ma famille au total 7!!!!!</t>
  </si>
  <si>
    <t>25/04/2017</t>
  </si>
  <si>
    <t>huyengreen-88121</t>
  </si>
  <si>
    <t>Service commercial rapide mais service client, apres vente sont vraiment horrible.
J'ai appelle le service mais peu de réponse. La carte mutuelle est souvent erronée. Plusieurs demandes envoyées sur l'application mais pas de réponse.</t>
  </si>
  <si>
    <t>09/03/2020</t>
  </si>
  <si>
    <t>bouret-a-138951</t>
  </si>
  <si>
    <t>je suis satisfait de l'intervenant, un service rapide. Niveau prix, c'est honnête. 
C'est mon second véhicule assuré chez L'olivier assurance, si je n'étais pas satisfait, j'aurai changé d'assurance.</t>
  </si>
  <si>
    <t>04/11/2021</t>
  </si>
  <si>
    <t>daniel-68178</t>
  </si>
  <si>
    <t>apres 40 ans passé à la maaf concernant l'habitation
ils viennent de me virer car trop de sinistre je n'y suis pour rien entre fuite d'eau ,panne ordi,ou machine a laver et pourtant en 40 ans je n'ai pas eu de sinitre a part les cinq dernières années donc tres déçu de leur décision si on fait le ratio je crois que je ne leur pas couter cher en plus nous avons la voiture pas d'accident ,la santé pas malade eh bien nous enlèverons tout</t>
  </si>
  <si>
    <t>bibiyes81-97653</t>
  </si>
  <si>
    <t>Déjà ils sont chers et quand vous voulez signalez une modification de contrat qui aura comme conséquence de faire baisser votre cotisation annuelle personne ne veut prendre votre demande en considération. La personne qui vous répond au téléphone vous dit qu'elle n'est pas habilité à faire la modification, que quelqu'un va vous rappeler... les jours passent personne vous rappelle. Vous rappelez alors et là toujours la même chose... et au bout d'un an on vous renvoie l'appel de cotisation avec près de 300 € à payer au lieu de 95 € env. Vous ne payez donc pas ces 300 € et on vous résilié mais on vous réclame quand même ces 300 € par mise en demeure et menace de saisie...
Groupama assurance à fuir !!!</t>
  </si>
  <si>
    <t>21/09/2020</t>
  </si>
  <si>
    <t>davy-t-110742</t>
  </si>
  <si>
    <t>mes assurances  chez vous augmente tout le temps!
alors que cette année et l année d avent nous avons moins conduits pour les raison de covid... ce n est pas logique</t>
  </si>
  <si>
    <t>yohan-c-126541</t>
  </si>
  <si>
    <t>C'est rapide est pas chère , en quelques clics le deux roues est assurée incroyable . Je recommande à tous et toutes , faite comme moi opté pour l'assurance de votre choix .</t>
  </si>
  <si>
    <t>k18l-61793</t>
  </si>
  <si>
    <t>Le samedi 24 février je fait un devis en ligne puis et active assurance au téléphone pour finaliser le devis . Ont me demande de régler 4 mois d’avance je donne mon numéro de cb une fois le règlement fais je reçois le devis par mail plus contrat sauf que là le devis ne va pas du tout erreur au niveau du bonus et autre  ... !! ! J’appelle le service client j’explique mon cas première fois ont me racroche au nez SUPER ! Deuxième fois ont me demande a apeller le 08.... numéro surtaxé pour rien au final ont me dit de renvoyer les documents demander qu’il feront les modifications après ect... mais je n’envoie aucun documents et non plus le devis signer car il ne correspond pas . Ce matin je rappelle en expliquant que j’ai un droit de rectraction de 14 jours ont me dit que c’est Faux ... ont me dit que les 4 mois que j’ai payer ne seront retirer que si je valide mon dossier ... et la découverte vous m’avait retirer 151€ alors que Je n’est rien signer chez vous !!! Je demande le remboursement total de celui ci !
J’envoie un recommander pour demander le remboursement plus résilier même si je n’est rien signer normalement vous n’auriez pas dû retirer l’argent sachant que je n’avais signer aucun document !
Après avoir contacter une association de consommateur ont ma bien informer que j’avais le droit à un  délais de 14 jours de rétractation  
Si pas de retour et de remboursement,  l’ACPR sera contacter !
Devis 3366752</t>
  </si>
  <si>
    <t>27/02/2018</t>
  </si>
  <si>
    <t>henry06-67641</t>
  </si>
  <si>
    <t>A fuir cette assurance ou à prévoir un avocat en cas de soucis . Lors du vol de mon vehicule ils m ont demandé les clés la carte grise l acte de vente signe et ça fait maintenant un an qu ils n ont pas verse un centime .  Pas un interlocuteur en face . Et le seul motif évoque est . Pourquoi C est votre fils qui a achete le vehicule</t>
  </si>
  <si>
    <t>08/04/2019</t>
  </si>
  <si>
    <t>faustine-p-117383</t>
  </si>
  <si>
    <t xml:space="preserve">Je suis satisfaite du produit.
Je vous remercie pour vos conseils et tarifs à prix bas. 
Je vous recommande à mes 
 connaissances.
Bonne route à tous </t>
  </si>
  <si>
    <t>17/06/2021</t>
  </si>
  <si>
    <t>f-138753</t>
  </si>
  <si>
    <t>Sociétaire depuis plus de vingt ans à la MAIF, je reçois une lettre dénonçant mon contrat d'assurance à la MAIF (où sont tous mes contrats d'assurance) au motif de l'altération de la relation commerciale. Je n'ai jamais eu de problème particulier à la MAIF, mes dossiers de sinistre (assez modestes) ont été assez bien traités en général.
Je regrette d'être laissé, sans contact humain, dans le brouillard concernant la véritable raison de dénonciation du contrat (ou comment fonctionne leur algorithme).</t>
  </si>
  <si>
    <t>lolottelesbonsplans-90159</t>
  </si>
  <si>
    <t>Suite à un sinistre avec un camion poubelle malveillant qui n'a pas voulu signer le constat (parce qu'il était en tort) j'aurais du écoper d'un 50/50 alors que je n'y étais pour rien. La MACIF a pris en compte ma version et m'a remboursé l'intégralité des réparations, bravo ! Cela a pris un certain temps et cela manquait un peu de communication mais c'est fait. Sur le reste des prestations à part une histoire de devis pour une assurance habitation qui ne pouvait pas être envoyé en ligne (et pour lequel j'ai laissé un mauvais avis) je suis sociétaire depuis 25 ans et vraiment satisfaite. Contrairement à ce qui est écrit ils répondent très souvent dans la minute et parlent français (contrairement aux autres services clients notamment les opérateurs) ; à chaque fois ils ont été très efficaces. Au niveau prix ils sont bien placés (j'ai une assurance auto, habitation, civile, garantie accident). Et je vous conseille le service juridique inclus dans la prestation (gratuit), ils sont géniaux, ils m'ont démêlé des tas de problèmes avec les syndics entre autres. Souvent on ne sait pas qu'on y a droit, c'est top !</t>
  </si>
  <si>
    <t>02/12/2020</t>
  </si>
  <si>
    <t>cassaghi-d-114790</t>
  </si>
  <si>
    <t>excellent prix qualité, service rapide et efficace, j'ai particulièrement apprécié l'assurance scolaire pour mon fils. Très bonne la possibilité d'ouvrir une assurance postdatée</t>
  </si>
  <si>
    <t>pat-89662</t>
  </si>
  <si>
    <t>Bon remboursement suite à un accident avec des sangliers. Assurance réactive. Je recommande</t>
  </si>
  <si>
    <t>15/05/2020</t>
  </si>
  <si>
    <t>liou-62958</t>
  </si>
  <si>
    <t xml:space="preserve">Je déconseille vivement cette assurance. MAAF la seule assurance qui rend ses assurés responsables. Avec eux tous les moyens sont bons pour gagner de l'argent sur le dos des clients. Bref, grâce à leurs méthodes j'ai trouvé moins cher ailleurs. </t>
  </si>
  <si>
    <t>mme-103717</t>
  </si>
  <si>
    <t>Démarches claires. Compétitif. Site et espace personnel ergonomiques. Les documents envoyés sont étudiés dans la journée, rapidité des réponses. Je recommande.</t>
  </si>
  <si>
    <t>05/02/2021</t>
  </si>
  <si>
    <t>christopher-b-134570</t>
  </si>
  <si>
    <t xml:space="preserve">Je suis satisfait du service qui est pratique et facile disponible 24h/24h et 7jrs/7. Pour le rapport qualité prix en fonction des options reste raisonnable </t>
  </si>
  <si>
    <t>gifi-97905</t>
  </si>
  <si>
    <t xml:space="preserve">
Pour chercher des client ça ils sont là !!!
Mais une fois qu'on est dedans , c'est fini
Une assurance allergique aux mails entrants. 
Mais eux savent en faire et ne corrigent pas leurs erreurs.
Par exemple on me dit prélèvement impayés alors qu'il n'y a jamais eu de prélèvement étant donné qu'il n'y avait pas de rib. 
Des mails sont envoyé, en vain !
Il faut systématiquement appeler... par contre contrairement aux autres commentaires, ils se débrouillent plutôt pas mal au téléphone ??.
Mais effectivement d'un point de vu communication c'est 0.
Un dernier mail afin de demander tout simplement la carte verte par courrier , croyez vous que j'ai droit a une réponse!
Leur professionnalisme en dit long sur la qualité de leur travail. 
J'espère pour les autres qu'ils n'aient pas d'accident car ils me font peur.</t>
  </si>
  <si>
    <t>27/09/2020</t>
  </si>
  <si>
    <t>jonatan-103776</t>
  </si>
  <si>
    <t xml:space="preserve">Pour moi  c'est le meilleur assureur Assurance auto et habitation. Ils sont à l'écoute et trés réactifs. Les tarifs sont vraiment convenables. 
Ils sont joignables en cas de problémes, ou de conseils. 
Je conseille vivement. </t>
  </si>
  <si>
    <t>stephane-m-127819</t>
  </si>
  <si>
    <t>Bonjour; la satisfaction demeure relative car: 
- L' Interlocuteur est difficile à joindre
- il manque une offre de fidélité (car j'ai 2 contrats en cours)</t>
  </si>
  <si>
    <t>soussou84-98745</t>
  </si>
  <si>
    <t>Je suis à la Macif depuis plus de 30 ans et plus de30 000 euros de cotisations ! J ai subis un accident domestique triple ruptures des tendons de la coiffe des rotateurs !! Quand on nous fais signer un contrat Gav ds leurs bureaux  on vous parle pas de 10% minimum pour être indemnisable c en demandant le e contrat qu on s en aperçoit !!  Résultat l expert de la Macif  le reconnais a 7% d invalidité donc nom indemnisable alors que je suis limité ds les mouvements et je pense que je mérite au moins 10% !!  Voilà mes préjudices n en parlons pas c plus de travail physiques  j ai du emprunter a la famille et aux amis pour survivre !! Je vais de ce pas résilier tout mes contrats et je laisse mon email si quelqu'un a déjà une situation similaire !!!  latechnique84000@laposte.net ! Très déçu de la Macif !!!!</t>
  </si>
  <si>
    <t>14/10/2020</t>
  </si>
  <si>
    <t>youssef-a-128412</t>
  </si>
  <si>
    <t>Je suis content parce que j'ai assuré mon scooter avec vous c'est facile et super bien efficace c'est pas bien ah merci beaucoup à la prochaine au revoir</t>
  </si>
  <si>
    <t>17/08/2021</t>
  </si>
  <si>
    <t>gaetan-f-109433</t>
  </si>
  <si>
    <t xml:space="preserve">je suis satisfais des services merci  
je suis satisfais du prix merci 
je suis vraiment satisfais merci beaucoup 
merci merci merci cordialement 
fernandez </t>
  </si>
  <si>
    <t>a5-50071</t>
  </si>
  <si>
    <t>Bonjour,
Contrairement aux précédents commentaires, je n'ai jamais eu de problème avec Ag2r La Mondiale ce qui m'a décidé de faire un contrat mutuel santé individuel. Cependant, j'estime qu'à notre époque, il est quasi idnamissible de ne pouvoir créer son compte personnel par internet pour éviter d'appeler et patienter plusieurs minutes au téléphone service client. Depuis plusieurs semaines je tombe sur des téléconseillers agréables qui m'informent d'une maintenance. Dois-je attendre noel pour pouvoir en créer un? Heureusement, jusqu'à présent,  je n'ai pas eu de problème de remboursement et je vous en remercie.</t>
  </si>
  <si>
    <t>corine-v-131164</t>
  </si>
  <si>
    <t>Je suis tres satisfaite du prix qui est tres competitif comparee a d autres assurances.La saisie du dossier d inscription a ete relativement facile toute a fait accessible ,meme pour les personnes pas tres habiles en informatique..En ce qui concerne les tarifs, on verra la competitivite l annee prochaine</t>
  </si>
  <si>
    <t>af-128015</t>
  </si>
  <si>
    <t>A fuir. Quand on les appelle il est difficile d'avoir une personne compétente. Donc à chaque nouvel appel, les réponses sont différentes. La conseillère que j'avais était incompétente et je n'ai jamais pu récupérer les bêtises qu'elle m'avait fait faire malgré le fait que j'avais rencontré son supérieur hiérarchique. Il m'a confirmé que c'était une erreur et qu'elle n'avait pas répondu à mon attente mais oralement bien sûr. Jamais pu avoir d'écrits donc impossible de bouger ensuite.
J'ai fait un changement de banque pour un contrat, ils ont continué à me prélever sur l'ancienne banque me faisant payer des agios par cette dernière car le compte n'était plus approvisionné. Je les ai donc bloqué sur mon ancienne banque, malgré cela, ils ont préféré interrompre au final le contrat plutôt que réfléchir au fait que si je ne payais plus la cotisation c'était parce qu'ils ne prélevaient pas au bon endroit et ce malgré un courrier de ma banque et de moi même. Erreur humaine m'ont ils dit....
Bref complètement incompétents. Générali n'est plus du tout ce que c'était il y a 20 ans en arrière quand ils s'appelaient encore GPA. J'ai eu à l'époque un très bon conseiller et totalement confiance. Maintenant c'est incompétence et tout est bon pour vous prendre des sous. Alors je n'ai qu'un mot : fuyez sans regrets...</t>
  </si>
  <si>
    <t>jean-christophe-g-116384</t>
  </si>
  <si>
    <t xml:space="preserve">Prix très intéressant
Souscription facile et simple à effectuer 
Option de contrat bien expliqué
Assurance moto très bon rapport qualité prix 
À voir pour la suite !! 
</t>
  </si>
  <si>
    <t>sylvie-113680</t>
  </si>
  <si>
    <t>Seule la contractualisation se passe bien. Concernant la gestion une catastrophe quel que soit le sujet (sinistre, suivi, remboursement, prélèvement indus...) attente interminable pour joindre quelqu’un qui n’est pas capable de vous renseigner... à fuir!!!!!</t>
  </si>
  <si>
    <t>michele--109454</t>
  </si>
  <si>
    <t xml:space="preserve">Accueil très cordial et réponse claire de mon interlocutrice Angélique .
Je suis satisfaite des services . 
Je recommande cette mutuelle . 
Michèle Dubray </t>
  </si>
  <si>
    <t>jojo04-62274</t>
  </si>
  <si>
    <t>mutuelle déplorable</t>
  </si>
  <si>
    <t>amiri-a-131185</t>
  </si>
  <si>
    <t xml:space="preserve">Je suis très satisfait. Et je recommande cette assurance,
Je suis parti pour deux ans ailleurs, mais je suis revenu réinscrire chez direct assurance.
</t>
  </si>
  <si>
    <t>mehdi-r-132286</t>
  </si>
  <si>
    <t xml:space="preserve">Très simple et pratique , les autres assurances sont largement plus cher , je suis maintenant plus tranquille dans ma tête maintenant que je suis assurer chez vous . </t>
  </si>
  <si>
    <t>dbt-68254</t>
  </si>
  <si>
    <t>Propriétaire d'un appartement qui est en location et assuré à la MAIF en qualité de propriétaire non occupant.
Le 8 octobre dégât des eaux important (plafond, murs et sols) suite infiltration d'eau venant des parties communes. J'ai déclaré le sinistre le 8/10 et au 31/10 pas de réponse confirmant la prise en charge par la MAIF et la désignation d'un expert.
Malgré mes différents mails et appels téléphoniques : abonné absent de la personne en charge du dossier et aucun conseil vis-à-vis du syndic, de ma locataire  (relogement ?).
Relation client inexistante et incompétente.
A cause du laxisme du service gestion sinistre, je ne peux pas engager des travaux pour reloger ma locataire et éviter que l'appartement se dégrade plus.
Je suis assuré à la MAIF depuis plus de 20 ans (maison, voitures, personnes...),  j'envisage de changer d'assureur.
Conseil d'un assuré militant : éviter la MAIF Habitation car l'entité gestion sinistre n'est pas solidaire de ces sociétaires.
A fuir...</t>
  </si>
  <si>
    <t>31/10/2018</t>
  </si>
  <si>
    <t>miguelrouzeau-49588</t>
  </si>
  <si>
    <t>Je suis mécontent d'avoir souscrit une assurance chez direct assurance car j’étais assuré tous risque chez eux pourtant je n'ai encore pas été remboursé de l'argent que j'ai avancé pour la réparation de mon véhicule dû a un choc non responsable qui date d’août 2015, c'est une personne saoule qui est rentré dans mon véhicule à l’arrêt et que la police a arrêté immédiatement !</t>
  </si>
  <si>
    <t>olivier-79325</t>
  </si>
  <si>
    <t>Très bien ! Merci à CAROLINE pour les réponses efficientes et sa bonne humeur. Une vraie professionnelle cela fait plaisir</t>
  </si>
  <si>
    <t>19/09/2019</t>
  </si>
  <si>
    <t>lafouine-75195</t>
  </si>
  <si>
    <t>Assureur de très mauvaise foi, qui vous impose l'envoi de lettres recommandées pour communiquer, mais qui impose ses réponses par téléphone (pas d'écrit). + Vicieux qu'eux, cela n'existe pas. Reste le médiateur...</t>
  </si>
  <si>
    <t>18/04/2019</t>
  </si>
  <si>
    <t>rikika06-136352</t>
  </si>
  <si>
    <t xml:space="preserve">10 ans que je suis chez groupama nice 
Depuis 2 ans j ai déclaré des sinistres car je suis en location la propriétaire ne fait pas les travaux pour infiltration d'eau sur 5 sinistre en 2 ans j'ai jamais était indemnisé et pourtant en 10 ans j'ai jamais rien eu la je reçois un courrier en me demandant de changer d'assurance car trop de sinistre mais ils ont jamais donné un sous la grosse blague de groupama et ben tampis 4 assurances chez eux good bye a fuite cette assurance car jamais même conseillé </t>
  </si>
  <si>
    <t>yann-99117</t>
  </si>
  <si>
    <t xml:space="preserve">Resiliation impossible. Il manque toujours une information mais aucuns problemes poir continuer a prelever. Les conseillers ont tous le meme discours. Mais rien ne bouge. Deja 3 mois que j’appel 1 fois par semaine. </t>
  </si>
  <si>
    <t>james-52281</t>
  </si>
  <si>
    <t>Bonjour, je suis victime d'un vol par ruse déclaré au mois de juillet 2016. Le véhicule a été ré-immatriculé. Je ne demande pas le remboursement de mon véhicule mais la récupération. A CE jour la MATMUT est sous licence. ???</t>
  </si>
  <si>
    <t>10/02/2017</t>
  </si>
  <si>
    <t>guy-b-129140</t>
  </si>
  <si>
    <t>Simple et pratique. Personnels agréables et patient.. prix attractif. Client depuis plusieurs années et satisfait du service sinistres rapide et efficace.</t>
  </si>
  <si>
    <t>lucie-126759</t>
  </si>
  <si>
    <t xml:space="preserve">Très réactif pour la souscription mais ensuite service client déplorable attendre 1h sans que personne ne décroche ou alors ça décroche et raccroche au nez !!! </t>
  </si>
  <si>
    <t>cdi-101078</t>
  </si>
  <si>
    <t>Depuis le 23 octobre en attente d'expertise. En attendant "il ne faut rien toucher". Problèmes de chauffage, d'eau chaude... je vis dans une glacière.
Reponse de la matmut : vous n'êtes pas le seul client que nous avons à traiter....
Bravo...</t>
  </si>
  <si>
    <t>jonathan-l-103249</t>
  </si>
  <si>
    <t>Société réactive, qui nous guide pas à pas dans les démarches , qui respecte les procédures et qui se montre très facilitante dans toutes les démarches.</t>
  </si>
  <si>
    <t>26/01/2021</t>
  </si>
  <si>
    <t>jeci83-113892</t>
  </si>
  <si>
    <t xml:space="preserve">Je cours après mon remboursement depuis le 26 avril. Feuilles de soins envoyées en AR et à ce jour plus aucunes nouvelles et quand j’essaie de les joindre, cause Covid ils ne répondent plus aux appels ... le chat en ligne ne peuvent pas répondre, l’interlocutrice qui a réalisée mon contrat volatilisée ! 
Si j’ai pris une assurance c’est pour pouvoir assurer la santé de ma chienne au mieux.
Très déçue étant seule avec 3 enfants et des frais par mois inutiles à ce jour puisqu’ils font les morts ! Alors que j’avais étudié toutes les assurances avant de souscrire ! J’aurai pu me fier aux j’avais commentaires qui sont très nombreux !!!! </t>
  </si>
  <si>
    <t>16/05/2021</t>
  </si>
  <si>
    <t>jazz--101210</t>
  </si>
  <si>
    <t xml:space="preserve">Horrible a fuirent  absolument Bonjour les prix son attractifs en revanche quand il s’agit de remboursement il n y a plus personne je me suis fait volé mon scooter l expert j ai  attendu le délais légal de 1 mois April moto m’a remboursé 2 mois plus tard et à chaque fois on me répond au téléphone le virement va être validé la semaine prochaine et rien sur mon compte je trouve cela honteux </t>
  </si>
  <si>
    <t>nat1962-94803</t>
  </si>
  <si>
    <t>Excellent service, prix très compétitifs. Très satisfaite du service client ! Meilleur prix trouvés jusqu'ici</t>
  </si>
  <si>
    <t>dhe-a-138757</t>
  </si>
  <si>
    <t>Je suis satisfait du service que vous proposez comparé aux enseignes classiques. Vos conseillers savent répondre de façon claire à notre demande, ce pourquoi je vous recommande.</t>
  </si>
  <si>
    <t>02/11/2021</t>
  </si>
  <si>
    <t>boin-c-108872</t>
  </si>
  <si>
    <t xml:space="preserve">Je suis satisfaite du service.   
La souscription s'est faite simplement et rapidement. 
En tant que jeune conductrice, ce n'est pas toujours évident de trouver une assurance à bas prix, ici les prix sont abordables. </t>
  </si>
  <si>
    <t>guerinbea-62721</t>
  </si>
  <si>
    <t>Attention : Quand vous laissez vos coordonnées sur leur site pour une simulation tarifaire, tout est transféré vers des courtiers pour la gestion et le suivi des dossiers !!! C'est parfaitement inacceptable ! J'imagine même pas le niveau du suivi en cas de problème.</t>
  </si>
  <si>
    <t>27/03/2018</t>
  </si>
  <si>
    <t>cindy92700-68980</t>
  </si>
  <si>
    <t>Service client assez compétent ,cliente depuis 2015 quelque soucis mais qui c'est arranger grave au service client.</t>
  </si>
  <si>
    <t>28/11/2018</t>
  </si>
  <si>
    <t>valerie-d-110048</t>
  </si>
  <si>
    <t>accueil téléphonique performant sauf le lundi matin !
prix intéressants
j interrogerai Direct Assurances pour mes prochains contrats maison et voitures</t>
  </si>
  <si>
    <t>saidi-n-123622</t>
  </si>
  <si>
    <t xml:space="preserve">Je suis satisfait du service, simple et claire, tarifs claire pour chaque option, et le cout en general est raisonnable. Le service internet est pratique et simplifié. merci  </t>
  </si>
  <si>
    <t>16/07/2021</t>
  </si>
  <si>
    <t>herrero-a-138139</t>
  </si>
  <si>
    <t>rapide ,efficace, merci beaucoup, personne sympathique au téléphone ,le fait d'être assurer rapidement sans se déplacer est particulièrement interessant.</t>
  </si>
  <si>
    <t>23/10/2021</t>
  </si>
  <si>
    <t>otis-70442</t>
  </si>
  <si>
    <t>La MAAF est une assurance qui se moque de ses clients, et qui n'hésite pas à résilier les contrats. Nous etions clients depuis plusieurs années,  nous nous sommes fait cambrioler  en octobre.  L'expert nous a chercher des "poux"...  Nous avons perdu beaucoup et avons été très peu indemnisé, parce que déjà 20% en moins car pas de fenêtres blindées au garage. Les voleurs ne sont pas passés par la fenêtre...Ensuite nous avons reçu une lettre recommandée qui nous informait que pour le bien de l'entreprise nous ne ferons plus partis des sociétaires... Nous avons eu 1 mois pour retrouver une assurance. Je ne conseillé plus cette assurance qui ne veut que des profits ... Très mauvaise assurance quand il y a un sinistre.</t>
  </si>
  <si>
    <t>22/01/2019</t>
  </si>
  <si>
    <t>covaci-a-135230</t>
  </si>
  <si>
    <t xml:space="preserve">Je suis satisfait du service. Le prix est parfait pour mon budget. Je recommanderai à d’autres amies.  C’est simple et rapide. Alors merci et cordialement </t>
  </si>
  <si>
    <t>michel01-93439</t>
  </si>
  <si>
    <t>Je suis très satisfait du service et des prix. Ainsi que de la facilité d'adhésion. Devis sur le site et souscription en ligne très simple. Résiliation envoyée directement par Direct assurance à l'ancien assureur.</t>
  </si>
  <si>
    <t>cdc-77090</t>
  </si>
  <si>
    <t>Lapire mutuelle que j'ai eue.
Cotisations mensuelles exorbitantes, aucune avance de frais, y compris pour des soins hospitaliers et aucun remboursement même au bout d'un délais de trois mois.</t>
  </si>
  <si>
    <t>25/06/2019</t>
  </si>
  <si>
    <t>mike2406-90903</t>
  </si>
  <si>
    <t xml:space="preserve">Les prix semblent en lien avec ma recherche, et j'envisage fortement de faire le nécessaire afin d'assurer mon véhicule Chez direct assurance si les franchises me le permettent
</t>
  </si>
  <si>
    <t>ih-114760</t>
  </si>
  <si>
    <t xml:space="preserve">En plus de leur incompétence et délais de non réponse aux mails affligeante, ils commettent des erreurs dans leurs réponses aux devis notamment en dentaire et vous indiquent que certains de vos soins ne sont pas remboursables alors que ce n'est pas le cas.  Faites vérifier leurs réponses aux devis par vos professionnels de santé en leur montrant votre tableau de garanties Mercer. Vous n'êtes pas à l'abri de certaines surprises </t>
  </si>
  <si>
    <t>carpinien-52151</t>
  </si>
  <si>
    <t>C'est bien quand vous ne faites pas appel à eux. Pour le reste, dès qu'il y a un remboursement à faire, bon courage pour vous faire entendre auprès de leur service ! Au lieu de vous aider, on a l'impression qu'ils cherchent à gagner du temps et vous devez bien souvent les relancer par téléphone.</t>
  </si>
  <si>
    <t>jean-pierre-p-126918</t>
  </si>
  <si>
    <t xml:space="preserve">Nickel 
Très content  des tarif et aussi des garanties  
Je n ai eu aucun problème  depuis que jjje suis assuré  chez direct
Assurance  
Cela fait plus de 5 années </t>
  </si>
  <si>
    <t>timadake-104686</t>
  </si>
  <si>
    <t>bon rapport prestations /prix
à l'écoute de ses adhérents
Très bonne mutuelle professionnelle
bon réseau de délégués et techniciens permettant la rapidité des informations et remboursements</t>
  </si>
  <si>
    <t>24/02/2021</t>
  </si>
  <si>
    <t>arnaud-c-127641</t>
  </si>
  <si>
    <t>Prix compétitifs, tout se fait en ligne
Souscription rapide par le site, détail des différentes options et de leur prix, possibilité de moduler les options comme on veut.</t>
  </si>
  <si>
    <t>milin-g-135603</t>
  </si>
  <si>
    <t>Prix correct
Conseillère très sympathique et à l'écoute de ces clients.
Je la recommande fortement et la remercie pour son professionnalisme.
J'espère retomber sur cette personne lors de mon prochain appel</t>
  </si>
  <si>
    <t>estele-p-133969</t>
  </si>
  <si>
    <t>Je cherchais une nouvelle assurance pour mon nouveau véhicule, et je suisTrès satisfaite du site internet qui est ergonomique, vue simplifié et rapidité de souscription.</t>
  </si>
  <si>
    <t>c77arli-59459</t>
  </si>
  <si>
    <t>FUYEZ Les prix ne sont pas si compétitifs Les garanties et Franchises ne sont pas comparables Cela fait 1 mois et 15 jours que j ai eu un accident non responsable toujours pas de remboursement donc à 3 semaine de Noël avec 3 enfants à charge je ne peux toujours pas me déplacer merci Voiture de prêt 1 semaine alors choisissez bien votre semaine si vous signez chez eux et depuis ils nous jouent du violon au téléphone le conseiller téléphonique me conseil de me racheter une voiture avant d’obtenir le remboursement de mon véhicule sinistré à croire que je suis riche?
Hier je ne pouvais même pas emmener ma fille chez le médecin car trop loin de mon domicile, eux ne comprennent pas mon impatience !</t>
  </si>
  <si>
    <t>07/12/2017</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</si>
</sst>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sz val="11.0"/>
      <color theme="1"/>
      <name val="Calibri"/>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8.86"/>
    <col customWidth="1" min="4" max="26" width="8.71"/>
  </cols>
  <sheetData>
    <row r="1">
      <c r="A1" s="1" t="s">
        <v>0</v>
      </c>
      <c r="B1" s="1" t="s">
        <v>1</v>
      </c>
      <c r="C1" s="1" t="s">
        <v>2</v>
      </c>
      <c r="D1" s="1" t="s">
        <v>3</v>
      </c>
      <c r="E1" s="1" t="s">
        <v>4</v>
      </c>
      <c r="F1" s="1" t="s">
        <v>5</v>
      </c>
      <c r="G1" s="1" t="s">
        <v>6</v>
      </c>
      <c r="H1" s="1" t="s">
        <v>7</v>
      </c>
      <c r="I1" s="1" t="s">
        <v>8</v>
      </c>
      <c r="J1" s="1" t="s">
        <v>9</v>
      </c>
      <c r="K1" s="1" t="s">
        <v>10</v>
      </c>
    </row>
    <row r="2">
      <c r="A2" s="2">
        <v>4.0</v>
      </c>
      <c r="B2" s="2" t="s">
        <v>11</v>
      </c>
      <c r="C2" s="2" t="s">
        <v>12</v>
      </c>
      <c r="D2" s="2" t="s">
        <v>13</v>
      </c>
      <c r="E2" s="2" t="s">
        <v>14</v>
      </c>
      <c r="F2" s="2" t="s">
        <v>15</v>
      </c>
      <c r="G2" s="2" t="s">
        <v>16</v>
      </c>
      <c r="H2" s="2" t="s">
        <v>17</v>
      </c>
      <c r="I2" s="3" t="str">
        <f>IFERROR(__xludf.DUMMYFUNCTION("GOOGLETRANSLATE(C2,""fr"",""en"")"),"Very well a little expensive for a young license.
Too bad there is no application for all that is (paper) it would be simpler
(Lack of communication)")</f>
        <v>Very well a little expensive for a young license.
Too bad there is no application for all that is (paper) it would be simpler
(Lack of communication)</v>
      </c>
    </row>
    <row r="3">
      <c r="A3" s="2">
        <v>4.0</v>
      </c>
      <c r="B3" s="2" t="s">
        <v>18</v>
      </c>
      <c r="C3" s="2" t="s">
        <v>19</v>
      </c>
      <c r="D3" s="2" t="s">
        <v>13</v>
      </c>
      <c r="E3" s="2" t="s">
        <v>14</v>
      </c>
      <c r="F3" s="2" t="s">
        <v>15</v>
      </c>
      <c r="G3" s="2" t="s">
        <v>20</v>
      </c>
      <c r="H3" s="2" t="s">
        <v>21</v>
      </c>
      <c r="I3" s="3" t="str">
        <f>IFERROR(__xludf.DUMMYFUNCTION("GOOGLETRANSLATE(C3,""fr"",""en"")"),"I am rather satisfied overall! Very good service, pleasant and effective staff on the phone. I will order this insurance to anyone!")</f>
        <v>I am rather satisfied overall! Very good service, pleasant and effective staff on the phone. I will order this insurance to anyone!</v>
      </c>
    </row>
    <row r="4">
      <c r="A4" s="2">
        <v>5.0</v>
      </c>
      <c r="B4" s="2" t="s">
        <v>22</v>
      </c>
      <c r="C4" s="2" t="s">
        <v>23</v>
      </c>
      <c r="D4" s="2" t="s">
        <v>13</v>
      </c>
      <c r="E4" s="2" t="s">
        <v>14</v>
      </c>
      <c r="F4" s="2" t="s">
        <v>15</v>
      </c>
      <c r="G4" s="2" t="s">
        <v>24</v>
      </c>
      <c r="H4" s="2" t="s">
        <v>25</v>
      </c>
      <c r="I4" s="3" t="str">
        <f>IFERROR(__xludf.DUMMYFUNCTION("GOOGLETRANSLATE(C4,""fr"",""en"")"),"I am very satisfied with customer service. Prices are largely affordable for all budgets. Now I recommend it to all my loved ones !!!!")</f>
        <v>I am very satisfied with customer service. Prices are largely affordable for all budgets. Now I recommend it to all my loved ones !!!!</v>
      </c>
    </row>
    <row r="5">
      <c r="A5" s="2">
        <v>5.0</v>
      </c>
      <c r="B5" s="2" t="s">
        <v>26</v>
      </c>
      <c r="C5" s="2" t="s">
        <v>27</v>
      </c>
      <c r="D5" s="2" t="s">
        <v>28</v>
      </c>
      <c r="E5" s="2" t="s">
        <v>14</v>
      </c>
      <c r="F5" s="2" t="s">
        <v>15</v>
      </c>
      <c r="G5" s="2" t="s">
        <v>29</v>
      </c>
      <c r="H5" s="2" t="s">
        <v>29</v>
      </c>
      <c r="I5" s="3" t="str">
        <f>IFERROR(__xludf.DUMMYFUNCTION("GOOGLETRANSLATE(C5,""fr"",""en"")"),"I am satisfied with GMF insurance. Prices suit me and the service is up to the height of civil liability, home insurance and insurance for our two cars")</f>
        <v>I am satisfied with GMF insurance. Prices suit me and the service is up to the height of civil liability, home insurance and insurance for our two cars</v>
      </c>
    </row>
    <row r="6">
      <c r="A6" s="2">
        <v>1.0</v>
      </c>
      <c r="B6" s="2" t="s">
        <v>30</v>
      </c>
      <c r="C6" s="2" t="s">
        <v>31</v>
      </c>
      <c r="D6" s="2" t="s">
        <v>32</v>
      </c>
      <c r="E6" s="2" t="s">
        <v>33</v>
      </c>
      <c r="F6" s="2" t="s">
        <v>15</v>
      </c>
      <c r="G6" s="2" t="s">
        <v>34</v>
      </c>
      <c r="H6" s="2" t="s">
        <v>25</v>
      </c>
      <c r="I6" s="3" t="str">
        <f>IFERROR(__xludf.DUMMYFUNCTION("GOOGLETRANSLATE(C6,""fr"",""en"")"),"Concerns my work stop insurance contract borrowing.
An insurer to flee at all costs
6 months of judgment and every month I am asked for the same documents without any compensation on the horizon.
Insurer requesting documents having no connection with h"&amp;"is contract
The envelopes sent by R. to. A. do not contain the documents., So I send sand at my expense to harm me.
Catastrophic
")</f>
        <v>Concerns my work stop insurance contract borrowing.
An insurer to flee at all costs
6 months of judgment and every month I am asked for the same documents without any compensation on the horizon.
Insurer requesting documents having no connection with his contract
The envelopes sent by R. to. A. do not contain the documents., So I send sand at my expense to harm me.
Catastrophic
</v>
      </c>
    </row>
    <row r="7">
      <c r="A7" s="2">
        <v>2.0</v>
      </c>
      <c r="B7" s="2" t="s">
        <v>35</v>
      </c>
      <c r="C7" s="2" t="s">
        <v>36</v>
      </c>
      <c r="D7" s="2" t="s">
        <v>37</v>
      </c>
      <c r="E7" s="2" t="s">
        <v>38</v>
      </c>
      <c r="F7" s="2" t="s">
        <v>15</v>
      </c>
      <c r="G7" s="2" t="s">
        <v>39</v>
      </c>
      <c r="H7" s="2" t="s">
        <v>40</v>
      </c>
      <c r="I7" s="3" t="str">
        <f>IFERROR(__xludf.DUMMYFUNCTION("GOOGLETRANSLATE(C7,""fr"",""en"")"),"Well ..Pres to have read it all I was in the postal bank with whom I had subscribed to my CNP life insurance and I asked him to buy the almost totality of my life insurance ... I told him that does not report much. .. I am not a banker .. but I will find "&amp;"another product better than theirs ...
In 6 days it was done .... I left only 1000 euros .. who sleep ... that I will withdraw later")</f>
        <v>Well ..Pres to have read it all I was in the postal bank with whom I had subscribed to my CNP life insurance and I asked him to buy the almost totality of my life insurance ... I told him that does not report much. .. I am not a banker .. but I will find another product better than theirs ...
In 6 days it was done .... I left only 1000 euros .. who sleep ... that I will withdraw later</v>
      </c>
    </row>
    <row r="8">
      <c r="A8" s="2">
        <v>1.0</v>
      </c>
      <c r="B8" s="2" t="s">
        <v>41</v>
      </c>
      <c r="C8" s="2" t="s">
        <v>42</v>
      </c>
      <c r="D8" s="2" t="s">
        <v>43</v>
      </c>
      <c r="E8" s="2" t="s">
        <v>44</v>
      </c>
      <c r="F8" s="2" t="s">
        <v>15</v>
      </c>
      <c r="G8" s="2" t="s">
        <v>45</v>
      </c>
      <c r="H8" s="2" t="s">
        <v>25</v>
      </c>
      <c r="I8" s="3" t="str">
        <f>IFERROR(__xludf.DUMMYFUNCTION("GOOGLETRANSLATE(C8,""fr"",""en"")"),"Above all, do not take out insurance in CEGEMA. They do not answer on the phone or emails. I’m trying to get reimbursed for fees since the end of January. I try to terminate my contract since February 26 We are on April 12 still no answer and therefore no"&amp;" disconnection with Social Security. So I have opposed the samples since March still no news.")</f>
        <v>Above all, do not take out insurance in CEGEMA. They do not answer on the phone or emails. I’m trying to get reimbursed for fees since the end of January. I try to terminate my contract since February 26 We are on April 12 still no answer and therefore no disconnection with Social Security. So I have opposed the samples since March still no news.</v>
      </c>
    </row>
    <row r="9">
      <c r="A9" s="2">
        <v>5.0</v>
      </c>
      <c r="B9" s="2" t="s">
        <v>46</v>
      </c>
      <c r="C9" s="2" t="s">
        <v>47</v>
      </c>
      <c r="D9" s="2" t="s">
        <v>48</v>
      </c>
      <c r="E9" s="2" t="s">
        <v>14</v>
      </c>
      <c r="F9" s="2" t="s">
        <v>15</v>
      </c>
      <c r="G9" s="2" t="s">
        <v>49</v>
      </c>
      <c r="H9" s="2" t="s">
        <v>50</v>
      </c>
      <c r="I9" s="3" t="str">
        <f>IFERROR(__xludf.DUMMYFUNCTION("GOOGLETRANSLATE(C9,""fr"",""en"")"),"Interesting price for good services, everything is done via the Internet, which is comfortable and it's simple
I will download the application to manage my contract")</f>
        <v>Interesting price for good services, everything is done via the Internet, which is comfortable and it's simple
I will download the application to manage my contract</v>
      </c>
    </row>
    <row r="10">
      <c r="A10" s="2">
        <v>2.0</v>
      </c>
      <c r="B10" s="2" t="s">
        <v>51</v>
      </c>
      <c r="C10" s="2" t="s">
        <v>52</v>
      </c>
      <c r="D10" s="2" t="s">
        <v>53</v>
      </c>
      <c r="E10" s="2" t="s">
        <v>44</v>
      </c>
      <c r="F10" s="2" t="s">
        <v>15</v>
      </c>
      <c r="G10" s="2" t="s">
        <v>54</v>
      </c>
      <c r="H10" s="2" t="s">
        <v>55</v>
      </c>
      <c r="I10" s="3" t="str">
        <f>IFERROR(__xludf.DUMMYFUNCTION("GOOGLETRANSLATE(C10,""fr"",""en"")"),"Deplorable customer service! Impossible to have someone on the phone and response time to astronomical care that is to say beyond a month (since February 3 I have always been waiting for the answer")</f>
        <v>Deplorable customer service! Impossible to have someone on the phone and response time to astronomical care that is to say beyond a month (since February 3 I have always been waiting for the answer</v>
      </c>
    </row>
    <row r="11">
      <c r="A11" s="2">
        <v>1.0</v>
      </c>
      <c r="B11" s="2" t="s">
        <v>56</v>
      </c>
      <c r="C11" s="2" t="s">
        <v>57</v>
      </c>
      <c r="D11" s="2" t="s">
        <v>58</v>
      </c>
      <c r="E11" s="2" t="s">
        <v>44</v>
      </c>
      <c r="F11" s="2" t="s">
        <v>15</v>
      </c>
      <c r="G11" s="2" t="s">
        <v>59</v>
      </c>
      <c r="H11" s="2" t="s">
        <v>60</v>
      </c>
      <c r="I11" s="3" t="str">
        <f>IFERROR(__xludf.DUMMYFUNCTION("GOOGLETRANSLATE(C11,""fr"",""en"")"),"It is a real hassle to have information. The mutual insurance does not respond to emails, messages on personal space and having them on the phone is a real hassle. If I had not been able to put any star for the quality of customer service, I would have do"&amp;"ne it.")</f>
        <v>It is a real hassle to have information. The mutual insurance does not respond to emails, messages on personal space and having them on the phone is a real hassle. If I had not been able to put any star for the quality of customer service, I would have done it.</v>
      </c>
    </row>
    <row r="12">
      <c r="A12" s="2">
        <v>4.0</v>
      </c>
      <c r="B12" s="2" t="s">
        <v>61</v>
      </c>
      <c r="C12" s="2" t="s">
        <v>62</v>
      </c>
      <c r="D12" s="2" t="s">
        <v>13</v>
      </c>
      <c r="E12" s="2" t="s">
        <v>14</v>
      </c>
      <c r="F12" s="2" t="s">
        <v>15</v>
      </c>
      <c r="G12" s="2" t="s">
        <v>63</v>
      </c>
      <c r="H12" s="2" t="s">
        <v>50</v>
      </c>
      <c r="I12" s="3" t="str">
        <f>IFERROR(__xludf.DUMMYFUNCTION("GOOGLETRANSLATE(C12,""fr"",""en"")"),"Very pleasantly surprised by the quality of the services of the Olivier Insurance. I highly recommend it to my friends. Look forward to seeing the evolution of the relationship.")</f>
        <v>Very pleasantly surprised by the quality of the services of the Olivier Insurance. I highly recommend it to my friends. Look forward to seeing the evolution of the relationship.</v>
      </c>
    </row>
    <row r="13">
      <c r="A13" s="2">
        <v>5.0</v>
      </c>
      <c r="B13" s="2" t="s">
        <v>64</v>
      </c>
      <c r="C13" s="2" t="s">
        <v>65</v>
      </c>
      <c r="D13" s="2" t="s">
        <v>13</v>
      </c>
      <c r="E13" s="2" t="s">
        <v>14</v>
      </c>
      <c r="F13" s="2" t="s">
        <v>15</v>
      </c>
      <c r="G13" s="2" t="s">
        <v>66</v>
      </c>
      <c r="H13" s="2" t="s">
        <v>67</v>
      </c>
      <c r="I13" s="3" t="str">
        <f>IFERROR(__xludf.DUMMYFUNCTION("GOOGLETRANSLATE(C13,""fr"",""en"")"),"I recommend the olive assurance compared to the prices offered, the simplicity of the administrative procedures and the responsiveness of their service, as well as their kindness.")</f>
        <v>I recommend the olive assurance compared to the prices offered, the simplicity of the administrative procedures and the responsiveness of their service, as well as their kindness.</v>
      </c>
    </row>
    <row r="14">
      <c r="A14" s="2">
        <v>3.0</v>
      </c>
      <c r="B14" s="2" t="s">
        <v>68</v>
      </c>
      <c r="C14" s="2" t="s">
        <v>69</v>
      </c>
      <c r="D14" s="2" t="s">
        <v>48</v>
      </c>
      <c r="E14" s="2" t="s">
        <v>14</v>
      </c>
      <c r="F14" s="2" t="s">
        <v>15</v>
      </c>
      <c r="G14" s="2" t="s">
        <v>70</v>
      </c>
      <c r="H14" s="2" t="s">
        <v>21</v>
      </c>
      <c r="I14" s="3" t="str">
        <f>IFERROR(__xludf.DUMMYFUNCTION("GOOGLETRANSLATE(C14,""fr"",""en"")"),"I find that the price is a little high because having 46%of bonuses I will have thought that it would be cheaper because other car insurance asks me less")</f>
        <v>I find that the price is a little high because having 46%of bonuses I will have thought that it would be cheaper because other car insurance asks me less</v>
      </c>
    </row>
    <row r="15">
      <c r="A15" s="2">
        <v>1.0</v>
      </c>
      <c r="B15" s="2" t="s">
        <v>71</v>
      </c>
      <c r="C15" s="2" t="s">
        <v>72</v>
      </c>
      <c r="D15" s="2" t="s">
        <v>32</v>
      </c>
      <c r="E15" s="2" t="s">
        <v>33</v>
      </c>
      <c r="F15" s="2" t="s">
        <v>15</v>
      </c>
      <c r="G15" s="2" t="s">
        <v>73</v>
      </c>
      <c r="H15" s="2" t="s">
        <v>25</v>
      </c>
      <c r="I15" s="3" t="str">
        <f>IFERROR(__xludf.DUMMYFUNCTION("GOOGLETRANSLATE(C15,""fr"",""en"")"),"We are really faced with a situation or the wear and tear of time and the culture of incompetence are management methods for SOGECAP and the SA TUTIER Société Générale Générale
It has been several messages that I send them and they all remained unanswere"&amp;"d. What should be done? A press campaign, create an association of dissatisfied, the members will not miss if I see all the messages")</f>
        <v>We are really faced with a situation or the wear and tear of time and the culture of incompetence are management methods for SOGECAP and the SA TUTIER Société Générale Générale
It has been several messages that I send them and they all remained unanswered. What should be done? A press campaign, create an association of dissatisfied, the members will not miss if I see all the messages</v>
      </c>
    </row>
    <row r="16">
      <c r="A16" s="2">
        <v>4.0</v>
      </c>
      <c r="B16" s="2" t="s">
        <v>74</v>
      </c>
      <c r="C16" s="2" t="s">
        <v>75</v>
      </c>
      <c r="D16" s="2" t="s">
        <v>13</v>
      </c>
      <c r="E16" s="2" t="s">
        <v>14</v>
      </c>
      <c r="F16" s="2" t="s">
        <v>15</v>
      </c>
      <c r="G16" s="2" t="s">
        <v>76</v>
      </c>
      <c r="H16" s="2" t="s">
        <v>21</v>
      </c>
      <c r="I16" s="3" t="str">
        <f>IFERROR(__xludf.DUMMYFUNCTION("GOOGLETRANSLATE(C16,""fr"",""en"")"),"Coherent and suitable price. The subscription procedures are easy and fast. I am satisfied with my insurance. I highly recommend      .")</f>
        <v>Coherent and suitable price. The subscription procedures are easy and fast. I am satisfied with my insurance. I highly recommend      .</v>
      </c>
    </row>
    <row r="17">
      <c r="A17" s="2">
        <v>5.0</v>
      </c>
      <c r="B17" s="2" t="s">
        <v>77</v>
      </c>
      <c r="C17" s="2" t="s">
        <v>78</v>
      </c>
      <c r="D17" s="2" t="s">
        <v>13</v>
      </c>
      <c r="E17" s="2" t="s">
        <v>14</v>
      </c>
      <c r="F17" s="2" t="s">
        <v>15</v>
      </c>
      <c r="G17" s="2" t="s">
        <v>79</v>
      </c>
      <c r="H17" s="2" t="s">
        <v>80</v>
      </c>
      <c r="I17" s="3" t="str">
        <f>IFERROR(__xludf.DUMMYFUNCTION("GOOGLETRANSLATE(C17,""fr"",""en"")"),"Very good car insurance at a reasonable price and very good guarantees. This is the first year that I am assured with the Olivier Insurance and until today I am very satisfied. Excellent driver insurance in a large amount.")</f>
        <v>Very good car insurance at a reasonable price and very good guarantees. This is the first year that I am assured with the Olivier Insurance and until today I am very satisfied. Excellent driver insurance in a large amount.</v>
      </c>
    </row>
    <row r="18">
      <c r="A18" s="2">
        <v>2.0</v>
      </c>
      <c r="B18" s="2" t="s">
        <v>81</v>
      </c>
      <c r="C18" s="2" t="s">
        <v>82</v>
      </c>
      <c r="D18" s="2" t="s">
        <v>83</v>
      </c>
      <c r="E18" s="2" t="s">
        <v>14</v>
      </c>
      <c r="F18" s="2" t="s">
        <v>15</v>
      </c>
      <c r="G18" s="2" t="s">
        <v>84</v>
      </c>
      <c r="H18" s="2" t="s">
        <v>85</v>
      </c>
      <c r="I18" s="3" t="str">
        <f>IFERROR(__xludf.DUMMYFUNCTION("GOOGLETRANSLATE(C18,""fr"",""en"")"),"No understanding, after 30 years of insurance at home, and you are not considered, I am not cash for all. They lost me as a customer.")</f>
        <v>No understanding, after 30 years of insurance at home, and you are not considered, I am not cash for all. They lost me as a customer.</v>
      </c>
    </row>
    <row r="19">
      <c r="A19" s="2">
        <v>4.0</v>
      </c>
      <c r="B19" s="2" t="s">
        <v>86</v>
      </c>
      <c r="C19" s="2" t="s">
        <v>87</v>
      </c>
      <c r="D19" s="2" t="s">
        <v>48</v>
      </c>
      <c r="E19" s="2" t="s">
        <v>14</v>
      </c>
      <c r="F19" s="2" t="s">
        <v>15</v>
      </c>
      <c r="G19" s="2" t="s">
        <v>88</v>
      </c>
      <c r="H19" s="2" t="s">
        <v>89</v>
      </c>
      <c r="I19" s="3" t="str">
        <f>IFERROR(__xludf.DUMMYFUNCTION("GOOGLETRANSLATE(C19,""fr"",""en"")"),"I recommend the subscription to this insurance company first for the ergonomics of its site and its ease of use (customer space access and online quote) as well as for the transmission of documents.
It will be time to see, if necessary, the right treatme"&amp;"nt of claims.")</f>
        <v>I recommend the subscription to this insurance company first for the ergonomics of its site and its ease of use (customer space access and online quote) as well as for the transmission of documents.
It will be time to see, if necessary, the right treatment of claims.</v>
      </c>
    </row>
    <row r="20">
      <c r="A20" s="2">
        <v>1.0</v>
      </c>
      <c r="B20" s="2" t="s">
        <v>90</v>
      </c>
      <c r="C20" s="2" t="s">
        <v>91</v>
      </c>
      <c r="D20" s="2" t="s">
        <v>92</v>
      </c>
      <c r="E20" s="2" t="s">
        <v>44</v>
      </c>
      <c r="F20" s="2" t="s">
        <v>15</v>
      </c>
      <c r="G20" s="2" t="s">
        <v>93</v>
      </c>
      <c r="H20" s="2" t="s">
        <v>94</v>
      </c>
      <c r="I20" s="3" t="str">
        <f>IFERROR(__xludf.DUMMYFUNCTION("GOOGLETRANSLATE(C20,""fr"",""en"")"),"Very complicated to be compensated when you are on sick leave. Their service is difficult to reachable and despite complaints nothing is advancing")</f>
        <v>Very complicated to be compensated when you are on sick leave. Their service is difficult to reachable and despite complaints nothing is advancing</v>
      </c>
    </row>
    <row r="21" ht="15.75" customHeight="1">
      <c r="A21" s="2">
        <v>1.0</v>
      </c>
      <c r="B21" s="2" t="s">
        <v>95</v>
      </c>
      <c r="C21" s="2" t="s">
        <v>96</v>
      </c>
      <c r="D21" s="2" t="s">
        <v>97</v>
      </c>
      <c r="E21" s="2" t="s">
        <v>33</v>
      </c>
      <c r="F21" s="2" t="s">
        <v>15</v>
      </c>
      <c r="G21" s="2" t="s">
        <v>98</v>
      </c>
      <c r="H21" s="2" t="s">
        <v>99</v>
      </c>
      <c r="I21" s="3" t="str">
        <f>IFERROR(__xludf.DUMMYFUNCTION("GOOGLETRANSLATE(C21,""fr"",""en"")"),"I signed my contract over 25 years ago; I am retired and I still receive my pensions. I am asked every 6 months to certify that I am still alive and I connect to the internet. My contract number is obviously unknown and I cannot reach anyone: neither by m"&amp;"ail nor by phone. All my steps lead to a Leo vocal server who does not know how to respond or gives information at full speed.
Even the Generali agencies are unable to answer me and I cannot find the agent with whom I signed my contract.
DEPLORABLE")</f>
        <v>I signed my contract over 25 years ago; I am retired and I still receive my pensions. I am asked every 6 months to certify that I am still alive and I connect to the internet. My contract number is obviously unknown and I cannot reach anyone: neither by mail nor by phone. All my steps lead to a Leo vocal server who does not know how to respond or gives information at full speed.
Even the Generali agencies are unable to answer me and I cannot find the agent with whom I signed my contract.
DEPLORABLE</v>
      </c>
    </row>
    <row r="22" ht="15.75" customHeight="1">
      <c r="A22" s="2">
        <v>1.0</v>
      </c>
      <c r="B22" s="2" t="s">
        <v>100</v>
      </c>
      <c r="C22" s="2" t="s">
        <v>101</v>
      </c>
      <c r="D22" s="2" t="s">
        <v>102</v>
      </c>
      <c r="E22" s="2" t="s">
        <v>14</v>
      </c>
      <c r="F22" s="2" t="s">
        <v>15</v>
      </c>
      <c r="G22" s="2" t="s">
        <v>25</v>
      </c>
      <c r="H22" s="2" t="s">
        <v>25</v>
      </c>
      <c r="I22" s="3" t="str">
        <f>IFERROR(__xludf.DUMMYFUNCTION("GOOGLETRANSLATE(C22,""fr"",""en"")"),"Following a vehicle flight, the sinister service has told me for 2 months that there are investments in progress and that they cannot give me more information!
The most is that they do not know when I have a response 1 month 2 months 6 months ....")</f>
        <v>Following a vehicle flight, the sinister service has told me for 2 months that there are investments in progress and that they cannot give me more information!
The most is that they do not know when I have a response 1 month 2 months 6 months ....</v>
      </c>
    </row>
    <row r="23" ht="15.75" customHeight="1">
      <c r="A23" s="2">
        <v>2.0</v>
      </c>
      <c r="B23" s="2" t="s">
        <v>103</v>
      </c>
      <c r="C23" s="2" t="s">
        <v>104</v>
      </c>
      <c r="D23" s="2" t="s">
        <v>105</v>
      </c>
      <c r="E23" s="2" t="s">
        <v>38</v>
      </c>
      <c r="F23" s="2" t="s">
        <v>15</v>
      </c>
      <c r="G23" s="2" t="s">
        <v>106</v>
      </c>
      <c r="H23" s="2" t="s">
        <v>107</v>
      </c>
      <c r="I23" s="3" t="str">
        <f>IFERROR(__xludf.DUMMYFUNCTION("GOOGLETRANSLATE(C23,""fr"",""en"")"),"Since February 2017 following a work accident I have still not had my supplement of my health provident always waiting for any document sent any document I am always told the same thing you have to wait for the processing time but 4 months Do still a lot "&amp;"I think you shouldn't abuse")</f>
        <v>Since February 2017 following a work accident I have still not had my supplement of my health provident always waiting for any document sent any document I am always told the same thing you have to wait for the processing time but 4 months Do still a lot I think you shouldn't abuse</v>
      </c>
    </row>
    <row r="24" ht="15.75" customHeight="1">
      <c r="A24" s="2">
        <v>4.0</v>
      </c>
      <c r="B24" s="2" t="s">
        <v>108</v>
      </c>
      <c r="C24" s="2" t="s">
        <v>109</v>
      </c>
      <c r="D24" s="2" t="s">
        <v>110</v>
      </c>
      <c r="E24" s="2" t="s">
        <v>44</v>
      </c>
      <c r="F24" s="2" t="s">
        <v>15</v>
      </c>
      <c r="G24" s="2" t="s">
        <v>111</v>
      </c>
      <c r="H24" s="2" t="s">
        <v>17</v>
      </c>
      <c r="I24" s="3" t="str">
        <f>IFERROR(__xludf.DUMMYFUNCTION("GOOGLETRANSLATE(C24,""fr"",""en"")"),"I appreciated the online subscription route, it's simple and above all very clear it is one of the things that convinced me to subscribe, the service is more modern than that of the competitors")</f>
        <v>I appreciated the online subscription route, it's simple and above all very clear it is one of the things that convinced me to subscribe, the service is more modern than that of the competitors</v>
      </c>
    </row>
    <row r="25" ht="15.75" customHeight="1">
      <c r="A25" s="2">
        <v>1.0</v>
      </c>
      <c r="B25" s="2" t="s">
        <v>112</v>
      </c>
      <c r="C25" s="2" t="s">
        <v>113</v>
      </c>
      <c r="D25" s="2" t="s">
        <v>48</v>
      </c>
      <c r="E25" s="2" t="s">
        <v>14</v>
      </c>
      <c r="F25" s="2" t="s">
        <v>15</v>
      </c>
      <c r="G25" s="2" t="s">
        <v>24</v>
      </c>
      <c r="H25" s="2" t="s">
        <v>25</v>
      </c>
      <c r="I25" s="3" t="str">
        <f>IFERROR(__xludf.DUMMYFUNCTION("GOOGLETRANSLATE(C25,""fr"",""en"")"),"Disappointed is badly ensure in any risk I really do not intend to stay this insurance which is expensive in the end when it arrives an event enough by")</f>
        <v>Disappointed is badly ensure in any risk I really do not intend to stay this insurance which is expensive in the end when it arrives an event enough by</v>
      </c>
    </row>
    <row r="26" ht="15.75" customHeight="1">
      <c r="A26" s="2">
        <v>1.0</v>
      </c>
      <c r="B26" s="2" t="s">
        <v>114</v>
      </c>
      <c r="C26" s="2" t="s">
        <v>115</v>
      </c>
      <c r="D26" s="2" t="s">
        <v>116</v>
      </c>
      <c r="E26" s="2" t="s">
        <v>14</v>
      </c>
      <c r="F26" s="2" t="s">
        <v>15</v>
      </c>
      <c r="G26" s="2" t="s">
        <v>117</v>
      </c>
      <c r="H26" s="2" t="s">
        <v>118</v>
      </c>
      <c r="I26" s="3" t="str">
        <f>IFERROR(__xludf.DUMMYFUNCTION("GOOGLETRANSLATE(C26,""fr"",""en"")"),"319 th rejection fees while accounting account! Annual premium due was 117.90 E.")</f>
        <v>319 th rejection fees while accounting account! Annual premium due was 117.90 E.</v>
      </c>
    </row>
    <row r="27" ht="15.75" customHeight="1">
      <c r="A27" s="2">
        <v>1.0</v>
      </c>
      <c r="B27" s="2" t="s">
        <v>119</v>
      </c>
      <c r="C27" s="2" t="s">
        <v>120</v>
      </c>
      <c r="D27" s="2" t="s">
        <v>121</v>
      </c>
      <c r="E27" s="2" t="s">
        <v>14</v>
      </c>
      <c r="F27" s="2" t="s">
        <v>15</v>
      </c>
      <c r="G27" s="2" t="s">
        <v>122</v>
      </c>
      <c r="H27" s="2" t="s">
        <v>123</v>
      </c>
      <c r="I27" s="3" t="str">
        <f>IFERROR(__xludf.DUMMYFUNCTION("GOOGLETRANSLATE(C27,""fr"",""en"")"),"Hey
Over the past 2 years, we have used MAIF's legal protection twice for our 2 cars.
The 1st time, protection refused to intervene on a defect in large brand tires on the grounds that I had bought them on the Internet (Maif does not seem to know that o"&amp;"nline trade exists).
The 2nd time, the MAIF has agreed to intervene on a concern for engine shots on our recent guarantee car. But what a disappointment: after trying to impose an expert on me who knew nothing about it, it's been more than a month since "&amp;"I expect their intervention with the manufacturer. I have relaunched them 3 times, it does not react.")</f>
        <v>Hey
Over the past 2 years, we have used MAIF's legal protection twice for our 2 cars.
The 1st time, protection refused to intervene on a defect in large brand tires on the grounds that I had bought them on the Internet (Maif does not seem to know that online trade exists).
The 2nd time, the MAIF has agreed to intervene on a concern for engine shots on our recent guarantee car. But what a disappointment: after trying to impose an expert on me who knew nothing about it, it's been more than a month since I expect their intervention with the manufacturer. I have relaunched them 3 times, it does not react.</v>
      </c>
    </row>
    <row r="28" ht="15.75" customHeight="1">
      <c r="A28" s="2">
        <v>5.0</v>
      </c>
      <c r="B28" s="2" t="s">
        <v>124</v>
      </c>
      <c r="C28" s="2" t="s">
        <v>125</v>
      </c>
      <c r="D28" s="2" t="s">
        <v>126</v>
      </c>
      <c r="E28" s="2" t="s">
        <v>127</v>
      </c>
      <c r="F28" s="2" t="s">
        <v>15</v>
      </c>
      <c r="G28" s="2" t="s">
        <v>111</v>
      </c>
      <c r="H28" s="2" t="s">
        <v>17</v>
      </c>
      <c r="I28" s="3" t="str">
        <f>IFERROR(__xludf.DUMMYFUNCTION("GOOGLETRANSLATE(C28,""fr"",""en"")"),"Quick subscription and attractive price, what more could you ask to ensure a cross motorcycle easily and quickly, everything was perfect, thank you for everything at April Moto")</f>
        <v>Quick subscription and attractive price, what more could you ask to ensure a cross motorcycle easily and quickly, everything was perfect, thank you for everything at April Moto</v>
      </c>
    </row>
    <row r="29" ht="15.75" customHeight="1">
      <c r="A29" s="2">
        <v>4.0</v>
      </c>
      <c r="B29" s="2" t="s">
        <v>128</v>
      </c>
      <c r="C29" s="2" t="s">
        <v>129</v>
      </c>
      <c r="D29" s="2" t="s">
        <v>13</v>
      </c>
      <c r="E29" s="2" t="s">
        <v>14</v>
      </c>
      <c r="F29" s="2" t="s">
        <v>15</v>
      </c>
      <c r="G29" s="2" t="s">
        <v>130</v>
      </c>
      <c r="H29" s="2" t="s">
        <v>29</v>
      </c>
      <c r="I29" s="3" t="str">
        <f>IFERROR(__xludf.DUMMYFUNCTION("GOOGLETRANSLATE(C29,""fr"",""en"")"),"Satisfied with the service, as well as the advice
The proposed price is up to my expectations
I really think the olive assurance
Thank you")</f>
        <v>Satisfied with the service, as well as the advice
The proposed price is up to my expectations
I really think the olive assurance
Thank you</v>
      </c>
    </row>
    <row r="30" ht="15.75" customHeight="1">
      <c r="A30" s="2">
        <v>2.0</v>
      </c>
      <c r="B30" s="2" t="s">
        <v>131</v>
      </c>
      <c r="C30" s="2" t="s">
        <v>132</v>
      </c>
      <c r="D30" s="2" t="s">
        <v>48</v>
      </c>
      <c r="E30" s="2" t="s">
        <v>14</v>
      </c>
      <c r="F30" s="2" t="s">
        <v>15</v>
      </c>
      <c r="G30" s="2" t="s">
        <v>70</v>
      </c>
      <c r="H30" s="2" t="s">
        <v>21</v>
      </c>
      <c r="I30" s="3" t="str">
        <f>IFERROR(__xludf.DUMMYFUNCTION("GOOGLETRANSLATE(C30,""fr"",""en"")"),"I am currently in dispute with you (file to the mediator).
I think I can terminate one by one my contracts.;
My contributions have increased despite 8 years of loyalty, all -risk contracts, 0 claims and bonuses 50%")</f>
        <v>I am currently in dispute with you (file to the mediator).
I think I can terminate one by one my contracts.;
My contributions have increased despite 8 years of loyalty, all -risk contracts, 0 claims and bonuses 50%</v>
      </c>
    </row>
    <row r="31" ht="15.75" customHeight="1">
      <c r="A31" s="2">
        <v>1.0</v>
      </c>
      <c r="B31" s="2" t="s">
        <v>133</v>
      </c>
      <c r="C31" s="2" t="s">
        <v>134</v>
      </c>
      <c r="D31" s="2" t="s">
        <v>135</v>
      </c>
      <c r="E31" s="2" t="s">
        <v>44</v>
      </c>
      <c r="F31" s="2" t="s">
        <v>15</v>
      </c>
      <c r="G31" s="2" t="s">
        <v>136</v>
      </c>
      <c r="H31" s="2" t="s">
        <v>89</v>
      </c>
      <c r="I31" s="3" t="str">
        <f>IFERROR(__xludf.DUMMYFUNCTION("GOOGLETRANSLATE(C31,""fr"",""en"")"),"Hello, after discussing a broker, I let myself go to provide him with the information he asked me to the RIB, finding the proposal interesting but asking for reflection. I did not sign anything electronically or sent the security certificates he asked for"&amp;"; And in the end, I told him that I did not follow up having found another agency. Obviously, not very happy the gentleman at the limit of making me feel guilty of my choice! And then now I realize that Néoliane will proceed on July 15 to a sample of € 20"&amp;", for whom, for what, I do not know. The fact remains that I put the sample in a black list and that he will not be able to do anything. If there is a problem, I printed the blockage.")</f>
        <v>Hello, after discussing a broker, I let myself go to provide him with the information he asked me to the RIB, finding the proposal interesting but asking for reflection. I did not sign anything electronically or sent the security certificates he asked for; And in the end, I told him that I did not follow up having found another agency. Obviously, not very happy the gentleman at the limit of making me feel guilty of my choice! And then now I realize that Néoliane will proceed on July 15 to a sample of € 20, for whom, for what, I do not know. The fact remains that I put the sample in a black list and that he will not be able to do anything. If there is a problem, I printed the blockage.</v>
      </c>
    </row>
    <row r="32" ht="15.75" customHeight="1">
      <c r="A32" s="2">
        <v>1.0</v>
      </c>
      <c r="B32" s="2" t="s">
        <v>137</v>
      </c>
      <c r="C32" s="2" t="s">
        <v>138</v>
      </c>
      <c r="D32" s="2" t="s">
        <v>139</v>
      </c>
      <c r="E32" s="2" t="s">
        <v>127</v>
      </c>
      <c r="F32" s="2" t="s">
        <v>15</v>
      </c>
      <c r="G32" s="2" t="s">
        <v>140</v>
      </c>
      <c r="H32" s="2" t="s">
        <v>85</v>
      </c>
      <c r="I32" s="3" t="str">
        <f>IFERROR(__xludf.DUMMYFUNCTION("GOOGLETRANSLATE(C32,""fr"",""en"")"),"No advice .... they are unreachable .... even in the loss management department !!!
When we have a major problem we can hope for a minimum of file follow -up, even during this complicated period.
")</f>
        <v>No advice .... they are unreachable .... even in the loss management department !!!
When we have a major problem we can hope for a minimum of file follow -up, even during this complicated period.
</v>
      </c>
    </row>
    <row r="33" ht="15.75" customHeight="1">
      <c r="A33" s="2">
        <v>2.0</v>
      </c>
      <c r="B33" s="2" t="s">
        <v>141</v>
      </c>
      <c r="C33" s="2" t="s">
        <v>142</v>
      </c>
      <c r="D33" s="2" t="s">
        <v>105</v>
      </c>
      <c r="E33" s="2" t="s">
        <v>38</v>
      </c>
      <c r="F33" s="2" t="s">
        <v>15</v>
      </c>
      <c r="G33" s="2" t="s">
        <v>89</v>
      </c>
      <c r="H33" s="2" t="s">
        <v>89</v>
      </c>
      <c r="I33" s="3" t="str">
        <f>IFERROR(__xludf.DUMMYFUNCTION("GOOGLETRANSLATE(C33,""fr"",""en"")"),"Hello, I note with regret that I am not alone in being unhappy with the management of AG2R ... I sent them my social security statements for the payment of my disability annuity of the 1st quarter of the year in lessons, in April 2021. We are July 1, 2021"&amp;" and I am worried about the situation because so far I have not perceived anything and I have no return ...
In the meantime, I have contacted their foresight service which is unable to bring me a justification on the non-processing of my file, yet comple"&amp;"te depending on their return ... I am completely disappointed ...
Currently, without income I encounter big financial difficulties ...")</f>
        <v>Hello, I note with regret that I am not alone in being unhappy with the management of AG2R ... I sent them my social security statements for the payment of my disability annuity of the 1st quarter of the year in lessons, in April 2021. We are July 1, 2021 and I am worried about the situation because so far I have not perceived anything and I have no return ...
In the meantime, I have contacted their foresight service which is unable to bring me a justification on the non-processing of my file, yet complete depending on their return ... I am completely disappointed ...
Currently, without income I encounter big financial difficulties ...</v>
      </c>
    </row>
    <row r="34" ht="15.75" customHeight="1">
      <c r="A34" s="2">
        <v>5.0</v>
      </c>
      <c r="B34" s="2" t="s">
        <v>143</v>
      </c>
      <c r="C34" s="2" t="s">
        <v>144</v>
      </c>
      <c r="D34" s="2" t="s">
        <v>48</v>
      </c>
      <c r="E34" s="2" t="s">
        <v>14</v>
      </c>
      <c r="F34" s="2" t="s">
        <v>15</v>
      </c>
      <c r="G34" s="2" t="s">
        <v>145</v>
      </c>
      <c r="H34" s="2" t="s">
        <v>29</v>
      </c>
      <c r="I34" s="3" t="str">
        <f>IFERROR(__xludf.DUMMYFUNCTION("GOOGLETRANSLATE(C34,""fr"",""en"")"),"I am satisfied
The prices are rather interesting
I think I will subscribe to all my vehicles at home I will change for one of the best direct insurance")</f>
        <v>I am satisfied
The prices are rather interesting
I think I will subscribe to all my vehicles at home I will change for one of the best direct insurance</v>
      </c>
    </row>
    <row r="35" ht="15.75" customHeight="1">
      <c r="A35" s="2">
        <v>3.0</v>
      </c>
      <c r="B35" s="2" t="s">
        <v>146</v>
      </c>
      <c r="C35" s="2" t="s">
        <v>147</v>
      </c>
      <c r="D35" s="2" t="s">
        <v>48</v>
      </c>
      <c r="E35" s="2" t="s">
        <v>14</v>
      </c>
      <c r="F35" s="2" t="s">
        <v>15</v>
      </c>
      <c r="G35" s="2" t="s">
        <v>148</v>
      </c>
      <c r="H35" s="2" t="s">
        <v>149</v>
      </c>
      <c r="I35" s="3" t="str">
        <f>IFERROR(__xludf.DUMMYFUNCTION("GOOGLETRANSLATE(C35,""fr"",""en"")"),"Person at the end of the email
Sinister!")</f>
        <v>Person at the end of the email
Sinister!</v>
      </c>
    </row>
    <row r="36" ht="15.75" customHeight="1">
      <c r="A36" s="2">
        <v>3.0</v>
      </c>
      <c r="B36" s="2" t="s">
        <v>150</v>
      </c>
      <c r="C36" s="2" t="s">
        <v>151</v>
      </c>
      <c r="D36" s="2" t="s">
        <v>48</v>
      </c>
      <c r="E36" s="2" t="s">
        <v>14</v>
      </c>
      <c r="F36" s="2" t="s">
        <v>15</v>
      </c>
      <c r="G36" s="2" t="s">
        <v>152</v>
      </c>
      <c r="H36" s="2" t="s">
        <v>50</v>
      </c>
      <c r="I36" s="3" t="str">
        <f>IFERROR(__xludf.DUMMYFUNCTION("GOOGLETRANSLATE(C36,""fr"",""en"")"),"Very good insurance to know the assistance in the event of a problem and the reactivity of the team. This is my first insurance at home to we would see for Plutard")</f>
        <v>Very good insurance to know the assistance in the event of a problem and the reactivity of the team. This is my first insurance at home to we would see for Plutard</v>
      </c>
    </row>
    <row r="37" ht="15.75" customHeight="1">
      <c r="A37" s="2">
        <v>1.0</v>
      </c>
      <c r="B37" s="2" t="s">
        <v>153</v>
      </c>
      <c r="C37" s="2" t="s">
        <v>154</v>
      </c>
      <c r="D37" s="2" t="s">
        <v>155</v>
      </c>
      <c r="E37" s="2" t="s">
        <v>14</v>
      </c>
      <c r="F37" s="2" t="s">
        <v>15</v>
      </c>
      <c r="G37" s="2" t="s">
        <v>156</v>
      </c>
      <c r="H37" s="2" t="s">
        <v>157</v>
      </c>
      <c r="I37" s="3" t="str">
        <f>IFERROR(__xludf.DUMMYFUNCTION("GOOGLETRANSLATE(C37,""fr"",""en"")"),"0 Troooop customer service on the phone they say 3 minutes but finally at least 15 minutes")</f>
        <v>0 Troooop customer service on the phone they say 3 minutes but finally at least 15 minutes</v>
      </c>
    </row>
    <row r="38" ht="15.75" customHeight="1">
      <c r="A38" s="2">
        <v>4.0</v>
      </c>
      <c r="B38" s="2" t="s">
        <v>158</v>
      </c>
      <c r="C38" s="2" t="s">
        <v>159</v>
      </c>
      <c r="D38" s="2" t="s">
        <v>53</v>
      </c>
      <c r="E38" s="2" t="s">
        <v>44</v>
      </c>
      <c r="F38" s="2" t="s">
        <v>15</v>
      </c>
      <c r="G38" s="2" t="s">
        <v>160</v>
      </c>
      <c r="H38" s="2" t="s">
        <v>50</v>
      </c>
      <c r="I38" s="3" t="str">
        <f>IFERROR(__xludf.DUMMYFUNCTION("GOOGLETRANSLATE(C38,""fr"",""en"")"),"Very welcome I was well informed by the person I had on the phone today and my problem was resolved. This person was well listened to and I thank him for his patience.")</f>
        <v>Very welcome I was well informed by the person I had on the phone today and my problem was resolved. This person was well listened to and I thank him for his patience.</v>
      </c>
    </row>
    <row r="39" ht="15.75" customHeight="1">
      <c r="A39" s="2">
        <v>1.0</v>
      </c>
      <c r="B39" s="2" t="s">
        <v>161</v>
      </c>
      <c r="C39" s="2" t="s">
        <v>162</v>
      </c>
      <c r="D39" s="2" t="s">
        <v>116</v>
      </c>
      <c r="E39" s="2" t="s">
        <v>14</v>
      </c>
      <c r="F39" s="2" t="s">
        <v>15</v>
      </c>
      <c r="G39" s="2" t="s">
        <v>163</v>
      </c>
      <c r="H39" s="2" t="s">
        <v>164</v>
      </c>
      <c r="I39" s="3" t="str">
        <f>IFERROR(__xludf.DUMMYFUNCTION("GOOGLETRANSLATE(C39,""fr"",""en"")"),"Run away....!!! They want to force me to sign a sampling mandate otherwise they do not send me my green card !!! With them you will have problems on problem and li worse being their telephone service: there you will understand what a service is out of the"&amp;" way you
")</f>
        <v>Run away....!!! They want to force me to sign a sampling mandate otherwise they do not send me my green card !!! With them you will have problems on problem and li worse being their telephone service: there you will understand what a service is out of the way you
</v>
      </c>
    </row>
    <row r="40" ht="15.75" customHeight="1">
      <c r="A40" s="2">
        <v>3.0</v>
      </c>
      <c r="B40" s="2" t="s">
        <v>165</v>
      </c>
      <c r="C40" s="2" t="s">
        <v>166</v>
      </c>
      <c r="D40" s="2" t="s">
        <v>167</v>
      </c>
      <c r="E40" s="2" t="s">
        <v>38</v>
      </c>
      <c r="F40" s="2" t="s">
        <v>15</v>
      </c>
      <c r="G40" s="2" t="s">
        <v>168</v>
      </c>
      <c r="H40" s="2" t="s">
        <v>169</v>
      </c>
      <c r="I40" s="3" t="str">
        <f>IFERROR(__xludf.DUMMYFUNCTION("GOOGLETRANSLATE(C40,""fr"",""en"")"),"I have been a liberal profession and adherent to the Swisslife for a few years. In 2017, I took a collaborator, because I have small health problems that forced me to reduce my working days because I did not want to stop my professional activity. On Novem"&amp;"ber 17 (envelope being proof), I receive the contribution call for the year 2018 with an increase of 70 euros per month without reasons or explanation justifying such an increase. I therefore send a registered letter termination letter. The Swisslife repl"&amp;"ies that I did not respect the period of 2 months (anniversary date on 01/01/2018) Madelin law! By what divine operation could I have respected this period of 2 months having received the contribution call on November 17? Since then, I send emails and no "&amp;"one can answer this question, I am always referred to this period of 2 months. So, I find myself in an impasse, it would be enough that I am explained to me why the contribution call is not sent in time to know September or October. And there the members "&amp;"could respect this period of 2 months. The difficulty with the Swisslife is to have an interlocutor capable of answering the questions asked. If someone is in the same situation as me, do not hesitate to contact me (0610802133).")</f>
        <v>I have been a liberal profession and adherent to the Swisslife for a few years. In 2017, I took a collaborator, because I have small health problems that forced me to reduce my working days because I did not want to stop my professional activity. On November 17 (envelope being proof), I receive the contribution call for the year 2018 with an increase of 70 euros per month without reasons or explanation justifying such an increase. I therefore send a registered letter termination letter. The Swisslife replies that I did not respect the period of 2 months (anniversary date on 01/01/2018) Madelin law! By what divine operation could I have respected this period of 2 months having received the contribution call on November 17? Since then, I send emails and no one can answer this question, I am always referred to this period of 2 months. So, I find myself in an impasse, it would be enough that I am explained to me why the contribution call is not sent in time to know September or October. And there the members could respect this period of 2 months. The difficulty with the Swisslife is to have an interlocutor capable of answering the questions asked. If someone is in the same situation as me, do not hesitate to contact me (0610802133).</v>
      </c>
    </row>
    <row r="41" ht="15.75" customHeight="1">
      <c r="A41" s="2">
        <v>1.0</v>
      </c>
      <c r="B41" s="2" t="s">
        <v>170</v>
      </c>
      <c r="C41" s="2" t="s">
        <v>171</v>
      </c>
      <c r="D41" s="2" t="s">
        <v>53</v>
      </c>
      <c r="E41" s="2" t="s">
        <v>44</v>
      </c>
      <c r="F41" s="2" t="s">
        <v>15</v>
      </c>
      <c r="G41" s="2" t="s">
        <v>172</v>
      </c>
      <c r="H41" s="2" t="s">
        <v>173</v>
      </c>
      <c r="I41" s="3" t="str">
        <f>IFERROR(__xludf.DUMMYFUNCTION("GOOGLETRANSLATE(C41,""fr"",""en"")"),"The worst mutual insurance company you could trust, no warranty, no customer service, is similar to the monthly sale of a wind subscription")</f>
        <v>The worst mutual insurance company you could trust, no warranty, no customer service, is similar to the monthly sale of a wind subscription</v>
      </c>
    </row>
    <row r="42" ht="15.75" customHeight="1">
      <c r="A42" s="2">
        <v>1.0</v>
      </c>
      <c r="B42" s="2" t="s">
        <v>174</v>
      </c>
      <c r="C42" s="2" t="s">
        <v>175</v>
      </c>
      <c r="D42" s="2" t="s">
        <v>176</v>
      </c>
      <c r="E42" s="2" t="s">
        <v>14</v>
      </c>
      <c r="F42" s="2" t="s">
        <v>15</v>
      </c>
      <c r="G42" s="2" t="s">
        <v>177</v>
      </c>
      <c r="H42" s="2" t="s">
        <v>178</v>
      </c>
      <c r="I42" s="3" t="str">
        <f>IFERROR(__xludf.DUMMYFUNCTION("GOOGLETRANSLATE(C42,""fr"",""en"")"),"Since this year, auto maturity opinions have been ""simplified"" to make them more ""friendly"", dixit the Macif. Result: there is no longer the bonus and the amount of the corresponding reduction, ditto for the special reduction good driver. After severa"&amp;"l exchanges on the personal space, I am told and confirms that these reductions are automatically included in the premium, but that the Macif can no longer include them in the opinions ... Back to an opacity of the maturity notices? And at the time we are"&amp;" talking about good management of natural resources, the opinion now makes two pages .. nice simplification! I replied that I was going to see other insurers, after more than 35 years with them.")</f>
        <v>Since this year, auto maturity opinions have been "simplified" to make them more "friendly", dixit the Macif. Result: there is no longer the bonus and the amount of the corresponding reduction, ditto for the special reduction good driver. After several exchanges on the personal space, I am told and confirms that these reductions are automatically included in the premium, but that the Macif can no longer include them in the opinions ... Back to an opacity of the maturity notices? And at the time we are talking about good management of natural resources, the opinion now makes two pages .. nice simplification! I replied that I was going to see other insurers, after more than 35 years with them.</v>
      </c>
    </row>
    <row r="43" ht="15.75" customHeight="1">
      <c r="A43" s="2">
        <v>5.0</v>
      </c>
      <c r="B43" s="2" t="s">
        <v>179</v>
      </c>
      <c r="C43" s="2" t="s">
        <v>180</v>
      </c>
      <c r="D43" s="2" t="s">
        <v>13</v>
      </c>
      <c r="E43" s="2" t="s">
        <v>14</v>
      </c>
      <c r="F43" s="2" t="s">
        <v>15</v>
      </c>
      <c r="G43" s="2" t="s">
        <v>181</v>
      </c>
      <c r="H43" s="2" t="s">
        <v>29</v>
      </c>
      <c r="I43" s="3" t="str">
        <f>IFERROR(__xludf.DUMMYFUNCTION("GOOGLETRANSLATE(C43,""fr"",""en"")"),"I am very satisfied with my study; reasonable price ; speed; simple ; efficient ;
First time I am a client at home to see in the future ...")</f>
        <v>I am very satisfied with my study; reasonable price ; speed; simple ; efficient ;
First time I am a client at home to see in the future ...</v>
      </c>
    </row>
    <row r="44" ht="15.75" customHeight="1">
      <c r="A44" s="2">
        <v>1.0</v>
      </c>
      <c r="B44" s="2" t="s">
        <v>182</v>
      </c>
      <c r="C44" s="2" t="s">
        <v>183</v>
      </c>
      <c r="D44" s="2" t="s">
        <v>155</v>
      </c>
      <c r="E44" s="2" t="s">
        <v>14</v>
      </c>
      <c r="F44" s="2" t="s">
        <v>15</v>
      </c>
      <c r="G44" s="2" t="s">
        <v>184</v>
      </c>
      <c r="H44" s="2" t="s">
        <v>185</v>
      </c>
      <c r="I44" s="3" t="str">
        <f>IFERROR(__xludf.DUMMYFUNCTION("GOOGLETRANSLATE(C44,""fr"",""en"")"),"Impossible to have them on the phone I have been calling them for 2 days I remain 30 min to wait but no one just to have an information statement that I have to give an emergency to another insurance or they will terminate me. I do not recommend that all "&amp;"of you are increasing every year for a service that is increasingly reduced.")</f>
        <v>Impossible to have them on the phone I have been calling them for 2 days I remain 30 min to wait but no one just to have an information statement that I have to give an emergency to another insurance or they will terminate me. I do not recommend that all of you are increasing every year for a service that is increasingly reduced.</v>
      </c>
    </row>
    <row r="45" ht="15.75" customHeight="1">
      <c r="A45" s="2">
        <v>1.0</v>
      </c>
      <c r="B45" s="2" t="s">
        <v>186</v>
      </c>
      <c r="C45" s="2" t="s">
        <v>187</v>
      </c>
      <c r="D45" s="2" t="s">
        <v>53</v>
      </c>
      <c r="E45" s="2" t="s">
        <v>44</v>
      </c>
      <c r="F45" s="2" t="s">
        <v>15</v>
      </c>
      <c r="G45" s="2" t="s">
        <v>188</v>
      </c>
      <c r="H45" s="2" t="s">
        <v>189</v>
      </c>
      <c r="I45" s="3" t="str">
        <f>IFERROR(__xludf.DUMMYFUNCTION("GOOGLETRANSLATE(C45,""fr"",""en"")"),"Telephone canvassing, implementation of a contract never signed and the worst the levy of a contribution from your account when you have never given the authorization. Where are we going? It's hacking it's scandalous for people who have a storefront.")</f>
        <v>Telephone canvassing, implementation of a contract never signed and the worst the levy of a contribution from your account when you have never given the authorization. Where are we going? It's hacking it's scandalous for people who have a storefront.</v>
      </c>
    </row>
    <row r="46" ht="15.75" customHeight="1">
      <c r="A46" s="2">
        <v>2.0</v>
      </c>
      <c r="B46" s="2" t="s">
        <v>190</v>
      </c>
      <c r="C46" s="2" t="s">
        <v>191</v>
      </c>
      <c r="D46" s="2" t="s">
        <v>192</v>
      </c>
      <c r="E46" s="2" t="s">
        <v>127</v>
      </c>
      <c r="F46" s="2" t="s">
        <v>15</v>
      </c>
      <c r="G46" s="2" t="s">
        <v>193</v>
      </c>
      <c r="H46" s="2" t="s">
        <v>67</v>
      </c>
      <c r="I46" s="3" t="str">
        <f>IFERROR(__xludf.DUMMYFUNCTION("GOOGLETRANSLATE(C46,""fr"",""en"")"),"It is still incredible in 2021 not to be able to obtain an information statement directly on the website ... We are returned a phone number that never responds !!
For information after years of insurance I receive a request for contributions much highe"&amp;"r than the previous year and which does not correspond to the price indicated on the site ...
Take the time to look around and especially control your future deadlines ...
A good hearing ...
Mr. Ballouard 34")</f>
        <v>It is still incredible in 2021 not to be able to obtain an information statement directly on the website ... We are returned a phone number that never responds !!
For information after years of insurance I receive a request for contributions much higher than the previous year and which does not correspond to the price indicated on the site ...
Take the time to look around and especially control your future deadlines ...
A good hearing ...
Mr. Ballouard 34</v>
      </c>
    </row>
    <row r="47" ht="15.75" customHeight="1">
      <c r="A47" s="2">
        <v>1.0</v>
      </c>
      <c r="B47" s="2" t="s">
        <v>194</v>
      </c>
      <c r="C47" s="2" t="s">
        <v>195</v>
      </c>
      <c r="D47" s="2" t="s">
        <v>139</v>
      </c>
      <c r="E47" s="2" t="s">
        <v>127</v>
      </c>
      <c r="F47" s="2" t="s">
        <v>15</v>
      </c>
      <c r="G47" s="2" t="s">
        <v>196</v>
      </c>
      <c r="H47" s="2" t="s">
        <v>107</v>
      </c>
      <c r="I47" s="3" t="str">
        <f>IFERROR(__xludf.DUMMYFUNCTION("GOOGLETRANSLATE(C47,""fr"",""en"")"),"Its doing a year with them I leave them without completely rotten insurance absence of customer service impossible to join them and speak to an advisor to imagine the day when you have a disaster to flee to flee !!!")</f>
        <v>Its doing a year with them I leave them without completely rotten insurance absence of customer service impossible to join them and speak to an advisor to imagine the day when you have a disaster to flee to flee !!!</v>
      </c>
    </row>
    <row r="48" ht="15.75" customHeight="1">
      <c r="A48" s="2">
        <v>4.0</v>
      </c>
      <c r="B48" s="2" t="s">
        <v>197</v>
      </c>
      <c r="C48" s="2" t="s">
        <v>198</v>
      </c>
      <c r="D48" s="2" t="s">
        <v>135</v>
      </c>
      <c r="E48" s="2" t="s">
        <v>44</v>
      </c>
      <c r="F48" s="2" t="s">
        <v>15</v>
      </c>
      <c r="G48" s="2" t="s">
        <v>199</v>
      </c>
      <c r="H48" s="2" t="s">
        <v>200</v>
      </c>
      <c r="I48" s="3" t="str">
        <f>IFERROR(__xludf.DUMMYFUNCTION("GOOGLETRANSLATE(C48,""fr"",""en"")"),"Great and thank you for the service")</f>
        <v>Great and thank you for the service</v>
      </c>
    </row>
    <row r="49" ht="15.75" customHeight="1">
      <c r="A49" s="2">
        <v>1.0</v>
      </c>
      <c r="B49" s="2" t="s">
        <v>201</v>
      </c>
      <c r="C49" s="2" t="s">
        <v>202</v>
      </c>
      <c r="D49" s="2" t="s">
        <v>58</v>
      </c>
      <c r="E49" s="2" t="s">
        <v>44</v>
      </c>
      <c r="F49" s="2" t="s">
        <v>15</v>
      </c>
      <c r="G49" s="2" t="s">
        <v>203</v>
      </c>
      <c r="H49" s="2" t="s">
        <v>204</v>
      </c>
      <c r="I49" s="3" t="str">
        <f>IFERROR(__xludf.DUMMYFUNCTION("GOOGLETRANSLATE(C49,""fr"",""en"")"),"If I could I would put any star unpleasant service always with the problems with EU even to modify a contract. Really very very incompetent and ask me to adjust their stupidity I am really angry with them to flee unwelcome
For a contract that I signed in"&amp;" August 2019 always no situation unlock")</f>
        <v>If I could I would put any star unpleasant service always with the problems with EU even to modify a contract. Really very very incompetent and ask me to adjust their stupidity I am really angry with them to flee unwelcome
For a contract that I signed in August 2019 always no situation unlock</v>
      </c>
    </row>
    <row r="50" ht="15.75" customHeight="1">
      <c r="A50" s="2">
        <v>2.0</v>
      </c>
      <c r="B50" s="2" t="s">
        <v>205</v>
      </c>
      <c r="C50" s="2" t="s">
        <v>206</v>
      </c>
      <c r="D50" s="2" t="s">
        <v>48</v>
      </c>
      <c r="E50" s="2" t="s">
        <v>14</v>
      </c>
      <c r="F50" s="2" t="s">
        <v>15</v>
      </c>
      <c r="G50" s="2" t="s">
        <v>207</v>
      </c>
      <c r="H50" s="2" t="s">
        <v>67</v>
      </c>
      <c r="I50" s="3" t="str">
        <f>IFERROR(__xludf.DUMMYFUNCTION("GOOGLETRANSLATE(C50,""fr"",""en"")"),"I regret not being able to benefit from the AXA contract for vintage cars covering only a reduced mileage I do not do 1000 km per year therefore I decided to sell my second vehicle which comes back more dear in insurance than 'in fuel
NB kind take note t"&amp;"hat SFR no longer works")</f>
        <v>I regret not being able to benefit from the AXA contract for vintage cars covering only a reduced mileage I do not do 1000 km per year therefore I decided to sell my second vehicle which comes back more dear in insurance than 'in fuel
NB kind take note that SFR no longer works</v>
      </c>
    </row>
    <row r="51" ht="15.75" customHeight="1">
      <c r="A51" s="2">
        <v>1.0</v>
      </c>
      <c r="B51" s="2" t="s">
        <v>208</v>
      </c>
      <c r="C51" s="2" t="s">
        <v>209</v>
      </c>
      <c r="D51" s="2" t="s">
        <v>53</v>
      </c>
      <c r="E51" s="2" t="s">
        <v>44</v>
      </c>
      <c r="F51" s="2" t="s">
        <v>15</v>
      </c>
      <c r="G51" s="2" t="s">
        <v>210</v>
      </c>
      <c r="H51" s="2" t="s">
        <v>211</v>
      </c>
      <c r="I51" s="3" t="str">
        <f>IFERROR(__xludf.DUMMYFUNCTION("GOOGLETRANSLATE(C51,""fr"",""en"")"),"A star because it is impossible to put it zero.
I was seized by phone and in a particularly insistent and aggressive manner. And not having access to the net at that time. In view of the other comments here, I was well confused. In short, the person gave"&amp;" me a name (is he really his?), A real insurance address and a telephone number which if it is real never responds to the so-called working hours. The person assured me the sending of an email that I still have not received, as is the paper contract.
In "&amp;"short, an abusive canvassing that does not respect the law, sending a too late paper contract, she told me to be mandated, and that it was potential help, without ever mentioned real prices but only one Possible contribution and indefinite according to my"&amp;" case (of course without giving me the sales conditions which determine these price distinctions), except at the end of the communication where it gave me a price after the code by SMS.
I have just checked the laws, it seems to me that it comes to a mini"&amp;"mum in what is qualified as ""deceptive commercial practices"".
Article L.121-24 of the Consumer Code
So I send a LRAR tomorrow to assert my right of withdrawal. And I just did the necessary with my bank to block any induction. The code received by SMS "&amp;"that I sent was presented to me just as validation of data recording, and not as consent to the subscription of the contract (electronic signature), which was only suggested half -Mot with the price thereafter. In any case, apart from any paper signature,"&amp;" the recording of this conversation goes against the supply of the proof of my consent and excludes a legal implementation of this contract. I am still furious and well disgusted. Especially since being registered on Bloctel, I did not think that such a c"&amp;"anvassing could pass!")</f>
        <v>A star because it is impossible to put it zero.
I was seized by phone and in a particularly insistent and aggressive manner. And not having access to the net at that time. In view of the other comments here, I was well confused. In short, the person gave me a name (is he really his?), A real insurance address and a telephone number which if it is real never responds to the so-called working hours. The person assured me the sending of an email that I still have not received, as is the paper contract.
In short, an abusive canvassing that does not respect the law, sending a too late paper contract, she told me to be mandated, and that it was potential help, without ever mentioned real prices but only one Possible contribution and indefinite according to my case (of course without giving me the sales conditions which determine these price distinctions), except at the end of the communication where it gave me a price after the code by SMS.
I have just checked the laws, it seems to me that it comes to a minimum in what is qualified as "deceptive commercial practices".
Article L.121-24 of the Consumer Code
So I send a LRAR tomorrow to assert my right of withdrawal. And I just did the necessary with my bank to block any induction. The code received by SMS that I sent was presented to me just as validation of data recording, and not as consent to the subscription of the contract (electronic signature), which was only suggested half -Mot with the price thereafter. In any case, apart from any paper signature, the recording of this conversation goes against the supply of the proof of my consent and excludes a legal implementation of this contract. I am still furious and well disgusted. Especially since being registered on Bloctel, I did not think that such a canvassing could pass!</v>
      </c>
    </row>
    <row r="52" ht="15.75" customHeight="1">
      <c r="A52" s="2">
        <v>1.0</v>
      </c>
      <c r="B52" s="2" t="s">
        <v>212</v>
      </c>
      <c r="C52" s="2" t="s">
        <v>213</v>
      </c>
      <c r="D52" s="2" t="s">
        <v>214</v>
      </c>
      <c r="E52" s="2" t="s">
        <v>215</v>
      </c>
      <c r="F52" s="2" t="s">
        <v>15</v>
      </c>
      <c r="G52" s="2" t="s">
        <v>216</v>
      </c>
      <c r="H52" s="2" t="s">
        <v>99</v>
      </c>
      <c r="I52" s="3" t="str">
        <f>IFERROR(__xludf.DUMMYFUNCTION("GOOGLETRANSLATE(C52,""fr"",""en"")"),"Obliged letter 1 Star will put zero.
These are steals.
They do not offer a quote from their quotes already acceptance.
And despite an AR letter with 15 days they do not cancel registration.
In addition, they find it average so as not to reimburse the "&amp;"Petso costs I already have 3 care sheets between 280 and 400 €.
I do not consult this insurer. The salespeople are very nice and that it is singgne by internet no one responds to zu such, emails, rar letters.
RUN AWAY.
")</f>
        <v>Obliged letter 1 Star will put zero.
These are steals.
They do not offer a quote from their quotes already acceptance.
And despite an AR letter with 15 days they do not cancel registration.
In addition, they find it average so as not to reimburse the Petso costs I already have 3 care sheets between 280 and 400 €.
I do not consult this insurer. The salespeople are very nice and that it is singgne by internet no one responds to zu such, emails, rar letters.
RUN AWAY.
</v>
      </c>
    </row>
    <row r="53" ht="15.75" customHeight="1">
      <c r="A53" s="2">
        <v>1.0</v>
      </c>
      <c r="B53" s="2" t="s">
        <v>217</v>
      </c>
      <c r="C53" s="2" t="s">
        <v>218</v>
      </c>
      <c r="D53" s="2" t="s">
        <v>219</v>
      </c>
      <c r="E53" s="2" t="s">
        <v>38</v>
      </c>
      <c r="F53" s="2" t="s">
        <v>15</v>
      </c>
      <c r="G53" s="2" t="s">
        <v>24</v>
      </c>
      <c r="H53" s="2" t="s">
        <v>25</v>
      </c>
      <c r="I53" s="3" t="str">
        <f>IFERROR(__xludf.DUMMYFUNCTION("GOOGLETRANSLATE(C53,""fr"",""en"")"),"Each situation is different, but the contract clauses are the same for everyone! This insurance is anything but human ... The COVVI-19 ... AAAAAAH fortunately for them that this pandemic is there, because before that was not the top! But here we touch the"&amp;" bottom !!!! More contact neither by email nor by phone ... They are incompetent on everything, they had to hire temporary workers because the answers are ""I transfer your request we will remind you ..."" For my part, I send them to court because There a"&amp;"t least they will take the time to answer the judge ... insurance to flee ... good luck for others!")</f>
        <v>Each situation is different, but the contract clauses are the same for everyone! This insurance is anything but human ... The COVVI-19 ... AAAAAAH fortunately for them that this pandemic is there, because before that was not the top! But here we touch the bottom !!!! More contact neither by email nor by phone ... They are incompetent on everything, they had to hire temporary workers because the answers are "I transfer your request we will remind you ..." For my part, I send them to court because There at least they will take the time to answer the judge ... insurance to flee ... good luck for others!</v>
      </c>
    </row>
    <row r="54" ht="15.75" customHeight="1">
      <c r="A54" s="2">
        <v>4.0</v>
      </c>
      <c r="B54" s="2" t="s">
        <v>220</v>
      </c>
      <c r="C54" s="2" t="s">
        <v>221</v>
      </c>
      <c r="D54" s="2" t="s">
        <v>48</v>
      </c>
      <c r="E54" s="2" t="s">
        <v>14</v>
      </c>
      <c r="F54" s="2" t="s">
        <v>15</v>
      </c>
      <c r="G54" s="2" t="s">
        <v>222</v>
      </c>
      <c r="H54" s="2" t="s">
        <v>25</v>
      </c>
      <c r="I54" s="3" t="str">
        <f>IFERROR(__xludf.DUMMYFUNCTION("GOOGLETRANSLATE(C54,""fr"",""en"")"),"I have sent you my driving license several times, but you seem to be able to read it when it is very readable. It's annoying :-(")</f>
        <v>I have sent you my driving license several times, but you seem to be able to read it when it is very readable. It's annoying :-(</v>
      </c>
    </row>
    <row r="55" ht="15.75" customHeight="1">
      <c r="A55" s="2">
        <v>4.0</v>
      </c>
      <c r="B55" s="2" t="s">
        <v>223</v>
      </c>
      <c r="C55" s="2" t="s">
        <v>224</v>
      </c>
      <c r="D55" s="2" t="s">
        <v>48</v>
      </c>
      <c r="E55" s="2" t="s">
        <v>14</v>
      </c>
      <c r="F55" s="2" t="s">
        <v>15</v>
      </c>
      <c r="G55" s="2" t="s">
        <v>225</v>
      </c>
      <c r="H55" s="2" t="s">
        <v>29</v>
      </c>
      <c r="I55" s="3" t="str">
        <f>IFERROR(__xludf.DUMMYFUNCTION("GOOGLETRANSLATE(C55,""fr"",""en"")"),"I am satisfied is fast, now leave me alone with your opinion, I am not just to do and I have more battery, thank you")</f>
        <v>I am satisfied is fast, now leave me alone with your opinion, I am not just to do and I have more battery, thank you</v>
      </c>
    </row>
    <row r="56" ht="15.75" customHeight="1">
      <c r="A56" s="2">
        <v>1.0</v>
      </c>
      <c r="B56" s="2" t="s">
        <v>226</v>
      </c>
      <c r="C56" s="2" t="s">
        <v>227</v>
      </c>
      <c r="D56" s="2" t="s">
        <v>228</v>
      </c>
      <c r="E56" s="2" t="s">
        <v>229</v>
      </c>
      <c r="F56" s="2" t="s">
        <v>15</v>
      </c>
      <c r="G56" s="2" t="s">
        <v>230</v>
      </c>
      <c r="H56" s="2" t="s">
        <v>231</v>
      </c>
      <c r="I56" s="3" t="str">
        <f>IFERROR(__xludf.DUMMYFUNCTION("GOOGLETRANSLATE(C56,""fr"",""en"")"),"Professional multi-risk- I will not recommend any Axa Insurance because it is very easily done to contract insurance with them, on the other hand when it comes to termination it is a galley not possible, no response to the phone and procedures Very compli"&amp;"cated. I sent the termination of the lease of my cabinet carried out in September 2019 (which was provided by them), I ask them to send me the information to pay the pro rata (4 months) or the year (with reimbursement of months not Used), never response o"&amp;"r information as to payment, so I receive several months after a letter from a bailiff where they require me to pay the full annual subscription and where they will keep as ""compensation"" The rest of the annual amount of a firm that I did not use during"&amp;" these 8 months, for me what they do is an offense. I do not advise anyone this insurance company and I will not take any types of insurance again with them.")</f>
        <v>Professional multi-risk- I will not recommend any Axa Insurance because it is very easily done to contract insurance with them, on the other hand when it comes to termination it is a galley not possible, no response to the phone and procedures Very complicated. I sent the termination of the lease of my cabinet carried out in September 2019 (which was provided by them), I ask them to send me the information to pay the pro rata (4 months) or the year (with reimbursement of months not Used), never response or information as to payment, so I receive several months after a letter from a bailiff where they require me to pay the full annual subscription and where they will keep as "compensation" The rest of the annual amount of a firm that I did not use during these 8 months, for me what they do is an offense. I do not advise anyone this insurance company and I will not take any types of insurance again with them.</v>
      </c>
    </row>
    <row r="57" ht="15.75" customHeight="1">
      <c r="A57" s="2">
        <v>2.0</v>
      </c>
      <c r="B57" s="2" t="s">
        <v>232</v>
      </c>
      <c r="C57" s="2" t="s">
        <v>233</v>
      </c>
      <c r="D57" s="2" t="s">
        <v>48</v>
      </c>
      <c r="E57" s="2" t="s">
        <v>14</v>
      </c>
      <c r="F57" s="2" t="s">
        <v>15</v>
      </c>
      <c r="G57" s="2" t="s">
        <v>234</v>
      </c>
      <c r="H57" s="2" t="s">
        <v>60</v>
      </c>
      <c r="I57" s="3" t="str">
        <f>IFERROR(__xludf.DUMMYFUNCTION("GOOGLETRANSLATE(C57,""fr"",""en"")"),"Be careful flee! Advisers who contradict each other and who lie by omission on the terms of the contract to oblige you to subscribe. I have to stay with them for 1 year with the Hamon law but from the end of the deadline I will leave and will never come b"&amp;"ack! You have lost a client and I will not be the last!")</f>
        <v>Be careful flee! Advisers who contradict each other and who lie by omission on the terms of the contract to oblige you to subscribe. I have to stay with them for 1 year with the Hamon law but from the end of the deadline I will leave and will never come back! You have lost a client and I will not be the last!</v>
      </c>
    </row>
    <row r="58" ht="15.75" customHeight="1">
      <c r="A58" s="2">
        <v>1.0</v>
      </c>
      <c r="B58" s="2" t="s">
        <v>235</v>
      </c>
      <c r="C58" s="2" t="s">
        <v>236</v>
      </c>
      <c r="D58" s="2" t="s">
        <v>13</v>
      </c>
      <c r="E58" s="2" t="s">
        <v>14</v>
      </c>
      <c r="F58" s="2" t="s">
        <v>15</v>
      </c>
      <c r="G58" s="2" t="s">
        <v>237</v>
      </c>
      <c r="H58" s="2" t="s">
        <v>238</v>
      </c>
      <c r="I58" s="3" t="str">
        <f>IFERROR(__xludf.DUMMYFUNCTION("GOOGLETRANSLATE(C58,""fr"",""en"")"),"After an accident I had to wait 4 months to be reimbursed for no dedication
I did the work of the expert insurer of the expert
 He drives me and then I have to pay fees
I call them they tell me that it is me who asked for resialization when it is the"&amp;"m without asking me my opinion
 During the house they tell me that it is more expensive when all the insurance people tell me that it is cheaper
My penalty is increasing when it had to decrease
They think that making money on the back of customers")</f>
        <v>After an accident I had to wait 4 months to be reimbursed for no dedication
I did the work of the expert insurer of the expert
 He drives me and then I have to pay fees
I call them they tell me that it is me who asked for resialization when it is them without asking me my opinion
 During the house they tell me that it is more expensive when all the insurance people tell me that it is cheaper
My penalty is increasing when it had to decrease
They think that making money on the back of customers</v>
      </c>
    </row>
    <row r="59" ht="15.75" customHeight="1">
      <c r="A59" s="2">
        <v>5.0</v>
      </c>
      <c r="B59" s="2" t="s">
        <v>239</v>
      </c>
      <c r="C59" s="2" t="s">
        <v>240</v>
      </c>
      <c r="D59" s="2" t="s">
        <v>241</v>
      </c>
      <c r="E59" s="2" t="s">
        <v>242</v>
      </c>
      <c r="F59" s="2" t="s">
        <v>15</v>
      </c>
      <c r="G59" s="2" t="s">
        <v>243</v>
      </c>
      <c r="H59" s="2" t="s">
        <v>25</v>
      </c>
      <c r="I59" s="3" t="str">
        <f>IFERROR(__xludf.DUMMYFUNCTION("GOOGLETRANSLATE(C59,""fr"",""en"")"),"Fast, simple, clear and efficient. Very good support, polite and friendly.
To advise all those looking for an insurance for their mortgage loan")</f>
        <v>Fast, simple, clear and efficient. Very good support, polite and friendly.
To advise all those looking for an insurance for their mortgage loan</v>
      </c>
    </row>
    <row r="60" ht="15.75" customHeight="1">
      <c r="A60" s="2">
        <v>1.0</v>
      </c>
      <c r="B60" s="2" t="s">
        <v>244</v>
      </c>
      <c r="C60" s="2" t="s">
        <v>245</v>
      </c>
      <c r="D60" s="2" t="s">
        <v>43</v>
      </c>
      <c r="E60" s="2" t="s">
        <v>44</v>
      </c>
      <c r="F60" s="2" t="s">
        <v>15</v>
      </c>
      <c r="G60" s="2" t="s">
        <v>246</v>
      </c>
      <c r="H60" s="2" t="s">
        <v>247</v>
      </c>
      <c r="I60" s="3" t="str">
        <f>IFERROR(__xludf.DUMMYFUNCTION("GOOGLETRANSLATE(C60,""fr"",""en"")"),"Shameful service.
Impossible to reach by phone. From the 1st reimbursement requested, a gross error is committed informing me that in fact, I have nothing to do so when in fact, yes.
All that made me lose 2 hours of my life and around twenty hair.
I ab"&amp;"solutely do not recommend.
To flee.")</f>
        <v>Shameful service.
Impossible to reach by phone. From the 1st reimbursement requested, a gross error is committed informing me that in fact, I have nothing to do so when in fact, yes.
All that made me lose 2 hours of my life and around twenty hair.
I absolutely do not recommend.
To flee.</v>
      </c>
    </row>
    <row r="61" ht="15.75" customHeight="1">
      <c r="A61" s="2">
        <v>4.0</v>
      </c>
      <c r="B61" s="2" t="s">
        <v>248</v>
      </c>
      <c r="C61" s="2" t="s">
        <v>249</v>
      </c>
      <c r="D61" s="2" t="s">
        <v>48</v>
      </c>
      <c r="E61" s="2" t="s">
        <v>14</v>
      </c>
      <c r="F61" s="2" t="s">
        <v>15</v>
      </c>
      <c r="G61" s="2" t="s">
        <v>250</v>
      </c>
      <c r="H61" s="2" t="s">
        <v>50</v>
      </c>
      <c r="I61" s="3" t="str">
        <f>IFERROR(__xludf.DUMMYFUNCTION("GOOGLETRANSLATE(C61,""fr"",""en"")"),"The price is suitable, after that is to be seen in the long term, as a young driver, I hope that this insurance will be able to suit my needs")</f>
        <v>The price is suitable, after that is to be seen in the long term, as a young driver, I hope that this insurance will be able to suit my needs</v>
      </c>
    </row>
    <row r="62" ht="15.75" customHeight="1">
      <c r="A62" s="2">
        <v>5.0</v>
      </c>
      <c r="B62" s="2" t="s">
        <v>251</v>
      </c>
      <c r="C62" s="2" t="s">
        <v>252</v>
      </c>
      <c r="D62" s="2" t="s">
        <v>53</v>
      </c>
      <c r="E62" s="2" t="s">
        <v>44</v>
      </c>
      <c r="F62" s="2" t="s">
        <v>15</v>
      </c>
      <c r="G62" s="2" t="s">
        <v>253</v>
      </c>
      <c r="H62" s="2" t="s">
        <v>254</v>
      </c>
      <c r="I62" s="3" t="str">
        <f>IFERROR(__xludf.DUMMYFUNCTION("GOOGLETRANSLATE(C62,""fr"",""en"")"),"former very satisfied Neolianne client contacted for updated my file
")</f>
        <v>former very satisfied Neolianne client contacted for updated my file
</v>
      </c>
    </row>
    <row r="63" ht="15.75" customHeight="1">
      <c r="A63" s="2">
        <v>3.0</v>
      </c>
      <c r="B63" s="2" t="s">
        <v>255</v>
      </c>
      <c r="C63" s="2" t="s">
        <v>256</v>
      </c>
      <c r="D63" s="2" t="s">
        <v>28</v>
      </c>
      <c r="E63" s="2" t="s">
        <v>14</v>
      </c>
      <c r="F63" s="2" t="s">
        <v>15</v>
      </c>
      <c r="G63" s="2" t="s">
        <v>257</v>
      </c>
      <c r="H63" s="2" t="s">
        <v>99</v>
      </c>
      <c r="I63" s="3" t="str">
        <f>IFERROR(__xludf.DUMMYFUNCTION("GOOGLETRANSLATE(C63,""fr"",""en"")"),"I have been satisfied with this insurance for a few years but alas I am also with other colleagues to ensure my two -wheeled vehicles and four wheels")</f>
        <v>I have been satisfied with this insurance for a few years but alas I am also with other colleagues to ensure my two -wheeled vehicles and four wheels</v>
      </c>
    </row>
    <row r="64" ht="15.75" customHeight="1">
      <c r="A64" s="2">
        <v>1.0</v>
      </c>
      <c r="B64" s="2" t="s">
        <v>258</v>
      </c>
      <c r="C64" s="2" t="s">
        <v>259</v>
      </c>
      <c r="D64" s="2" t="s">
        <v>228</v>
      </c>
      <c r="E64" s="2" t="s">
        <v>14</v>
      </c>
      <c r="F64" s="2" t="s">
        <v>15</v>
      </c>
      <c r="G64" s="2" t="s">
        <v>260</v>
      </c>
      <c r="H64" s="2" t="s">
        <v>261</v>
      </c>
      <c r="I64" s="3" t="str">
        <f>IFERROR(__xludf.DUMMYFUNCTION("GOOGLETRANSLATE(C64,""fr"",""en"")"),"Following the flight of my car, I called on AXA assistance: result I had to get a car myself. 15 days of emails, telephone calls. Employees are incompetent. Flee this insurance")</f>
        <v>Following the flight of my car, I called on AXA assistance: result I had to get a car myself. 15 days of emails, telephone calls. Employees are incompetent. Flee this insurance</v>
      </c>
    </row>
    <row r="65" ht="15.75" customHeight="1">
      <c r="A65" s="2">
        <v>2.0</v>
      </c>
      <c r="B65" s="2" t="s">
        <v>262</v>
      </c>
      <c r="C65" s="2" t="s">
        <v>263</v>
      </c>
      <c r="D65" s="2" t="s">
        <v>228</v>
      </c>
      <c r="E65" s="2" t="s">
        <v>14</v>
      </c>
      <c r="F65" s="2" t="s">
        <v>15</v>
      </c>
      <c r="G65" s="2" t="s">
        <v>264</v>
      </c>
      <c r="H65" s="2" t="s">
        <v>200</v>
      </c>
      <c r="I65" s="3" t="str">
        <f>IFERROR(__xludf.DUMMYFUNCTION("GOOGLETRANSLATE(C65,""fr"",""en"")"),"We have been customers at Axa for years without having had a single glitch ... We have all our insurance at home and the day we have a breakdown in the heart of Paris is a problem to repatriate us to our home that is 500 km from Paris ... We pay insurance"&amp;" every month and in the end we have no solution when there is a problem ... We pay why then ??? Tomorrow we change insurance and I will make sure that you have fewer customers ....")</f>
        <v>We have been customers at Axa for years without having had a single glitch ... We have all our insurance at home and the day we have a breakdown in the heart of Paris is a problem to repatriate us to our home that is 500 km from Paris ... We pay insurance every month and in the end we have no solution when there is a problem ... We pay why then ??? Tomorrow we change insurance and I will make sure that you have fewer customers ....</v>
      </c>
    </row>
    <row r="66" ht="15.75" customHeight="1">
      <c r="A66" s="2">
        <v>5.0</v>
      </c>
      <c r="B66" s="2" t="s">
        <v>265</v>
      </c>
      <c r="C66" s="2" t="s">
        <v>266</v>
      </c>
      <c r="D66" s="2" t="s">
        <v>48</v>
      </c>
      <c r="E66" s="2" t="s">
        <v>14</v>
      </c>
      <c r="F66" s="2" t="s">
        <v>15</v>
      </c>
      <c r="G66" s="2" t="s">
        <v>243</v>
      </c>
      <c r="H66" s="2" t="s">
        <v>25</v>
      </c>
      <c r="I66" s="3" t="str">
        <f>IFERROR(__xludf.DUMMYFUNCTION("GOOGLETRANSLATE(C66,""fr"",""en"")"),"I am very satisfied with the service, no better elsewhere. Quality services, remarkable responsiveness, easy contact, 7 star service I will frankly say very happy")</f>
        <v>I am very satisfied with the service, no better elsewhere. Quality services, remarkable responsiveness, easy contact, 7 star service I will frankly say very happy</v>
      </c>
    </row>
    <row r="67" ht="15.75" customHeight="1">
      <c r="A67" s="2">
        <v>1.0</v>
      </c>
      <c r="B67" s="2" t="s">
        <v>267</v>
      </c>
      <c r="C67" s="2" t="s">
        <v>268</v>
      </c>
      <c r="D67" s="2" t="s">
        <v>13</v>
      </c>
      <c r="E67" s="2" t="s">
        <v>14</v>
      </c>
      <c r="F67" s="2" t="s">
        <v>15</v>
      </c>
      <c r="G67" s="2" t="s">
        <v>269</v>
      </c>
      <c r="H67" s="2" t="s">
        <v>25</v>
      </c>
      <c r="I67" s="3" t="str">
        <f>IFERROR(__xludf.DUMMYFUNCTION("GOOGLETRANSLATE(C67,""fr"",""en"")"),"So this is the worst insurance. No help or advice during my disaster knowing that I called them before filling out the amicable observation !!!! Really disappointed")</f>
        <v>So this is the worst insurance. No help or advice during my disaster knowing that I called them before filling out the amicable observation !!!! Really disappointed</v>
      </c>
    </row>
    <row r="68" ht="15.75" customHeight="1">
      <c r="A68" s="2">
        <v>4.0</v>
      </c>
      <c r="B68" s="2" t="s">
        <v>270</v>
      </c>
      <c r="C68" s="2" t="s">
        <v>271</v>
      </c>
      <c r="D68" s="2" t="s">
        <v>126</v>
      </c>
      <c r="E68" s="2" t="s">
        <v>127</v>
      </c>
      <c r="F68" s="2" t="s">
        <v>15</v>
      </c>
      <c r="G68" s="2" t="s">
        <v>272</v>
      </c>
      <c r="H68" s="2" t="s">
        <v>21</v>
      </c>
      <c r="I68" s="3" t="str">
        <f>IFERROR(__xludf.DUMMYFUNCTION("GOOGLETRANSLATE(C68,""fr"",""en"")"),"I am satisfied. Known thanks to the comparator, the prices are attractive and above all customizable, which is interesting when you do not all want to subscribe")</f>
        <v>I am satisfied. Known thanks to the comparator, the prices are attractive and above all customizable, which is interesting when you do not all want to subscribe</v>
      </c>
    </row>
    <row r="69" ht="15.75" customHeight="1">
      <c r="A69" s="2">
        <v>5.0</v>
      </c>
      <c r="B69" s="2" t="s">
        <v>273</v>
      </c>
      <c r="C69" s="2" t="s">
        <v>274</v>
      </c>
      <c r="D69" s="2" t="s">
        <v>48</v>
      </c>
      <c r="E69" s="2" t="s">
        <v>14</v>
      </c>
      <c r="F69" s="2" t="s">
        <v>15</v>
      </c>
      <c r="G69" s="2" t="s">
        <v>275</v>
      </c>
      <c r="H69" s="2" t="s">
        <v>67</v>
      </c>
      <c r="I69" s="3" t="str">
        <f>IFERROR(__xludf.DUMMYFUNCTION("GOOGLETRANSLATE(C69,""fr"",""en"")"),"I am satisfied with the price and the services provided and to have been able to take out the online subscription in only minutes. For my new apartment
")</f>
        <v>I am satisfied with the price and the services provided and to have been able to take out the online subscription in only minutes. For my new apartment
</v>
      </c>
    </row>
    <row r="70" ht="15.75" customHeight="1">
      <c r="A70" s="2">
        <v>4.0</v>
      </c>
      <c r="B70" s="2" t="s">
        <v>276</v>
      </c>
      <c r="C70" s="2" t="s">
        <v>277</v>
      </c>
      <c r="D70" s="2" t="s">
        <v>48</v>
      </c>
      <c r="E70" s="2" t="s">
        <v>14</v>
      </c>
      <c r="F70" s="2" t="s">
        <v>15</v>
      </c>
      <c r="G70" s="2" t="s">
        <v>278</v>
      </c>
      <c r="H70" s="2" t="s">
        <v>25</v>
      </c>
      <c r="I70" s="3" t="str">
        <f>IFERROR(__xludf.DUMMYFUNCTION("GOOGLETRANSLATE(C70,""fr"",""en"")"),"Simple practical and fast. I am satisfied with the online service. Very interactive and the summary is clear. The answer system is very practical to facilitate registration.")</f>
        <v>Simple practical and fast. I am satisfied with the online service. Very interactive and the summary is clear. The answer system is very practical to facilitate registration.</v>
      </c>
    </row>
    <row r="71" ht="15.75" customHeight="1">
      <c r="A71" s="2">
        <v>2.0</v>
      </c>
      <c r="B71" s="2" t="s">
        <v>279</v>
      </c>
      <c r="C71" s="2" t="s">
        <v>280</v>
      </c>
      <c r="D71" s="2" t="s">
        <v>48</v>
      </c>
      <c r="E71" s="2" t="s">
        <v>14</v>
      </c>
      <c r="F71" s="2" t="s">
        <v>15</v>
      </c>
      <c r="G71" s="2" t="s">
        <v>281</v>
      </c>
      <c r="H71" s="2" t="s">
        <v>67</v>
      </c>
      <c r="I71" s="3" t="str">
        <f>IFERROR(__xludf.DUMMYFUNCTION("GOOGLETRANSLATE(C71,""fr"",""en"")"),"I am not satisfied with your services, we try to reach you on the phone it's great ... by messaging via the website No advisor available for more than 15 min. I called 3 weeks ago for my green housing not received you sent me by email, but I still haven't"&amp;" received the moose by mail.")</f>
        <v>I am not satisfied with your services, we try to reach you on the phone it's great ... by messaging via the website No advisor available for more than 15 min. I called 3 weeks ago for my green housing not received you sent me by email, but I still haven't received the moose by mail.</v>
      </c>
    </row>
    <row r="72" ht="15.75" customHeight="1">
      <c r="A72" s="2">
        <v>2.0</v>
      </c>
      <c r="B72" s="2" t="s">
        <v>282</v>
      </c>
      <c r="C72" s="2" t="s">
        <v>283</v>
      </c>
      <c r="D72" s="2" t="s">
        <v>284</v>
      </c>
      <c r="E72" s="2" t="s">
        <v>285</v>
      </c>
      <c r="F72" s="2" t="s">
        <v>15</v>
      </c>
      <c r="G72" s="2" t="s">
        <v>286</v>
      </c>
      <c r="H72" s="2" t="s">
        <v>287</v>
      </c>
      <c r="I72" s="3" t="str">
        <f>IFERROR(__xludf.DUMMYFUNCTION("GOOGLETRANSLATE(C72,""fr"",""en"")"),"Sogessur calls on Saretec, who takes more than his time to effectively respond to the processing of our file. No possible appeal, no compensation for the extremely long treatment deadlines for our file .... Water damage declared at the end of November and"&amp;" to date our file still pending because between the subsidiary and SOGESSUR The transmission of information is very slow. ... in short lamentable. We have been paying our insurance for years and that we no longer need anyone to process our request in effi"&amp;"ciency.")</f>
        <v>Sogessur calls on Saretec, who takes more than his time to effectively respond to the processing of our file. No possible appeal, no compensation for the extremely long treatment deadlines for our file .... Water damage declared at the end of November and to date our file still pending because between the subsidiary and SOGESSUR The transmission of information is very slow. ... in short lamentable. We have been paying our insurance for years and that we no longer need anyone to process our request in efficiency.</v>
      </c>
    </row>
    <row r="73" ht="15.75" customHeight="1">
      <c r="A73" s="2">
        <v>1.0</v>
      </c>
      <c r="B73" s="2" t="s">
        <v>288</v>
      </c>
      <c r="C73" s="2" t="s">
        <v>289</v>
      </c>
      <c r="D73" s="2" t="s">
        <v>92</v>
      </c>
      <c r="E73" s="2" t="s">
        <v>44</v>
      </c>
      <c r="F73" s="2" t="s">
        <v>15</v>
      </c>
      <c r="G73" s="2" t="s">
        <v>290</v>
      </c>
      <c r="H73" s="2" t="s">
        <v>55</v>
      </c>
      <c r="I73" s="3" t="str">
        <f>IFERROR(__xludf.DUMMYFUNCTION("GOOGLETRANSLATE(C73,""fr"",""en"")"),"During this quarantine period, the MGEN only allows its Parisian employees to do telework, the others have the luxury of taking risks of being contaminated by going all to end up in the premises.")</f>
        <v>During this quarantine period, the MGEN only allows its Parisian employees to do telework, the others have the luxury of taking risks of being contaminated by going all to end up in the premises.</v>
      </c>
    </row>
    <row r="74" ht="15.75" customHeight="1">
      <c r="A74" s="2">
        <v>4.0</v>
      </c>
      <c r="B74" s="2" t="s">
        <v>291</v>
      </c>
      <c r="C74" s="2" t="s">
        <v>292</v>
      </c>
      <c r="D74" s="2" t="s">
        <v>48</v>
      </c>
      <c r="E74" s="2" t="s">
        <v>14</v>
      </c>
      <c r="F74" s="2" t="s">
        <v>15</v>
      </c>
      <c r="G74" s="2" t="s">
        <v>293</v>
      </c>
      <c r="H74" s="2" t="s">
        <v>99</v>
      </c>
      <c r="I74" s="3" t="str">
        <f>IFERROR(__xludf.DUMMYFUNCTION("GOOGLETRANSLATE(C74,""fr"",""en"")"),"Very satisfied with the service.
Good value for money and service.
Easy to contact and with quick and clear solution.
I recommend it for everyone")</f>
        <v>Very satisfied with the service.
Good value for money and service.
Easy to contact and with quick and clear solution.
I recommend it for everyone</v>
      </c>
    </row>
    <row r="75" ht="15.75" customHeight="1">
      <c r="A75" s="2">
        <v>2.0</v>
      </c>
      <c r="B75" s="2" t="s">
        <v>294</v>
      </c>
      <c r="C75" s="2" t="s">
        <v>295</v>
      </c>
      <c r="D75" s="2" t="s">
        <v>296</v>
      </c>
      <c r="E75" s="2" t="s">
        <v>14</v>
      </c>
      <c r="F75" s="2" t="s">
        <v>15</v>
      </c>
      <c r="G75" s="2" t="s">
        <v>297</v>
      </c>
      <c r="H75" s="2" t="s">
        <v>298</v>
      </c>
      <c r="I75" s="3" t="str">
        <f>IFERROR(__xludf.DUMMYFUNCTION("GOOGLETRANSLATE(C75,""fr"",""en"")"),"Everything is fine when there are no problems. In the event of an accident, it quickly becomes complicated to be reimbursed.")</f>
        <v>Everything is fine when there are no problems. In the event of an accident, it quickly becomes complicated to be reimbursed.</v>
      </c>
    </row>
    <row r="76" ht="15.75" customHeight="1">
      <c r="A76" s="2">
        <v>4.0</v>
      </c>
      <c r="B76" s="2" t="s">
        <v>299</v>
      </c>
      <c r="C76" s="2" t="s">
        <v>300</v>
      </c>
      <c r="D76" s="2" t="s">
        <v>241</v>
      </c>
      <c r="E76" s="2" t="s">
        <v>242</v>
      </c>
      <c r="F76" s="2" t="s">
        <v>15</v>
      </c>
      <c r="G76" s="2" t="s">
        <v>301</v>
      </c>
      <c r="H76" s="2" t="s">
        <v>164</v>
      </c>
      <c r="I76" s="3" t="str">
        <f>IFERROR(__xludf.DUMMYFUNCTION("GOOGLETRANSLATE(C76,""fr"",""en"")"),"The welcome is very good and listening
Benjamin was very reactive and available to set up our simulation and quote. Precise, very interesting price.")</f>
        <v>The welcome is very good and listening
Benjamin was very reactive and available to set up our simulation and quote. Precise, very interesting price.</v>
      </c>
    </row>
    <row r="77" ht="15.75" customHeight="1">
      <c r="A77" s="2">
        <v>1.0</v>
      </c>
      <c r="B77" s="2" t="s">
        <v>302</v>
      </c>
      <c r="C77" s="2" t="s">
        <v>303</v>
      </c>
      <c r="D77" s="2" t="s">
        <v>13</v>
      </c>
      <c r="E77" s="2" t="s">
        <v>14</v>
      </c>
      <c r="F77" s="2" t="s">
        <v>15</v>
      </c>
      <c r="G77" s="2" t="s">
        <v>304</v>
      </c>
      <c r="H77" s="2" t="s">
        <v>305</v>
      </c>
      <c r="I77" s="3" t="str">
        <f>IFERROR(__xludf.DUMMYFUNCTION("GOOGLETRANSLATE(C77,""fr"",""en"")"),"The waiting time for customer service is not respected more than 10 minutes of waiting while 3 minutes are announced, increase in the schedule of more than € 300 compared to the quote carried out but contract signed therefore no rear march , the response "&amp;"time by email is abnormally long (count 10 days),")</f>
        <v>The waiting time for customer service is not respected more than 10 minutes of waiting while 3 minutes are announced, increase in the schedule of more than € 300 compared to the quote carried out but contract signed therefore no rear march , the response time by email is abnormally long (count 10 days),</v>
      </c>
    </row>
    <row r="78" ht="15.75" customHeight="1">
      <c r="A78" s="2">
        <v>2.0</v>
      </c>
      <c r="B78" s="2" t="s">
        <v>306</v>
      </c>
      <c r="C78" s="2" t="s">
        <v>307</v>
      </c>
      <c r="D78" s="2" t="s">
        <v>48</v>
      </c>
      <c r="E78" s="2" t="s">
        <v>14</v>
      </c>
      <c r="F78" s="2" t="s">
        <v>15</v>
      </c>
      <c r="G78" s="2" t="s">
        <v>308</v>
      </c>
      <c r="H78" s="2" t="s">
        <v>89</v>
      </c>
      <c r="I78" s="3" t="str">
        <f>IFERROR(__xludf.DUMMYFUNCTION("GOOGLETRANSLATE(C78,""fr"",""en"")"),"I am not satisfied at the price level I did not declare a claim, my aged vehicle, insurance increases? I would like to have another proposal, thank you")</f>
        <v>I am not satisfied at the price level I did not declare a claim, my aged vehicle, insurance increases? I would like to have another proposal, thank you</v>
      </c>
    </row>
    <row r="79" ht="15.75" customHeight="1">
      <c r="A79" s="2">
        <v>2.0</v>
      </c>
      <c r="B79" s="2" t="s">
        <v>309</v>
      </c>
      <c r="C79" s="2" t="s">
        <v>310</v>
      </c>
      <c r="D79" s="2" t="s">
        <v>192</v>
      </c>
      <c r="E79" s="2" t="s">
        <v>127</v>
      </c>
      <c r="F79" s="2" t="s">
        <v>15</v>
      </c>
      <c r="G79" s="2" t="s">
        <v>21</v>
      </c>
      <c r="H79" s="2" t="s">
        <v>21</v>
      </c>
      <c r="I79" s="3" t="str">
        <f>IFERROR(__xludf.DUMMYFUNCTION("GOOGLETRANSLATE(C79,""fr"",""en"")"),"Degradation of the relationship with the insured because of the IT, exaggerated by the health crisis. I express my dissatisfaction not to join the advisor, always in communication. I then receive a letter informing me that my account is suspended and that"&amp;" my file is classified without follow -up! To the goodwill of the prince! You are silent where we turn you!
I emphasize that I have been a member since creation, 1978!
But the world changes and the financiers took power!
Angry bikers, wake up!")</f>
        <v>Degradation of the relationship with the insured because of the IT, exaggerated by the health crisis. I express my dissatisfaction not to join the advisor, always in communication. I then receive a letter informing me that my account is suspended and that my file is classified without follow -up! To the goodwill of the prince! You are silent where we turn you!
I emphasize that I have been a member since creation, 1978!
But the world changes and the financiers took power!
Angry bikers, wake up!</v>
      </c>
    </row>
    <row r="80" ht="15.75" customHeight="1">
      <c r="A80" s="2">
        <v>4.0</v>
      </c>
      <c r="B80" s="2" t="s">
        <v>311</v>
      </c>
      <c r="C80" s="2" t="s">
        <v>312</v>
      </c>
      <c r="D80" s="2" t="s">
        <v>48</v>
      </c>
      <c r="E80" s="2" t="s">
        <v>14</v>
      </c>
      <c r="F80" s="2" t="s">
        <v>15</v>
      </c>
      <c r="G80" s="2" t="s">
        <v>313</v>
      </c>
      <c r="H80" s="2" t="s">
        <v>99</v>
      </c>
      <c r="I80" s="3" t="str">
        <f>IFERROR(__xludf.DUMMYFUNCTION("GOOGLETRANSLATE(C80,""fr"",""en"")"),"The very polite and responsive customer advisor. He showed patience and kindness and well explained my guarantees. Thank you well for this welcome.")</f>
        <v>The very polite and responsive customer advisor. He showed patience and kindness and well explained my guarantees. Thank you well for this welcome.</v>
      </c>
    </row>
    <row r="81" ht="15.75" customHeight="1">
      <c r="A81" s="2">
        <v>4.0</v>
      </c>
      <c r="B81" s="2" t="s">
        <v>314</v>
      </c>
      <c r="C81" s="2" t="s">
        <v>315</v>
      </c>
      <c r="D81" s="2" t="s">
        <v>48</v>
      </c>
      <c r="E81" s="2" t="s">
        <v>14</v>
      </c>
      <c r="F81" s="2" t="s">
        <v>15</v>
      </c>
      <c r="G81" s="2" t="s">
        <v>316</v>
      </c>
      <c r="H81" s="2" t="s">
        <v>29</v>
      </c>
      <c r="I81" s="3" t="str">
        <f>IFERROR(__xludf.DUMMYFUNCTION("GOOGLETRANSLATE(C81,""fr"",""en"")"),"I am satisfied with the insurance contract for whatever I have just subscribed. Thank you for your understanding. I wish you a good and excellent day")</f>
        <v>I am satisfied with the insurance contract for whatever I have just subscribed. Thank you for your understanding. I wish you a good and excellent day</v>
      </c>
    </row>
    <row r="82" ht="15.75" customHeight="1">
      <c r="A82" s="2">
        <v>2.0</v>
      </c>
      <c r="B82" s="2" t="s">
        <v>317</v>
      </c>
      <c r="C82" s="2" t="s">
        <v>318</v>
      </c>
      <c r="D82" s="2" t="s">
        <v>319</v>
      </c>
      <c r="E82" s="2" t="s">
        <v>285</v>
      </c>
      <c r="F82" s="2" t="s">
        <v>15</v>
      </c>
      <c r="G82" s="2" t="s">
        <v>320</v>
      </c>
      <c r="H82" s="2" t="s">
        <v>204</v>
      </c>
      <c r="I82" s="3" t="str">
        <f>IFERROR(__xludf.DUMMYFUNCTION("GOOGLETRANSLATE(C82,""fr"",""en"")"),"3 months that I am strolled between obteller and Dynarem! Sinister water damage declared on November 9, 2019. REPARATION OF LIGHTS carried out, remained to repair the walls (open to make the repair) always balladed whether by phone (interminable expectati"&amp;"on) or by email, responses only achieving ( We will contact you but without follow -up) I am fed up and I think I change insurance because it is intolerable, there is something to lose confidence in all their products!")</f>
        <v>3 months that I am strolled between obteller and Dynarem! Sinister water damage declared on November 9, 2019. REPARATION OF LIGHTS carried out, remained to repair the walls (open to make the repair) always balladed whether by phone (interminable expectation) or by email, responses only achieving ( We will contact you but without follow -up) I am fed up and I think I change insurance because it is intolerable, there is something to lose confidence in all their products!</v>
      </c>
    </row>
    <row r="83" ht="15.75" customHeight="1">
      <c r="A83" s="2">
        <v>1.0</v>
      </c>
      <c r="B83" s="2" t="s">
        <v>321</v>
      </c>
      <c r="C83" s="2" t="s">
        <v>322</v>
      </c>
      <c r="D83" s="2" t="s">
        <v>28</v>
      </c>
      <c r="E83" s="2" t="s">
        <v>285</v>
      </c>
      <c r="F83" s="2" t="s">
        <v>15</v>
      </c>
      <c r="G83" s="2" t="s">
        <v>323</v>
      </c>
      <c r="H83" s="2" t="s">
        <v>324</v>
      </c>
      <c r="I83" s="3" t="str">
        <f>IFERROR(__xludf.DUMMYFUNCTION("GOOGLETRANSLATE(C83,""fr"",""en"")"),"Unreachable claim service, permanently answering machine indicating that all advisers are already in communication. Even by sending the documents via messaging on the site, no response. Waiting for reimbursement for months.")</f>
        <v>Unreachable claim service, permanently answering machine indicating that all advisers are already in communication. Even by sending the documents via messaging on the site, no response. Waiting for reimbursement for months.</v>
      </c>
    </row>
    <row r="84" ht="15.75" customHeight="1">
      <c r="A84" s="2">
        <v>2.0</v>
      </c>
      <c r="B84" s="2" t="s">
        <v>325</v>
      </c>
      <c r="C84" s="2" t="s">
        <v>326</v>
      </c>
      <c r="D84" s="2" t="s">
        <v>13</v>
      </c>
      <c r="E84" s="2" t="s">
        <v>14</v>
      </c>
      <c r="F84" s="2" t="s">
        <v>15</v>
      </c>
      <c r="G84" s="2" t="s">
        <v>327</v>
      </c>
      <c r="H84" s="2" t="s">
        <v>211</v>
      </c>
      <c r="I84" s="3" t="str">
        <f>IFERROR(__xludf.DUMMYFUNCTION("GOOGLETRANSLATE(C84,""fr"",""en"")"),"Like many people, I have still not received my green card despite the rapîde, by Internet, of documents, which have been ""pending"" for 2 months now ...")</f>
        <v>Like many people, I have still not received my green card despite the rapîde, by Internet, of documents, which have been "pending" for 2 months now ...</v>
      </c>
    </row>
    <row r="85" ht="15.75" customHeight="1">
      <c r="A85" s="2">
        <v>3.0</v>
      </c>
      <c r="B85" s="2" t="s">
        <v>328</v>
      </c>
      <c r="C85" s="2" t="s">
        <v>329</v>
      </c>
      <c r="D85" s="2" t="s">
        <v>330</v>
      </c>
      <c r="E85" s="2" t="s">
        <v>44</v>
      </c>
      <c r="F85" s="2" t="s">
        <v>15</v>
      </c>
      <c r="G85" s="2" t="s">
        <v>331</v>
      </c>
      <c r="H85" s="2" t="s">
        <v>85</v>
      </c>
      <c r="I85" s="3" t="str">
        <f>IFERROR(__xludf.DUMMYFUNCTION("GOOGLETRANSLATE(C85,""fr"",""en"")"),"I am faithful and united with the MGP even if I have received many other mutuals proposals.
The contribution is high in particular for executives since it is calculated according to the processing index.
I think loyalty should be rewarded by a discount "&amp;"on the amount of the subscription.
Otherwise, I am fully satisfied with the services.")</f>
        <v>I am faithful and united with the MGP even if I have received many other mutuals proposals.
The contribution is high in particular for executives since it is calculated according to the processing index.
I think loyalty should be rewarded by a discount on the amount of the subscription.
Otherwise, I am fully satisfied with the services.</v>
      </c>
    </row>
    <row r="86" ht="15.75" customHeight="1">
      <c r="A86" s="2">
        <v>1.0</v>
      </c>
      <c r="B86" s="2" t="s">
        <v>332</v>
      </c>
      <c r="C86" s="2" t="s">
        <v>333</v>
      </c>
      <c r="D86" s="2" t="s">
        <v>334</v>
      </c>
      <c r="E86" s="2" t="s">
        <v>33</v>
      </c>
      <c r="F86" s="2" t="s">
        <v>15</v>
      </c>
      <c r="G86" s="2" t="s">
        <v>335</v>
      </c>
      <c r="H86" s="2" t="s">
        <v>336</v>
      </c>
      <c r="I86" s="3" t="str">
        <f>IFERROR(__xludf.DUMMYFUNCTION("GOOGLETRANSLATE(C86,""fr"",""en"")"),"Impossible to recover my money! Since August, my account is closed, total buyout, since I need liquidity. The money has still not been transferred, forcing me to make a loan.")</f>
        <v>Impossible to recover my money! Since August, my account is closed, total buyout, since I need liquidity. The money has still not been transferred, forcing me to make a loan.</v>
      </c>
    </row>
    <row r="87" ht="15.75" customHeight="1">
      <c r="A87" s="2">
        <v>1.0</v>
      </c>
      <c r="B87" s="2" t="s">
        <v>337</v>
      </c>
      <c r="C87" s="2" t="s">
        <v>338</v>
      </c>
      <c r="D87" s="2" t="s">
        <v>53</v>
      </c>
      <c r="E87" s="2" t="s">
        <v>44</v>
      </c>
      <c r="F87" s="2" t="s">
        <v>15</v>
      </c>
      <c r="G87" s="2" t="s">
        <v>339</v>
      </c>
      <c r="H87" s="2" t="s">
        <v>164</v>
      </c>
      <c r="I87" s="3" t="str">
        <f>IFERROR(__xludf.DUMMYFUNCTION("GOOGLETRANSLATE(C87,""fr"",""en"")"),"Mutual to ban termination in October 2020 with the chatel law No communication of this mutual unless email prohibiting termination after 4 months mail saying termination or date after 5 months the threat of a lawyer he accepts the termination and recogniz"&amp;"es that He knew the date tabled in October, after 5 months and 1 week waiting for termination paper which does not happen despite the promise that he arrives shortly. So advice ban this mutual insurance for exorbitant and inflationary prices. Nioliane nev"&amp;"er responds to emails and 20 minutes of minimum waiting for telephone calls")</f>
        <v>Mutual to ban termination in October 2020 with the chatel law No communication of this mutual unless email prohibiting termination after 4 months mail saying termination or date after 5 months the threat of a lawyer he accepts the termination and recognizes that He knew the date tabled in October, after 5 months and 1 week waiting for termination paper which does not happen despite the promise that he arrives shortly. So advice ban this mutual insurance for exorbitant and inflationary prices. Nioliane never responds to emails and 20 minutes of minimum waiting for telephone calls</v>
      </c>
    </row>
    <row r="88" ht="15.75" customHeight="1">
      <c r="A88" s="2">
        <v>2.0</v>
      </c>
      <c r="B88" s="2" t="s">
        <v>340</v>
      </c>
      <c r="C88" s="2" t="s">
        <v>341</v>
      </c>
      <c r="D88" s="2" t="s">
        <v>28</v>
      </c>
      <c r="E88" s="2" t="s">
        <v>14</v>
      </c>
      <c r="F88" s="2" t="s">
        <v>15</v>
      </c>
      <c r="G88" s="2" t="s">
        <v>342</v>
      </c>
      <c r="H88" s="2" t="s">
        <v>261</v>
      </c>
      <c r="I88" s="3" t="str">
        <f>IFERROR(__xludf.DUMMYFUNCTION("GOOGLETRANSLATE(C88,""fr"",""en"")"),"Remove guarantees without warning (here the icebreaker) No gestures were made when I found myself having to use it
I plan to change as soon as possible
")</f>
        <v>Remove guarantees without warning (here the icebreaker) No gestures were made when I found myself having to use it
I plan to change as soon as possible
</v>
      </c>
    </row>
    <row r="89" ht="15.75" customHeight="1">
      <c r="A89" s="2">
        <v>1.0</v>
      </c>
      <c r="B89" s="2" t="s">
        <v>343</v>
      </c>
      <c r="C89" s="2" t="s">
        <v>344</v>
      </c>
      <c r="D89" s="2" t="s">
        <v>176</v>
      </c>
      <c r="E89" s="2" t="s">
        <v>14</v>
      </c>
      <c r="F89" s="2" t="s">
        <v>15</v>
      </c>
      <c r="G89" s="2" t="s">
        <v>345</v>
      </c>
      <c r="H89" s="2" t="s">
        <v>50</v>
      </c>
      <c r="I89" s="3" t="str">
        <f>IFERROR(__xludf.DUMMYFUNCTION("GOOGLETRANSLATE(C89,""fr"",""en"")"),"My wife was the victim of an accident last March, she was not responsible for the Macif compensated for a perfectly maintained car and in perfect condition 233 euros with a multitude of invoices in support of the interview etc car was completely HS 233 eu"&amp;"ros for a car but in which country we are ??? I will never come to your home again !!! We pay a fortune to in the end not having anything in return .... a company like this does not deserve to be yet on the market")</f>
        <v>My wife was the victim of an accident last March, she was not responsible for the Macif compensated for a perfectly maintained car and in perfect condition 233 euros with a multitude of invoices in support of the interview etc car was completely HS 233 euros for a car but in which country we are ??? I will never come to your home again !!! We pay a fortune to in the end not having anything in return .... a company like this does not deserve to be yet on the market</v>
      </c>
    </row>
    <row r="90" ht="15.75" customHeight="1">
      <c r="A90" s="2">
        <v>4.0</v>
      </c>
      <c r="B90" s="2" t="s">
        <v>346</v>
      </c>
      <c r="C90" s="2" t="s">
        <v>347</v>
      </c>
      <c r="D90" s="2" t="s">
        <v>228</v>
      </c>
      <c r="E90" s="2" t="s">
        <v>285</v>
      </c>
      <c r="F90" s="2" t="s">
        <v>15</v>
      </c>
      <c r="G90" s="2" t="s">
        <v>348</v>
      </c>
      <c r="H90" s="2" t="s">
        <v>261</v>
      </c>
      <c r="I90" s="3" t="str">
        <f>IFERROR(__xludf.DUMMYFUNCTION("GOOGLETRANSLATE(C90,""fr"",""en"")"),"My opinion says Axa increases its good customers too in percentage. We must recover the loss for the other claims that they are compensated for the drop account.")</f>
        <v>My opinion says Axa increases its good customers too in percentage. We must recover the loss for the other claims that they are compensated for the drop account.</v>
      </c>
    </row>
    <row r="91" ht="15.75" customHeight="1">
      <c r="A91" s="2">
        <v>3.0</v>
      </c>
      <c r="B91" s="2" t="s">
        <v>349</v>
      </c>
      <c r="C91" s="2" t="s">
        <v>350</v>
      </c>
      <c r="D91" s="2" t="s">
        <v>48</v>
      </c>
      <c r="E91" s="2" t="s">
        <v>14</v>
      </c>
      <c r="F91" s="2" t="s">
        <v>15</v>
      </c>
      <c r="G91" s="2" t="s">
        <v>351</v>
      </c>
      <c r="H91" s="2" t="s">
        <v>89</v>
      </c>
      <c r="I91" s="3" t="str">
        <f>IFERROR(__xludf.DUMMYFUNCTION("GOOGLETRANSLATE(C91,""fr"",""en"")"),"I have just subscribed so I'm waiting to see how the continuation is going ...
 The prices for the moment are competitive, I hope that in the event of a claim there will be no difficulties")</f>
        <v>I have just subscribed so I'm waiting to see how the continuation is going ...
 The prices for the moment are competitive, I hope that in the event of a claim there will be no difficulties</v>
      </c>
    </row>
    <row r="92" ht="15.75" customHeight="1">
      <c r="A92" s="2">
        <v>4.0</v>
      </c>
      <c r="B92" s="2" t="s">
        <v>352</v>
      </c>
      <c r="C92" s="2" t="s">
        <v>353</v>
      </c>
      <c r="D92" s="2" t="s">
        <v>48</v>
      </c>
      <c r="E92" s="2" t="s">
        <v>14</v>
      </c>
      <c r="F92" s="2" t="s">
        <v>15</v>
      </c>
      <c r="G92" s="2" t="s">
        <v>354</v>
      </c>
      <c r="H92" s="2" t="s">
        <v>50</v>
      </c>
      <c r="I92" s="3" t="str">
        <f>IFERROR(__xludf.DUMMYFUNCTION("GOOGLETRANSLATE(C92,""fr"",""en"")"),"The prices suit me, it's simple and quick. Effective telephone reception, without too much waiting. I will recommend direct insurance services.")</f>
        <v>The prices suit me, it's simple and quick. Effective telephone reception, without too much waiting. I will recommend direct insurance services.</v>
      </c>
    </row>
    <row r="93" ht="15.75" customHeight="1">
      <c r="A93" s="2">
        <v>3.0</v>
      </c>
      <c r="B93" s="2" t="s">
        <v>355</v>
      </c>
      <c r="C93" s="2" t="s">
        <v>356</v>
      </c>
      <c r="D93" s="2" t="s">
        <v>53</v>
      </c>
      <c r="E93" s="2" t="s">
        <v>44</v>
      </c>
      <c r="F93" s="2" t="s">
        <v>15</v>
      </c>
      <c r="G93" s="2" t="s">
        <v>357</v>
      </c>
      <c r="H93" s="2" t="s">
        <v>21</v>
      </c>
      <c r="I93" s="3" t="str">
        <f>IFERROR(__xludf.DUMMYFUNCTION("GOOGLETRANSLATE(C93,""fr"",""en"")"),"I have just arrived as a new subscriber for a mutual I expect to see how the company will behave with my reimbursements and the speed of execution of your services I ask you to believe in my greetings")</f>
        <v>I have just arrived as a new subscriber for a mutual I expect to see how the company will behave with my reimbursements and the speed of execution of your services I ask you to believe in my greetings</v>
      </c>
    </row>
    <row r="94" ht="15.75" customHeight="1">
      <c r="A94" s="2">
        <v>4.0</v>
      </c>
      <c r="B94" s="2" t="s">
        <v>358</v>
      </c>
      <c r="C94" s="2" t="s">
        <v>359</v>
      </c>
      <c r="D94" s="2" t="s">
        <v>13</v>
      </c>
      <c r="E94" s="2" t="s">
        <v>14</v>
      </c>
      <c r="F94" s="2" t="s">
        <v>15</v>
      </c>
      <c r="G94" s="2" t="s">
        <v>360</v>
      </c>
      <c r="H94" s="2" t="s">
        <v>99</v>
      </c>
      <c r="I94" s="3" t="str">
        <f>IFERROR(__xludf.DUMMYFUNCTION("GOOGLETRANSLATE(C94,""fr"",""en"")"),"Prices suit me.
For the moment I can't really give a coherent opinion, need a little perspective.
Welcoming customer service and intuitive web interface, and therefore simple.")</f>
        <v>Prices suit me.
For the moment I can't really give a coherent opinion, need a little perspective.
Welcoming customer service and intuitive web interface, and therefore simple.</v>
      </c>
    </row>
    <row r="95" ht="15.75" customHeight="1">
      <c r="A95" s="2">
        <v>1.0</v>
      </c>
      <c r="B95" s="2" t="s">
        <v>361</v>
      </c>
      <c r="C95" s="2" t="s">
        <v>362</v>
      </c>
      <c r="D95" s="2" t="s">
        <v>228</v>
      </c>
      <c r="E95" s="2" t="s">
        <v>14</v>
      </c>
      <c r="F95" s="2" t="s">
        <v>15</v>
      </c>
      <c r="G95" s="2" t="s">
        <v>363</v>
      </c>
      <c r="H95" s="2" t="s">
        <v>200</v>
      </c>
      <c r="I95" s="3" t="str">
        <f>IFERROR(__xludf.DUMMYFUNCTION("GOOGLETRANSLATE(C95,""fr"",""en"")"),"Following a sinister debut February 2018 (we burn down my car) I contacted my insurance in order to warn the claim and have my car assembled. Just the expertise duration for 2 weeks ... before someone send me. Then the follow -up of my file was poorly don"&amp;"e. AXA commissioned another expertise company, the first, the first had been canceled when I had just received the expert report. Which blocked my compensation. It's been 3 months now and I am toubours awaiting compensation. They take their time to repay "&amp;"on the other hand they have not lost time to increase my insurance without even informing it. It is really an insurance that I do not recommend.!")</f>
        <v>Following a sinister debut February 2018 (we burn down my car) I contacted my insurance in order to warn the claim and have my car assembled. Just the expertise duration for 2 weeks ... before someone send me. Then the follow -up of my file was poorly done. AXA commissioned another expertise company, the first, the first had been canceled when I had just received the expert report. Which blocked my compensation. It's been 3 months now and I am toubours awaiting compensation. They take their time to repay on the other hand they have not lost time to increase my insurance without even informing it. It is really an insurance that I do not recommend.!</v>
      </c>
    </row>
    <row r="96" ht="15.75" customHeight="1">
      <c r="A96" s="2">
        <v>2.0</v>
      </c>
      <c r="B96" s="2" t="s">
        <v>364</v>
      </c>
      <c r="C96" s="2" t="s">
        <v>365</v>
      </c>
      <c r="D96" s="2" t="s">
        <v>296</v>
      </c>
      <c r="E96" s="2" t="s">
        <v>14</v>
      </c>
      <c r="F96" s="2" t="s">
        <v>15</v>
      </c>
      <c r="G96" s="2" t="s">
        <v>366</v>
      </c>
      <c r="H96" s="2" t="s">
        <v>178</v>
      </c>
      <c r="I96" s="3" t="str">
        <f>IFERROR(__xludf.DUMMYFUNCTION("GOOGLETRANSLATE(C96,""fr"",""en"")"),"Insured any risk for several years, 50% of bonuses. 2 cars and 1 home insured at home. No damage declared since we are at home. My wife's society buys her vehicle which she will continue to drive. Insurance goes from 395 euros to 622 euros per year for th"&amp;"e same conditions. Or 63% increase. Supposedly, applications of new tariff conditions. We are considered new customers. A nice way to reward loyalty. Suddenly, we will terminate all the contracts ... There is no reason why we are the only losers.")</f>
        <v>Insured any risk for several years, 50% of bonuses. 2 cars and 1 home insured at home. No damage declared since we are at home. My wife's society buys her vehicle which she will continue to drive. Insurance goes from 395 euros to 622 euros per year for the same conditions. Or 63% increase. Supposedly, applications of new tariff conditions. We are considered new customers. A nice way to reward loyalty. Suddenly, we will terminate all the contracts ... There is no reason why we are the only losers.</v>
      </c>
    </row>
    <row r="97" ht="15.75" customHeight="1">
      <c r="A97" s="2">
        <v>4.0</v>
      </c>
      <c r="B97" s="2" t="s">
        <v>367</v>
      </c>
      <c r="C97" s="2" t="s">
        <v>368</v>
      </c>
      <c r="D97" s="2" t="s">
        <v>13</v>
      </c>
      <c r="E97" s="2" t="s">
        <v>14</v>
      </c>
      <c r="F97" s="2" t="s">
        <v>15</v>
      </c>
      <c r="G97" s="2" t="s">
        <v>369</v>
      </c>
      <c r="H97" s="2" t="s">
        <v>50</v>
      </c>
      <c r="I97" s="3" t="str">
        <f>IFERROR(__xludf.DUMMYFUNCTION("GOOGLETRANSLATE(C97,""fr"",""en"")"),"I am entirely satisfied with the online exchange for the establishment of the final contract.
I will recommend your insurance to a tier in my next exchanges, nges")</f>
        <v>I am entirely satisfied with the online exchange for the establishment of the final contract.
I will recommend your insurance to a tier in my next exchanges, nges</v>
      </c>
    </row>
    <row r="98" ht="15.75" customHeight="1">
      <c r="A98" s="2">
        <v>5.0</v>
      </c>
      <c r="B98" s="2" t="s">
        <v>370</v>
      </c>
      <c r="C98" s="2" t="s">
        <v>371</v>
      </c>
      <c r="D98" s="2" t="s">
        <v>372</v>
      </c>
      <c r="E98" s="2" t="s">
        <v>127</v>
      </c>
      <c r="F98" s="2" t="s">
        <v>15</v>
      </c>
      <c r="G98" s="2" t="s">
        <v>373</v>
      </c>
      <c r="H98" s="2" t="s">
        <v>29</v>
      </c>
      <c r="I98" s="3" t="str">
        <f>IFERROR(__xludf.DUMMYFUNCTION("GOOGLETRANSLATE(C98,""fr"",""en"")"),"I AM SATISFIED WITH THE SERVICE
Very simple and very fast to fill everything
The prices are very atractive the options are clear
THANK YOU SO MUCH
Cordially")</f>
        <v>I AM SATISFIED WITH THE SERVICE
Very simple and very fast to fill everything
The prices are very atractive the options are clear
THANK YOU SO MUCH
Cordially</v>
      </c>
    </row>
    <row r="99" ht="15.75" customHeight="1">
      <c r="A99" s="2">
        <v>2.0</v>
      </c>
      <c r="B99" s="2" t="s">
        <v>374</v>
      </c>
      <c r="C99" s="2" t="s">
        <v>375</v>
      </c>
      <c r="D99" s="2" t="s">
        <v>372</v>
      </c>
      <c r="E99" s="2" t="s">
        <v>127</v>
      </c>
      <c r="F99" s="2" t="s">
        <v>15</v>
      </c>
      <c r="G99" s="2" t="s">
        <v>376</v>
      </c>
      <c r="H99" s="2" t="s">
        <v>324</v>
      </c>
      <c r="I99" s="3" t="str">
        <f>IFERROR(__xludf.DUMMYFUNCTION("GOOGLETRANSLATE(C99,""fr"",""en"")"),"AMV is completely lacking in seriousness and professionalism for an insurance company This is disastrous. Disrespect for customers on the phone.
I had a claim on June 6, 2019, we are on September 18, 2019 and I have to date and after several reminders on"&amp;" my part no response concerning the date of care of my disaster and therefore repairs although The expert has passed in the meantime. I specify that I am a biker and it is the vehicle that allows me to go to work.
The height of the incompetence of AMV I "&amp;"even had to call the opposing insurance company in order to obtain answers to my questions as it is unacceptable to be walked at this point by AMV. And she simply replied that she was busy managing the interests of their customers unlike AMV.
I will wait"&amp;" until the end of September and if the care of my motorcycle is not carried out by I would call on a consumer association in order to group complaints from other customers and to attend a legal action if that were to be the case.
Ashamed !!!!")</f>
        <v>AMV is completely lacking in seriousness and professionalism for an insurance company This is disastrous. Disrespect for customers on the phone.
I had a claim on June 6, 2019, we are on September 18, 2019 and I have to date and after several reminders on my part no response concerning the date of care of my disaster and therefore repairs although The expert has passed in the meantime. I specify that I am a biker and it is the vehicle that allows me to go to work.
The height of the incompetence of AMV I even had to call the opposing insurance company in order to obtain answers to my questions as it is unacceptable to be walked at this point by AMV. And she simply replied that she was busy managing the interests of their customers unlike AMV.
I will wait until the end of September and if the care of my motorcycle is not carried out by I would call on a consumer association in order to group complaints from other customers and to attend a legal action if that were to be the case.
Ashamed !!!!</v>
      </c>
    </row>
    <row r="100" ht="15.75" customHeight="1">
      <c r="A100" s="2">
        <v>2.0</v>
      </c>
      <c r="B100" s="2" t="s">
        <v>377</v>
      </c>
      <c r="C100" s="2" t="s">
        <v>378</v>
      </c>
      <c r="D100" s="2" t="s">
        <v>13</v>
      </c>
      <c r="E100" s="2" t="s">
        <v>14</v>
      </c>
      <c r="F100" s="2" t="s">
        <v>15</v>
      </c>
      <c r="G100" s="2" t="s">
        <v>379</v>
      </c>
      <c r="H100" s="2" t="s">
        <v>99</v>
      </c>
      <c r="I100" s="3" t="str">
        <f>IFERROR(__xludf.DUMMYFUNCTION("GOOGLETRANSLATE(C100,""fr"",""en"")"),"No.
Good luck to recover the advance of your franchise in a non -responsible disaster and by being ""all risks"" ....
He just make you turn in a browned and never reminds you
Ashamed!")</f>
        <v>No.
Good luck to recover the advance of your franchise in a non -responsible disaster and by being "all risks" ....
He just make you turn in a browned and never reminds you
Ashamed!</v>
      </c>
    </row>
    <row r="101" ht="15.75" customHeight="1">
      <c r="A101" s="2">
        <v>4.0</v>
      </c>
      <c r="B101" s="2" t="s">
        <v>380</v>
      </c>
      <c r="C101" s="2" t="s">
        <v>381</v>
      </c>
      <c r="D101" s="2" t="s">
        <v>48</v>
      </c>
      <c r="E101" s="2" t="s">
        <v>14</v>
      </c>
      <c r="F101" s="2" t="s">
        <v>15</v>
      </c>
      <c r="G101" s="2" t="s">
        <v>225</v>
      </c>
      <c r="H101" s="2" t="s">
        <v>29</v>
      </c>
      <c r="I101" s="3" t="str">
        <f>IFERROR(__xludf.DUMMYFUNCTION("GOOGLETRANSLATE(C101,""fr"",""en"")"),"I am very satisfied with the prices that Direct Insurance offers
Simple is very quick to benefit from it I have already been a customer at home and I have fond memories
And I will talk to my entourage. Thank you")</f>
        <v>I am very satisfied with the prices that Direct Insurance offers
Simple is very quick to benefit from it I have already been a customer at home and I have fond memories
And I will talk to my entourage. Thank you</v>
      </c>
    </row>
    <row r="102" ht="15.75" customHeight="1">
      <c r="A102" s="2">
        <v>2.0</v>
      </c>
      <c r="B102" s="2" t="s">
        <v>382</v>
      </c>
      <c r="C102" s="2" t="s">
        <v>383</v>
      </c>
      <c r="D102" s="2" t="s">
        <v>13</v>
      </c>
      <c r="E102" s="2" t="s">
        <v>14</v>
      </c>
      <c r="F102" s="2" t="s">
        <v>15</v>
      </c>
      <c r="G102" s="2" t="s">
        <v>384</v>
      </c>
      <c r="H102" s="2" t="s">
        <v>17</v>
      </c>
      <c r="I102" s="3" t="str">
        <f>IFERROR(__xludf.DUMMYFUNCTION("GOOGLETRANSLATE(C102,""fr"",""en"")"),"With this insurance, you must not have an accident, I had an unused accident with an uninsured person, forced to take a lawyer for it to move, my car remained wreck up for more than 3 weeks, before The expert does not pass, we had to lend me a car, but th"&amp;"ey send the ball, we never have the same person on the phone, so not the same bell sound. A real hassle. Flee this insurance. Certainly, but we pay it in another way.")</f>
        <v>With this insurance, you must not have an accident, I had an unused accident with an uninsured person, forced to take a lawyer for it to move, my car remained wreck up for more than 3 weeks, before The expert does not pass, we had to lend me a car, but they send the ball, we never have the same person on the phone, so not the same bell sound. A real hassle. Flee this insurance. Certainly, but we pay it in another way.</v>
      </c>
    </row>
    <row r="103" ht="15.75" customHeight="1">
      <c r="A103" s="2">
        <v>4.0</v>
      </c>
      <c r="B103" s="2" t="s">
        <v>385</v>
      </c>
      <c r="C103" s="2" t="s">
        <v>386</v>
      </c>
      <c r="D103" s="2" t="s">
        <v>53</v>
      </c>
      <c r="E103" s="2" t="s">
        <v>44</v>
      </c>
      <c r="F103" s="2" t="s">
        <v>15</v>
      </c>
      <c r="G103" s="2" t="s">
        <v>387</v>
      </c>
      <c r="H103" s="2" t="s">
        <v>21</v>
      </c>
      <c r="I103" s="3" t="str">
        <f>IFERROR(__xludf.DUMMYFUNCTION("GOOGLETRANSLATE(C103,""fr"",""en"")"),"New member at Neoliane, I have not yet to complain about this mutual
I would even say that I find it effective thanks to the available lamia which solved my problem.")</f>
        <v>New member at Neoliane, I have not yet to complain about this mutual
I would even say that I find it effective thanks to the available lamia which solved my problem.</v>
      </c>
    </row>
    <row r="104" ht="15.75" customHeight="1">
      <c r="A104" s="2">
        <v>1.0</v>
      </c>
      <c r="B104" s="2" t="s">
        <v>388</v>
      </c>
      <c r="C104" s="2" t="s">
        <v>389</v>
      </c>
      <c r="D104" s="2" t="s">
        <v>390</v>
      </c>
      <c r="E104" s="2" t="s">
        <v>33</v>
      </c>
      <c r="F104" s="2" t="s">
        <v>15</v>
      </c>
      <c r="G104" s="2" t="s">
        <v>391</v>
      </c>
      <c r="H104" s="2" t="s">
        <v>392</v>
      </c>
      <c r="I104" s="3" t="str">
        <f>IFERROR(__xludf.DUMMYFUNCTION("GOOGLETRANSLATE(C104,""fr"",""en"")"),"My mother had appointed me as the beneficiary of two life insurance with the BNP Paribas.
Died in early March, I could not finally receive the capital that she intended for me only 3 and a half months later.
Cardif was in possession of all the pieces on"&amp;" May 21. It has of course abstained from accusing reception of these documents; Hence the need to systematically resort to registered shipments in any exchange of correspondence with these insurers who play the watch. The funds were only paid on my accoun"&amp;"t only on June 20, only one day before expiration of the period beyond which the insurer owes interest at higher rates fixed by law.
This is what is called delay as much as possible the payment of what is due to the beneficiary.
Edifying no!")</f>
        <v>My mother had appointed me as the beneficiary of two life insurance with the BNP Paribas.
Died in early March, I could not finally receive the capital that she intended for me only 3 and a half months later.
Cardif was in possession of all the pieces on May 21. It has of course abstained from accusing reception of these documents; Hence the need to systematically resort to registered shipments in any exchange of correspondence with these insurers who play the watch. The funds were only paid on my account only on June 20, only one day before expiration of the period beyond which the insurer owes interest at higher rates fixed by law.
This is what is called delay as much as possible the payment of what is due to the beneficiary.
Edifying no!</v>
      </c>
    </row>
    <row r="105" ht="15.75" customHeight="1">
      <c r="A105" s="2">
        <v>4.0</v>
      </c>
      <c r="B105" s="2" t="s">
        <v>393</v>
      </c>
      <c r="C105" s="2" t="s">
        <v>394</v>
      </c>
      <c r="D105" s="2" t="s">
        <v>53</v>
      </c>
      <c r="E105" s="2" t="s">
        <v>44</v>
      </c>
      <c r="F105" s="2" t="s">
        <v>15</v>
      </c>
      <c r="G105" s="2" t="s">
        <v>395</v>
      </c>
      <c r="H105" s="2" t="s">
        <v>29</v>
      </c>
      <c r="I105" s="3" t="str">
        <f>IFERROR(__xludf.DUMMYFUNCTION("GOOGLETRANSLATE(C105,""fr"",""en"")"),"Very good adviser good result Emeline did everything possible in order to have all my information to recommend I hope to be dealing with her next time thank you.")</f>
        <v>Very good adviser good result Emeline did everything possible in order to have all my information to recommend I hope to be dealing with her next time thank you.</v>
      </c>
    </row>
    <row r="106" ht="15.75" customHeight="1">
      <c r="A106" s="2">
        <v>4.0</v>
      </c>
      <c r="B106" s="2" t="s">
        <v>396</v>
      </c>
      <c r="C106" s="2" t="s">
        <v>397</v>
      </c>
      <c r="D106" s="2" t="s">
        <v>330</v>
      </c>
      <c r="E106" s="2" t="s">
        <v>44</v>
      </c>
      <c r="F106" s="2" t="s">
        <v>15</v>
      </c>
      <c r="G106" s="2" t="s">
        <v>163</v>
      </c>
      <c r="H106" s="2" t="s">
        <v>164</v>
      </c>
      <c r="I106" s="3" t="str">
        <f>IFERROR(__xludf.DUMMYFUNCTION("GOOGLETRANSLATE(C106,""fr"",""en"")"),"Being a PMR, I took all the options to cover myself. I am very satisfied with it. Even when I have to make an advance, I am reimbursed quickly.")</f>
        <v>Being a PMR, I took all the options to cover myself. I am very satisfied with it. Even when I have to make an advance, I am reimbursed quickly.</v>
      </c>
    </row>
    <row r="107" ht="15.75" customHeight="1">
      <c r="A107" s="2">
        <v>1.0</v>
      </c>
      <c r="B107" s="2" t="s">
        <v>398</v>
      </c>
      <c r="C107" s="2" t="s">
        <v>399</v>
      </c>
      <c r="D107" s="2" t="s">
        <v>400</v>
      </c>
      <c r="E107" s="2" t="s">
        <v>14</v>
      </c>
      <c r="F107" s="2" t="s">
        <v>15</v>
      </c>
      <c r="G107" s="2" t="s">
        <v>401</v>
      </c>
      <c r="H107" s="2" t="s">
        <v>118</v>
      </c>
      <c r="I107" s="3" t="str">
        <f>IFERROR(__xludf.DUMMYFUNCTION("GOOGLETRANSLATE(C107,""fr"",""en"")"),"To flee quad urgently you ask for an information statement to change insurer, there is an incident no possibility of going backwards because you have only 48 hours")</f>
        <v>To flee quad urgently you ask for an information statement to change insurer, there is an incident no possibility of going backwards because you have only 48 hours</v>
      </c>
    </row>
    <row r="108" ht="15.75" customHeight="1">
      <c r="A108" s="2">
        <v>5.0</v>
      </c>
      <c r="B108" s="2" t="s">
        <v>402</v>
      </c>
      <c r="C108" s="2" t="s">
        <v>403</v>
      </c>
      <c r="D108" s="2" t="s">
        <v>53</v>
      </c>
      <c r="E108" s="2" t="s">
        <v>44</v>
      </c>
      <c r="F108" s="2" t="s">
        <v>15</v>
      </c>
      <c r="G108" s="2" t="s">
        <v>404</v>
      </c>
      <c r="H108" s="2" t="s">
        <v>405</v>
      </c>
      <c r="I108" s="3" t="str">
        <f>IFERROR(__xludf.DUMMYFUNCTION("GOOGLETRANSLATE(C108,""fr"",""en"")"),"I opted for this mutual insurance company because they have real optical reimbursements which is rare these days so I started on this criterion and today I sponsored certain people of my family because the service is at the appointment so To avoid unneces"&amp;"sarily spending this insurer and a good compromise.")</f>
        <v>I opted for this mutual insurance company because they have real optical reimbursements which is rare these days so I started on this criterion and today I sponsored certain people of my family because the service is at the appointment so To avoid unnecessarily spending this insurer and a good compromise.</v>
      </c>
    </row>
    <row r="109" ht="15.75" customHeight="1">
      <c r="A109" s="2">
        <v>1.0</v>
      </c>
      <c r="B109" s="2" t="s">
        <v>406</v>
      </c>
      <c r="C109" s="2" t="s">
        <v>407</v>
      </c>
      <c r="D109" s="2" t="s">
        <v>28</v>
      </c>
      <c r="E109" s="2" t="s">
        <v>14</v>
      </c>
      <c r="F109" s="2" t="s">
        <v>15</v>
      </c>
      <c r="G109" s="2" t="s">
        <v>316</v>
      </c>
      <c r="H109" s="2" t="s">
        <v>29</v>
      </c>
      <c r="I109" s="3" t="str">
        <f>IFERROR(__xludf.DUMMYFUNCTION("GOOGLETRANSLATE(C109,""fr"",""en"")"),"I am more and more disappointed with my insurance The telephone assistant is not clear and the prices increases ... on TV everything is great but in reality it is something really a shame")</f>
        <v>I am more and more disappointed with my insurance The telephone assistant is not clear and the prices increases ... on TV everything is great but in reality it is something really a shame</v>
      </c>
    </row>
    <row r="110" ht="15.75" customHeight="1">
      <c r="A110" s="2">
        <v>1.0</v>
      </c>
      <c r="B110" s="2" t="s">
        <v>408</v>
      </c>
      <c r="C110" s="2" t="s">
        <v>409</v>
      </c>
      <c r="D110" s="2" t="s">
        <v>390</v>
      </c>
      <c r="E110" s="2" t="s">
        <v>242</v>
      </c>
      <c r="F110" s="2" t="s">
        <v>15</v>
      </c>
      <c r="G110" s="2" t="s">
        <v>410</v>
      </c>
      <c r="H110" s="2" t="s">
        <v>211</v>
      </c>
      <c r="I110" s="3" t="str">
        <f>IFERROR(__xludf.DUMMYFUNCTION("GOOGLETRANSLATE(C110,""fr"",""en"")"),"My mother suddenly died in August 2016 had subscribed to consumer credit with cardif death insurance. In the days following his death, we informed Cetelem of his death and sent the natural death certificate.
4 months later, Cardif wakes up and asks us fo"&amp;"r a doctor's medical questionnaire, something done and sent. …
Today we learn that Cardif refuses to take care of the loan under reason that my mother did not point out to take medical treatment during her subscription when no general health and treatmen"&amp;"t questionnaire had been fulfilled subscription.
This method is rider and abusive and does not respect the right to consumption of course we are not going to stop there.
")</f>
        <v>My mother suddenly died in August 2016 had subscribed to consumer credit with cardif death insurance. In the days following his death, we informed Cetelem of his death and sent the natural death certificate.
4 months later, Cardif wakes up and asks us for a doctor's medical questionnaire, something done and sent. …
Today we learn that Cardif refuses to take care of the loan under reason that my mother did not point out to take medical treatment during her subscription when no general health and treatment questionnaire had been fulfilled subscription.
This method is rider and abusive and does not respect the right to consumption of course we are not going to stop there.
</v>
      </c>
    </row>
    <row r="111" ht="15.75" customHeight="1">
      <c r="A111" s="2">
        <v>1.0</v>
      </c>
      <c r="B111" s="2" t="s">
        <v>411</v>
      </c>
      <c r="C111" s="2" t="s">
        <v>412</v>
      </c>
      <c r="D111" s="2" t="s">
        <v>13</v>
      </c>
      <c r="E111" s="2" t="s">
        <v>14</v>
      </c>
      <c r="F111" s="2" t="s">
        <v>15</v>
      </c>
      <c r="G111" s="2" t="s">
        <v>413</v>
      </c>
      <c r="H111" s="2" t="s">
        <v>85</v>
      </c>
      <c r="I111" s="3" t="str">
        <f>IFERROR(__xludf.DUMMYFUNCTION("GOOGLETRANSLATE(C111,""fr"",""en"")"),"I received the quote for renewal (in the second year with the olive tree) and there is a Tarifassion Incretion of 40% without any claim.
I find this commercial practice ashamed and disrespectful of the consumer.
I have written several times to customer "&amp;"service and I had no answer.
I am very disappointed with the insurance olive tree !!")</f>
        <v>I received the quote for renewal (in the second year with the olive tree) and there is a Tarifassion Incretion of 40% without any claim.
I find this commercial practice ashamed and disrespectful of the consumer.
I have written several times to customer service and I had no answer.
I am very disappointed with the insurance olive tree !!</v>
      </c>
    </row>
    <row r="112" ht="15.75" customHeight="1">
      <c r="A112" s="2">
        <v>2.0</v>
      </c>
      <c r="B112" s="2" t="s">
        <v>414</v>
      </c>
      <c r="C112" s="2" t="s">
        <v>415</v>
      </c>
      <c r="D112" s="2" t="s">
        <v>121</v>
      </c>
      <c r="E112" s="2" t="s">
        <v>14</v>
      </c>
      <c r="F112" s="2" t="s">
        <v>15</v>
      </c>
      <c r="G112" s="2" t="s">
        <v>416</v>
      </c>
      <c r="H112" s="2" t="s">
        <v>324</v>
      </c>
      <c r="I112" s="3" t="str">
        <f>IFERROR(__xludf.DUMMYFUNCTION("GOOGLETRANSLATE(C112,""fr"",""en"")")," Hello I was very happy with the prices of the Maif but very disappointed with their sinister service I had a hanging on June 26 I had to have my vehicle repaired on September 5 following an act of vandalism on my vehicle The repairs were Reported I was r"&amp;"eally not high for the two claims a few days ago I call the maif I ask them to be reimbursed for the first claim he replied that the person with whom I had the claim did not Not sent all the documents so that I was reimbursed I made them understand that i"&amp;"f the garage repair the vehicle on September 5, would you have said the same thing I do not understand why they take so much time to reimburse frankly I Not recommend this insurance for more than a month that my vehicle is in a garage that do not want to "&amp;"start repairs I did not have a loan vehicle here I am really very disappointed with maif")</f>
        <v> Hello I was very happy with the prices of the Maif but very disappointed with their sinister service I had a hanging on June 26 I had to have my vehicle repaired on September 5 following an act of vandalism on my vehicle The repairs were Reported I was really not high for the two claims a few days ago I call the maif I ask them to be reimbursed for the first claim he replied that the person with whom I had the claim did not Not sent all the documents so that I was reimbursed I made them understand that if the garage repair the vehicle on September 5, would you have said the same thing I do not understand why they take so much time to reimburse frankly I Not recommend this insurance for more than a month that my vehicle is in a garage that do not want to start repairs I did not have a loan vehicle here I am really very disappointed with maif</v>
      </c>
    </row>
    <row r="113" ht="15.75" customHeight="1">
      <c r="A113" s="2">
        <v>4.0</v>
      </c>
      <c r="B113" s="2" t="s">
        <v>417</v>
      </c>
      <c r="C113" s="2" t="s">
        <v>418</v>
      </c>
      <c r="D113" s="2" t="s">
        <v>48</v>
      </c>
      <c r="E113" s="2" t="s">
        <v>14</v>
      </c>
      <c r="F113" s="2" t="s">
        <v>15</v>
      </c>
      <c r="G113" s="2" t="s">
        <v>419</v>
      </c>
      <c r="H113" s="2" t="s">
        <v>85</v>
      </c>
      <c r="I113" s="3" t="str">
        <f>IFERROR(__xludf.DUMMYFUNCTION("GOOGLETRANSLATE(C113,""fr"",""en"")"),"Prices seem to me more affordable than competition with equal guarantees.
It remains to be seen the service actually rendered during a disaster. Note the deductible raised by the raising of 10% of the repair amounts ""flight/fire and damage to all accide"&amp;"nts""")</f>
        <v>Prices seem to me more affordable than competition with equal guarantees.
It remains to be seen the service actually rendered during a disaster. Note the deductible raised by the raising of 10% of the repair amounts "flight/fire and damage to all accidents"</v>
      </c>
    </row>
    <row r="114" ht="15.75" customHeight="1">
      <c r="A114" s="2">
        <v>5.0</v>
      </c>
      <c r="B114" s="2" t="s">
        <v>420</v>
      </c>
      <c r="C114" s="2" t="s">
        <v>421</v>
      </c>
      <c r="D114" s="2" t="s">
        <v>372</v>
      </c>
      <c r="E114" s="2" t="s">
        <v>127</v>
      </c>
      <c r="F114" s="2" t="s">
        <v>15</v>
      </c>
      <c r="G114" s="2" t="s">
        <v>422</v>
      </c>
      <c r="H114" s="2" t="s">
        <v>25</v>
      </c>
      <c r="I114" s="3" t="str">
        <f>IFERROR(__xludf.DUMMYFUNCTION("GOOGLETRANSLATE(C114,""fr"",""en"")")," To resume advertising other insurance not bla-blah some documents to combine speed of execution and prices here is all you are insured the same day and you receive your green card within eight days")</f>
        <v> To resume advertising other insurance not bla-blah some documents to combine speed of execution and prices here is all you are insured the same day and you receive your green card within eight days</v>
      </c>
    </row>
    <row r="115" ht="15.75" customHeight="1">
      <c r="A115" s="2">
        <v>1.0</v>
      </c>
      <c r="B115" s="2" t="s">
        <v>423</v>
      </c>
      <c r="C115" s="2" t="s">
        <v>424</v>
      </c>
      <c r="D115" s="2" t="s">
        <v>155</v>
      </c>
      <c r="E115" s="2" t="s">
        <v>14</v>
      </c>
      <c r="F115" s="2" t="s">
        <v>15</v>
      </c>
      <c r="G115" s="2" t="s">
        <v>425</v>
      </c>
      <c r="H115" s="2" t="s">
        <v>67</v>
      </c>
      <c r="I115" s="3" t="str">
        <f>IFERROR(__xludf.DUMMYFUNCTION("GOOGLETRANSLATE(C115,""fr"",""en"")"),"I was stolen from my car for 4 months that I am waiting for compensation. The manager asks me for documents that the expert has already had in her possession from the start and that he has had. Whenever I call I am promised a manager of the manager in the"&amp;" 48 hours but I always stay without news from him it's been 1 month. Despite calls it is very long 4 months without compensation and we will soon start the 5th me is not normal. To subscribe, I am not asked for purchasing supporting documents but to unind"&amp;"emnize I am asked I don't understand but that said I provided everything and still no answer")</f>
        <v>I was stolen from my car for 4 months that I am waiting for compensation. The manager asks me for documents that the expert has already had in her possession from the start and that he has had. Whenever I call I am promised a manager of the manager in the 48 hours but I always stay without news from him it's been 1 month. Despite calls it is very long 4 months without compensation and we will soon start the 5th me is not normal. To subscribe, I am not asked for purchasing supporting documents but to unindemnize I am asked I don't understand but that said I provided everything and still no answer</v>
      </c>
    </row>
    <row r="116" ht="15.75" customHeight="1">
      <c r="A116" s="2">
        <v>2.0</v>
      </c>
      <c r="B116" s="2" t="s">
        <v>426</v>
      </c>
      <c r="C116" s="2" t="s">
        <v>427</v>
      </c>
      <c r="D116" s="2" t="s">
        <v>28</v>
      </c>
      <c r="E116" s="2" t="s">
        <v>14</v>
      </c>
      <c r="F116" s="2" t="s">
        <v>15</v>
      </c>
      <c r="G116" s="2" t="s">
        <v>428</v>
      </c>
      <c r="H116" s="2" t="s">
        <v>211</v>
      </c>
      <c r="I116" s="3" t="str">
        <f>IFERROR(__xludf.DUMMYFUNCTION("GOOGLETRANSLATE(C116,""fr"",""en"")"),"Good evening,
It would be appropriate to reduce the insurance premium to those who have not had a claim, without it being necessary to beg a discount or by changing insurer
Cordially
Marc Wiccart")</f>
        <v>Good evening,
It would be appropriate to reduce the insurance premium to those who have not had a claim, without it being necessary to beg a discount or by changing insurer
Cordially
Marc Wiccart</v>
      </c>
    </row>
    <row r="117" ht="15.75" customHeight="1">
      <c r="A117" s="2">
        <v>4.0</v>
      </c>
      <c r="B117" s="2" t="s">
        <v>429</v>
      </c>
      <c r="C117" s="2" t="s">
        <v>430</v>
      </c>
      <c r="D117" s="2" t="s">
        <v>13</v>
      </c>
      <c r="E117" s="2" t="s">
        <v>14</v>
      </c>
      <c r="F117" s="2" t="s">
        <v>15</v>
      </c>
      <c r="G117" s="2" t="s">
        <v>431</v>
      </c>
      <c r="H117" s="2" t="s">
        <v>17</v>
      </c>
      <c r="I117" s="3" t="str">
        <f>IFERROR(__xludf.DUMMYFUNCTION("GOOGLETRANSLATE(C117,""fr"",""en"")"),"Satisfied with the various contacts with the advisers.
Price more than attractive for young drivers (-50% compared to the proposal of my insurance)")</f>
        <v>Satisfied with the various contacts with the advisers.
Price more than attractive for young drivers (-50% compared to the proposal of my insurance)</v>
      </c>
    </row>
    <row r="118" ht="15.75" customHeight="1">
      <c r="A118" s="2">
        <v>2.0</v>
      </c>
      <c r="B118" s="2" t="s">
        <v>432</v>
      </c>
      <c r="C118" s="2" t="s">
        <v>433</v>
      </c>
      <c r="D118" s="2" t="s">
        <v>400</v>
      </c>
      <c r="E118" s="2" t="s">
        <v>285</v>
      </c>
      <c r="F118" s="2" t="s">
        <v>15</v>
      </c>
      <c r="G118" s="2" t="s">
        <v>434</v>
      </c>
      <c r="H118" s="2" t="s">
        <v>118</v>
      </c>
      <c r="I118" s="3" t="str">
        <f>IFERROR(__xludf.DUMMYFUNCTION("GOOGLETRANSLATE(C118,""fr"",""en"")"),"1 year and 3 months after my water damage, after multiple reminders by Tel/Email, multiple expertise and counter-expertise, file always unpackaged. Provider sponsored by their totally incompetent care and in bad faith, caused lots of damage (kitchen tiles"&amp;", living room parquet, torn audio threads, paint on new furniture ...). In dispute with them in order to be reimbursed for all this damage. Ashamed ! Especially since the 1st answer following these damage was ""that the expertise to verify the damage caus"&amp;"ed by this provider would be done by this same provider because"" it was the rules of the art! We think we are dreaming!")</f>
        <v>1 year and 3 months after my water damage, after multiple reminders by Tel/Email, multiple expertise and counter-expertise, file always unpackaged. Provider sponsored by their totally incompetent care and in bad faith, caused lots of damage (kitchen tiles, living room parquet, torn audio threads, paint on new furniture ...). In dispute with them in order to be reimbursed for all this damage. Ashamed ! Especially since the 1st answer following these damage was "that the expertise to verify the damage caused by this provider would be done by this same provider because" it was the rules of the art! We think we are dreaming!</v>
      </c>
    </row>
    <row r="119" ht="15.75" customHeight="1">
      <c r="A119" s="2">
        <v>2.0</v>
      </c>
      <c r="B119" s="2" t="s">
        <v>435</v>
      </c>
      <c r="C119" s="2" t="s">
        <v>436</v>
      </c>
      <c r="D119" s="2" t="s">
        <v>48</v>
      </c>
      <c r="E119" s="2" t="s">
        <v>14</v>
      </c>
      <c r="F119" s="2" t="s">
        <v>15</v>
      </c>
      <c r="G119" s="2" t="s">
        <v>437</v>
      </c>
      <c r="H119" s="2" t="s">
        <v>287</v>
      </c>
      <c r="I119" s="3" t="str">
        <f>IFERROR(__xludf.DUMMYFUNCTION("GOOGLETRANSLATE(C119,""fr"",""en"")"),"Customer service in North Africa with people who do not speak our language very well and therefore do not understand it. They repeat ready -made sentences without understanding its meaning. We are like talking to a wall, which, still is smarter. To flee!")</f>
        <v>Customer service in North Africa with people who do not speak our language very well and therefore do not understand it. They repeat ready -made sentences without understanding its meaning. We are like talking to a wall, which, still is smarter. To flee!</v>
      </c>
    </row>
    <row r="120" ht="15.75" customHeight="1">
      <c r="A120" s="2">
        <v>4.0</v>
      </c>
      <c r="B120" s="2" t="s">
        <v>438</v>
      </c>
      <c r="C120" s="2" t="s">
        <v>439</v>
      </c>
      <c r="D120" s="2" t="s">
        <v>13</v>
      </c>
      <c r="E120" s="2" t="s">
        <v>14</v>
      </c>
      <c r="F120" s="2" t="s">
        <v>15</v>
      </c>
      <c r="G120" s="2" t="s">
        <v>16</v>
      </c>
      <c r="H120" s="2" t="s">
        <v>17</v>
      </c>
      <c r="I120" s="3" t="str">
        <f>IFERROR(__xludf.DUMMYFUNCTION("GOOGLETRANSLATE(C120,""fr"",""en"")"),"Professional and efficient service
I recommend this insurance for its prices. Its very intuitive application and the quality of the person who has taken charge of")</f>
        <v>Professional and efficient service
I recommend this insurance for its prices. Its very intuitive application and the quality of the person who has taken charge of</v>
      </c>
    </row>
    <row r="121" ht="15.75" customHeight="1">
      <c r="A121" s="2">
        <v>1.0</v>
      </c>
      <c r="B121" s="2" t="s">
        <v>440</v>
      </c>
      <c r="C121" s="2" t="s">
        <v>441</v>
      </c>
      <c r="D121" s="2" t="s">
        <v>400</v>
      </c>
      <c r="E121" s="2" t="s">
        <v>14</v>
      </c>
      <c r="F121" s="2" t="s">
        <v>15</v>
      </c>
      <c r="G121" s="2" t="s">
        <v>442</v>
      </c>
      <c r="H121" s="2" t="s">
        <v>261</v>
      </c>
      <c r="I121" s="3" t="str">
        <f>IFERROR(__xludf.DUMMYFUNCTION("GOOGLETRANSLATE(C121,""fr"",""en"")"),"Incompetent insurance. I made a sinister for my windshield The amount of the invoice amounts to around 1,600 euros that is 2 months I am waiting for the reimbursement. Before saying that the amount was too high they made the file leave for an expert .... "&amp;"but I do not know where he finds their expert if in 2 months he could not assess is that they are incompetent. Have pays the insurance every month there it is not difficult to take the money, but to reimburse there is no one. I do not recommend this insur"&amp;"ance at all but really not!")</f>
        <v>Incompetent insurance. I made a sinister for my windshield The amount of the invoice amounts to around 1,600 euros that is 2 months I am waiting for the reimbursement. Before saying that the amount was too high they made the file leave for an expert .... but I do not know where he finds their expert if in 2 months he could not assess is that they are incompetent. Have pays the insurance every month there it is not difficult to take the money, but to reimburse there is no one. I do not recommend this insurance at all but really not!</v>
      </c>
    </row>
    <row r="122" ht="15.75" customHeight="1">
      <c r="A122" s="2">
        <v>4.0</v>
      </c>
      <c r="B122" s="2" t="s">
        <v>443</v>
      </c>
      <c r="C122" s="2" t="s">
        <v>444</v>
      </c>
      <c r="D122" s="2" t="s">
        <v>13</v>
      </c>
      <c r="E122" s="2" t="s">
        <v>14</v>
      </c>
      <c r="F122" s="2" t="s">
        <v>15</v>
      </c>
      <c r="G122" s="2" t="s">
        <v>145</v>
      </c>
      <c r="H122" s="2" t="s">
        <v>29</v>
      </c>
      <c r="I122" s="3" t="str">
        <f>IFERROR(__xludf.DUMMYFUNCTION("GOOGLETRANSLATE(C122,""fr"",""en"")"),"I am satisfied. The service is fast. The value for money is well studied. The answer complies with my expectations. Everything is done quickly and effectively.")</f>
        <v>I am satisfied. The service is fast. The value for money is well studied. The answer complies with my expectations. Everything is done quickly and effectively.</v>
      </c>
    </row>
    <row r="123" ht="15.75" customHeight="1">
      <c r="A123" s="2">
        <v>3.0</v>
      </c>
      <c r="B123" s="2" t="s">
        <v>445</v>
      </c>
      <c r="C123" s="2" t="s">
        <v>446</v>
      </c>
      <c r="D123" s="2" t="s">
        <v>48</v>
      </c>
      <c r="E123" s="2" t="s">
        <v>14</v>
      </c>
      <c r="F123" s="2" t="s">
        <v>15</v>
      </c>
      <c r="G123" s="2" t="s">
        <v>181</v>
      </c>
      <c r="H123" s="2" t="s">
        <v>29</v>
      </c>
      <c r="I123" s="3" t="str">
        <f>IFERROR(__xludf.DUMMYFUNCTION("GOOGLETRANSLATE(C123,""fr"",""en"")"),"I am not too satisfied with your services because the price is too expensive
Lack of special students !!
Best AFTER SERVICE Company
Thank you
Cordially")</f>
        <v>I am not too satisfied with your services because the price is too expensive
Lack of special students !!
Best AFTER SERVICE Company
Thank you
Cordially</v>
      </c>
    </row>
    <row r="124" ht="15.75" customHeight="1">
      <c r="A124" s="2">
        <v>3.0</v>
      </c>
      <c r="B124" s="2" t="s">
        <v>447</v>
      </c>
      <c r="C124" s="2" t="s">
        <v>448</v>
      </c>
      <c r="D124" s="2" t="s">
        <v>330</v>
      </c>
      <c r="E124" s="2" t="s">
        <v>44</v>
      </c>
      <c r="F124" s="2" t="s">
        <v>15</v>
      </c>
      <c r="G124" s="2" t="s">
        <v>67</v>
      </c>
      <c r="H124" s="2" t="s">
        <v>67</v>
      </c>
      <c r="I124" s="3" t="str">
        <f>IFERROR(__xludf.DUMMYFUNCTION("GOOGLETRANSLATE(C124,""fr"",""en"")"),"Listening and very pleasant customer service for all information.
Fast and efficient in terms of reimbursement, however, a little expensive depending on the contract subscribed.")</f>
        <v>Listening and very pleasant customer service for all information.
Fast and efficient in terms of reimbursement, however, a little expensive depending on the contract subscribed.</v>
      </c>
    </row>
    <row r="125" ht="15.75" customHeight="1">
      <c r="A125" s="2">
        <v>1.0</v>
      </c>
      <c r="B125" s="2" t="s">
        <v>449</v>
      </c>
      <c r="C125" s="2" t="s">
        <v>450</v>
      </c>
      <c r="D125" s="2" t="s">
        <v>121</v>
      </c>
      <c r="E125" s="2" t="s">
        <v>14</v>
      </c>
      <c r="F125" s="2" t="s">
        <v>15</v>
      </c>
      <c r="G125" s="2" t="s">
        <v>451</v>
      </c>
      <c r="H125" s="2" t="s">
        <v>452</v>
      </c>
      <c r="I125" s="3" t="str">
        <f>IFERROR(__xludf.DUMMYFUNCTION("GOOGLETRANSLATE(C125,""fr"",""en"")"),"Completely disappointed by this so -called insurance.
Having undergone an act of vandalism completely immobilizing my vehicle and this since September 18 !!! The latter is still in the garage awaiting a return of the expert who passed a month ago while a"&amp;"ll the papers have summer made in good standing !! calls and emails follow each other but no clear response. The more I receive a letter of termination in ""reason for the alteration of our commercial relationship"".
Because of course, wanting to obtain "&amp;"answers and recovering your vehicle immobilized for 2 months justifies a contract termination. What the maif reassures itself, I did not intend to stay at home after all this. Very bad experience knowing that I am a young driver and that This is my first "&amp;"insurance contract. By specifying that competitor will be much better than this poor insurance !!")</f>
        <v>Completely disappointed by this so -called insurance.
Having undergone an act of vandalism completely immobilizing my vehicle and this since September 18 !!! The latter is still in the garage awaiting a return of the expert who passed a month ago while all the papers have summer made in good standing !! calls and emails follow each other but no clear response. The more I receive a letter of termination in "reason for the alteration of our commercial relationship".
Because of course, wanting to obtain answers and recovering your vehicle immobilized for 2 months justifies a contract termination. What the maif reassures itself, I did not intend to stay at home after all this. Very bad experience knowing that I am a young driver and that This is my first insurance contract. By specifying that competitor will be much better than this poor insurance !!</v>
      </c>
    </row>
    <row r="126" ht="15.75" customHeight="1">
      <c r="A126" s="2">
        <v>1.0</v>
      </c>
      <c r="B126" s="2" t="s">
        <v>453</v>
      </c>
      <c r="C126" s="2" t="s">
        <v>454</v>
      </c>
      <c r="D126" s="2" t="s">
        <v>48</v>
      </c>
      <c r="E126" s="2" t="s">
        <v>14</v>
      </c>
      <c r="F126" s="2" t="s">
        <v>15</v>
      </c>
      <c r="G126" s="2" t="s">
        <v>98</v>
      </c>
      <c r="H126" s="2" t="s">
        <v>99</v>
      </c>
      <c r="I126" s="3" t="str">
        <f>IFERROR(__xludf.DUMMYFUNCTION("GOOGLETRANSLATE(C126,""fr"",""en"")"),"not satisfied the price is too much raising
Insurance does not cover much
Thank you for terminating my contract and making me a refund of the last levy
Cordially")</f>
        <v>not satisfied the price is too much raising
Insurance does not cover much
Thank you for terminating my contract and making me a refund of the last levy
Cordially</v>
      </c>
    </row>
    <row r="127" ht="15.75" customHeight="1">
      <c r="A127" s="2">
        <v>4.0</v>
      </c>
      <c r="B127" s="2" t="s">
        <v>455</v>
      </c>
      <c r="C127" s="2" t="s">
        <v>456</v>
      </c>
      <c r="D127" s="2" t="s">
        <v>48</v>
      </c>
      <c r="E127" s="2" t="s">
        <v>14</v>
      </c>
      <c r="F127" s="2" t="s">
        <v>15</v>
      </c>
      <c r="G127" s="2" t="s">
        <v>457</v>
      </c>
      <c r="H127" s="2" t="s">
        <v>67</v>
      </c>
      <c r="I127" s="3" t="str">
        <f>IFERROR(__xludf.DUMMYFUNCTION("GOOGLETRANSLATE(C127,""fr"",""en"")"),"I am satisfied with the service. The price proposal suits me.
The site easily makes it possible to make a decision fairly quickly.
The choice of proposals helps make a good decision.
")</f>
        <v>I am satisfied with the service. The price proposal suits me.
The site easily makes it possible to make a decision fairly quickly.
The choice of proposals helps make a good decision.
</v>
      </c>
    </row>
    <row r="128" ht="15.75" customHeight="1">
      <c r="A128" s="2">
        <v>4.0</v>
      </c>
      <c r="B128" s="2" t="s">
        <v>458</v>
      </c>
      <c r="C128" s="2" t="s">
        <v>459</v>
      </c>
      <c r="D128" s="2" t="s">
        <v>13</v>
      </c>
      <c r="E128" s="2" t="s">
        <v>14</v>
      </c>
      <c r="F128" s="2" t="s">
        <v>15</v>
      </c>
      <c r="G128" s="2" t="s">
        <v>460</v>
      </c>
      <c r="H128" s="2" t="s">
        <v>17</v>
      </c>
      <c r="I128" s="3" t="str">
        <f>IFERROR(__xludf.DUMMYFUNCTION("GOOGLETRANSLATE(C128,""fr"",""en"")"),"The price suits me for the moment. But I do not understand why there is a signature request for SEPA if the payment is annual. I hope not to be debited several times.")</f>
        <v>The price suits me for the moment. But I do not understand why there is a signature request for SEPA if the payment is annual. I hope not to be debited several times.</v>
      </c>
    </row>
    <row r="129" ht="15.75" customHeight="1">
      <c r="A129" s="2">
        <v>5.0</v>
      </c>
      <c r="B129" s="2" t="s">
        <v>461</v>
      </c>
      <c r="C129" s="2" t="s">
        <v>462</v>
      </c>
      <c r="D129" s="2" t="s">
        <v>28</v>
      </c>
      <c r="E129" s="2" t="s">
        <v>14</v>
      </c>
      <c r="F129" s="2" t="s">
        <v>15</v>
      </c>
      <c r="G129" s="2" t="s">
        <v>395</v>
      </c>
      <c r="H129" s="2" t="s">
        <v>29</v>
      </c>
      <c r="I129" s="3" t="str">
        <f>IFERROR(__xludf.DUMMYFUNCTION("GOOGLETRANSLATE(C129,""fr"",""en"")"),"Very satisfied with the service and the reception it's been a long time since I am at the GMF I have all my contracts there and I do not intend to change insurer.")</f>
        <v>Very satisfied with the service and the reception it's been a long time since I am at the GMF I have all my contracts there and I do not intend to change insurer.</v>
      </c>
    </row>
    <row r="130" ht="15.75" customHeight="1">
      <c r="A130" s="2">
        <v>4.0</v>
      </c>
      <c r="B130" s="2" t="s">
        <v>463</v>
      </c>
      <c r="C130" s="2" t="s">
        <v>464</v>
      </c>
      <c r="D130" s="2" t="s">
        <v>135</v>
      </c>
      <c r="E130" s="2" t="s">
        <v>44</v>
      </c>
      <c r="F130" s="2" t="s">
        <v>15</v>
      </c>
      <c r="G130" s="2" t="s">
        <v>45</v>
      </c>
      <c r="H130" s="2" t="s">
        <v>25</v>
      </c>
      <c r="I130" s="3" t="str">
        <f>IFERROR(__xludf.DUMMYFUNCTION("GOOGLETRANSLATE(C130,""fr"",""en"")"),"I thank Lamia for having been listening and answered all my questions. Very welcome and very pleasant, responsive and available and professional")</f>
        <v>I thank Lamia for having been listening and answered all my questions. Very welcome and very pleasant, responsive and available and professional</v>
      </c>
    </row>
    <row r="131" ht="15.75" customHeight="1">
      <c r="A131" s="2">
        <v>2.0</v>
      </c>
      <c r="B131" s="2" t="s">
        <v>465</v>
      </c>
      <c r="C131" s="2" t="s">
        <v>466</v>
      </c>
      <c r="D131" s="2" t="s">
        <v>58</v>
      </c>
      <c r="E131" s="2" t="s">
        <v>44</v>
      </c>
      <c r="F131" s="2" t="s">
        <v>15</v>
      </c>
      <c r="G131" s="2" t="s">
        <v>467</v>
      </c>
      <c r="H131" s="2" t="s">
        <v>468</v>
      </c>
      <c r="I131" s="3" t="str">
        <f>IFERROR(__xludf.DUMMYFUNCTION("GOOGLETRANSLATE(C131,""fr"",""en"")"),"Polis strong televisional teleconsillers and that's good because they must be called often: they brighten up mails.")</f>
        <v>Polis strong televisional teleconsillers and that's good because they must be called often: they brighten up mails.</v>
      </c>
    </row>
    <row r="132" ht="15.75" customHeight="1">
      <c r="A132" s="2">
        <v>3.0</v>
      </c>
      <c r="B132" s="2" t="s">
        <v>469</v>
      </c>
      <c r="C132" s="2" t="s">
        <v>470</v>
      </c>
      <c r="D132" s="2" t="s">
        <v>102</v>
      </c>
      <c r="E132" s="2" t="s">
        <v>14</v>
      </c>
      <c r="F132" s="2" t="s">
        <v>15</v>
      </c>
      <c r="G132" s="2" t="s">
        <v>471</v>
      </c>
      <c r="H132" s="2" t="s">
        <v>472</v>
      </c>
      <c r="I132" s="3" t="str">
        <f>IFERROR(__xludf.DUMMYFUNCTION("GOOGLETRANSLATE(C132,""fr"",""en"")"),"I will have it, I will have it, that they say.
They had ..............................................
.................................................. ............
.................................................. .................
..............."&amp;"...................")</f>
        <v>I will have it, I will have it, that they say.
They had ..............................................
.................................................. ............
.................................................. .................
..................................</v>
      </c>
    </row>
    <row r="133" ht="15.75" customHeight="1">
      <c r="A133" s="2">
        <v>1.0</v>
      </c>
      <c r="B133" s="2" t="s">
        <v>473</v>
      </c>
      <c r="C133" s="2" t="s">
        <v>474</v>
      </c>
      <c r="D133" s="2" t="s">
        <v>475</v>
      </c>
      <c r="E133" s="2" t="s">
        <v>242</v>
      </c>
      <c r="F133" s="2" t="s">
        <v>15</v>
      </c>
      <c r="G133" s="2" t="s">
        <v>476</v>
      </c>
      <c r="H133" s="2" t="s">
        <v>477</v>
      </c>
      <c r="I133" s="3" t="str">
        <f>IFERROR(__xludf.DUMMYFUNCTION("GOOGLETRANSLATE(C133,""fr"",""en"")"),"For 3 years at home for borrower insurance. No return from them despite several emails and 1 registered letter. By cons they know my address well to send me the contribution call. Avoid at all costs.")</f>
        <v>For 3 years at home for borrower insurance. No return from them despite several emails and 1 registered letter. By cons they know my address well to send me the contribution call. Avoid at all costs.</v>
      </c>
    </row>
    <row r="134" ht="15.75" customHeight="1">
      <c r="A134" s="2">
        <v>5.0</v>
      </c>
      <c r="B134" s="2" t="s">
        <v>478</v>
      </c>
      <c r="C134" s="2" t="s">
        <v>479</v>
      </c>
      <c r="D134" s="2" t="s">
        <v>116</v>
      </c>
      <c r="E134" s="2" t="s">
        <v>14</v>
      </c>
      <c r="F134" s="2" t="s">
        <v>15</v>
      </c>
      <c r="G134" s="2" t="s">
        <v>480</v>
      </c>
      <c r="H134" s="2" t="s">
        <v>305</v>
      </c>
      <c r="I134" s="3" t="str">
        <f>IFERROR(__xludf.DUMMYFUNCTION("GOOGLETRANSLATE(C134,""fr"",""en"")"),"Active Assurances takes care of everything to terminate my old insurance and the subscription is made quickly on the internet. Everything is nickel, in addition the prices are low. I am satisfied, it was very")</f>
        <v>Active Assurances takes care of everything to terminate my old insurance and the subscription is made quickly on the internet. Everything is nickel, in addition the prices are low. I am satisfied, it was very</v>
      </c>
    </row>
    <row r="135" ht="15.75" customHeight="1">
      <c r="A135" s="2">
        <v>3.0</v>
      </c>
      <c r="B135" s="2" t="s">
        <v>481</v>
      </c>
      <c r="C135" s="2" t="s">
        <v>482</v>
      </c>
      <c r="D135" s="2" t="s">
        <v>48</v>
      </c>
      <c r="E135" s="2" t="s">
        <v>14</v>
      </c>
      <c r="F135" s="2" t="s">
        <v>15</v>
      </c>
      <c r="G135" s="2" t="s">
        <v>457</v>
      </c>
      <c r="H135" s="2" t="s">
        <v>67</v>
      </c>
      <c r="I135" s="3" t="str">
        <f>IFERROR(__xludf.DUMMYFUNCTION("GOOGLETRANSLATE(C135,""fr"",""en"")"),"I am satisfied with the service, the price unfortunately I have been forced to make several complaints to have satisfied this year, and the amounts that I paid in addition in the previous years !!!! Thank you for an answer.")</f>
        <v>I am satisfied with the service, the price unfortunately I have been forced to make several complaints to have satisfied this year, and the amounts that I paid in addition in the previous years !!!! Thank you for an answer.</v>
      </c>
    </row>
    <row r="136" ht="15.75" customHeight="1">
      <c r="A136" s="2">
        <v>1.0</v>
      </c>
      <c r="B136" s="2" t="s">
        <v>483</v>
      </c>
      <c r="C136" s="2" t="s">
        <v>484</v>
      </c>
      <c r="D136" s="2" t="s">
        <v>48</v>
      </c>
      <c r="E136" s="2" t="s">
        <v>14</v>
      </c>
      <c r="F136" s="2" t="s">
        <v>15</v>
      </c>
      <c r="G136" s="2" t="s">
        <v>29</v>
      </c>
      <c r="H136" s="2" t="s">
        <v>29</v>
      </c>
      <c r="I136" s="3" t="str">
        <f>IFERROR(__xludf.DUMMYFUNCTION("GOOGLETRANSLATE(C136,""fr"",""en"")"),"I was called yesterday by this company with whom I am not insured to make myself guilty of an accident for which I am not even responsible !!!! I was guilty of complicity, offense of flight and so on, the funniest thing is that it is on an accident in Par"&amp;"is but I live next to Brest !!!!! A SHAME !!!!! Never to the greatest ever I will ensure myself at home !!!!!")</f>
        <v>I was called yesterday by this company with whom I am not insured to make myself guilty of an accident for which I am not even responsible !!!! I was guilty of complicity, offense of flight and so on, the funniest thing is that it is on an accident in Paris but I live next to Brest !!!!! A SHAME !!!!! Never to the greatest ever I will ensure myself at home !!!!!</v>
      </c>
    </row>
    <row r="137" ht="15.75" customHeight="1">
      <c r="A137" s="2">
        <v>5.0</v>
      </c>
      <c r="B137" s="2" t="s">
        <v>485</v>
      </c>
      <c r="C137" s="2" t="s">
        <v>486</v>
      </c>
      <c r="D137" s="2" t="s">
        <v>48</v>
      </c>
      <c r="E137" s="2" t="s">
        <v>14</v>
      </c>
      <c r="F137" s="2" t="s">
        <v>15</v>
      </c>
      <c r="G137" s="2" t="s">
        <v>487</v>
      </c>
      <c r="H137" s="2" t="s">
        <v>29</v>
      </c>
      <c r="I137" s="3" t="str">
        <f>IFERROR(__xludf.DUMMYFUNCTION("GOOGLETRANSLATE(C137,""fr"",""en"")"),"Very fast and efficient, I highly recommend. Above all, do not hesitate to subscribe, you will see, you will not be disappointed. I will not hesitate to recommend those around me")</f>
        <v>Very fast and efficient, I highly recommend. Above all, do not hesitate to subscribe, you will see, you will not be disappointed. I will not hesitate to recommend those around me</v>
      </c>
    </row>
    <row r="138" ht="15.75" customHeight="1">
      <c r="A138" s="2">
        <v>4.0</v>
      </c>
      <c r="B138" s="2" t="s">
        <v>488</v>
      </c>
      <c r="C138" s="2" t="s">
        <v>489</v>
      </c>
      <c r="D138" s="2" t="s">
        <v>126</v>
      </c>
      <c r="E138" s="2" t="s">
        <v>127</v>
      </c>
      <c r="F138" s="2" t="s">
        <v>15</v>
      </c>
      <c r="G138" s="2" t="s">
        <v>490</v>
      </c>
      <c r="H138" s="2" t="s">
        <v>25</v>
      </c>
      <c r="I138" s="3" t="str">
        <f>IFERROR(__xludf.DUMMYFUNCTION("GOOGLETRANSLATE(C138,""fr"",""en"")"),"Satisfied to have found insurance that wants to ensure young drivers at relatively reasonable prices. Happy driver. Thank you so much.
")</f>
        <v>Satisfied to have found insurance that wants to ensure young drivers at relatively reasonable prices. Happy driver. Thank you so much.
</v>
      </c>
    </row>
    <row r="139" ht="15.75" customHeight="1">
      <c r="A139" s="2">
        <v>1.0</v>
      </c>
      <c r="B139" s="2" t="s">
        <v>491</v>
      </c>
      <c r="C139" s="2" t="s">
        <v>492</v>
      </c>
      <c r="D139" s="2" t="s">
        <v>58</v>
      </c>
      <c r="E139" s="2" t="s">
        <v>44</v>
      </c>
      <c r="F139" s="2" t="s">
        <v>15</v>
      </c>
      <c r="G139" s="2" t="s">
        <v>493</v>
      </c>
      <c r="H139" s="2" t="s">
        <v>60</v>
      </c>
      <c r="I139" s="3" t="str">
        <f>IFERROR(__xludf.DUMMYFUNCTION("GOOGLETRANSLATE(C139,""fr"",""en"")"),"Fortunately, the mutual banking revocation has flew !!! I did a year not two hung up on the nose contradict each other suddenly understand nothing unscrupulous we have the impression of having a deaf dialogue")</f>
        <v>Fortunately, the mutual banking revocation has flew !!! I did a year not two hung up on the nose contradict each other suddenly understand nothing unscrupulous we have the impression of having a deaf dialogue</v>
      </c>
    </row>
    <row r="140" ht="15.75" customHeight="1">
      <c r="A140" s="2">
        <v>1.0</v>
      </c>
      <c r="B140" s="2" t="s">
        <v>494</v>
      </c>
      <c r="C140" s="2" t="s">
        <v>495</v>
      </c>
      <c r="D140" s="2" t="s">
        <v>43</v>
      </c>
      <c r="E140" s="2" t="s">
        <v>44</v>
      </c>
      <c r="F140" s="2" t="s">
        <v>15</v>
      </c>
      <c r="G140" s="2" t="s">
        <v>496</v>
      </c>
      <c r="H140" s="2" t="s">
        <v>497</v>
      </c>
      <c r="I140" s="3" t="str">
        <f>IFERROR(__xludf.DUMMYFUNCTION("GOOGLETRANSLATE(C140,""fr"",""en"")"),"I'm lucky this year, mutuals have committed to the request of Mr. Macron's government to moderate their price increase for 2019, Cegema understood the message it only increases these prices by 10%.
This mutual is to be avoided.")</f>
        <v>I'm lucky this year, mutuals have committed to the request of Mr. Macron's government to moderate their price increase for 2019, Cegema understood the message it only increases these prices by 10%.
This mutual is to be avoided.</v>
      </c>
    </row>
    <row r="141" ht="15.75" customHeight="1">
      <c r="A141" s="2">
        <v>2.0</v>
      </c>
      <c r="B141" s="2" t="s">
        <v>498</v>
      </c>
      <c r="C141" s="2" t="s">
        <v>499</v>
      </c>
      <c r="D141" s="2" t="s">
        <v>176</v>
      </c>
      <c r="E141" s="2" t="s">
        <v>14</v>
      </c>
      <c r="F141" s="2" t="s">
        <v>15</v>
      </c>
      <c r="G141" s="2" t="s">
        <v>500</v>
      </c>
      <c r="H141" s="2" t="s">
        <v>501</v>
      </c>
      <c r="I141" s="3" t="str">
        <f>IFERROR(__xludf.DUMMYFUNCTION("GOOGLETRANSLATE(C141,""fr"",""en"")"),"Dissuasive experience during a first subscription: presumption of false declaration concerning the seniority of the bonus of 50 % despite the information statement of the previous insurer, very unpleasant impression (I spare you the story of my adventures"&amp;") and above all no confidence s 'There had to be a disaster. So I will not stay beyond the first year.")</f>
        <v>Dissuasive experience during a first subscription: presumption of false declaration concerning the seniority of the bonus of 50 % despite the information statement of the previous insurer, very unpleasant impression (I spare you the story of my adventures) and above all no confidence s 'There had to be a disaster. So I will not stay beyond the first year.</v>
      </c>
    </row>
    <row r="142" ht="15.75" customHeight="1">
      <c r="A142" s="2">
        <v>3.0</v>
      </c>
      <c r="B142" s="2" t="s">
        <v>502</v>
      </c>
      <c r="C142" s="2" t="s">
        <v>503</v>
      </c>
      <c r="D142" s="2" t="s">
        <v>372</v>
      </c>
      <c r="E142" s="2" t="s">
        <v>127</v>
      </c>
      <c r="F142" s="2" t="s">
        <v>15</v>
      </c>
      <c r="G142" s="2" t="s">
        <v>504</v>
      </c>
      <c r="H142" s="2" t="s">
        <v>392</v>
      </c>
      <c r="I142" s="3" t="str">
        <f>IFERROR(__xludf.DUMMYFUNCTION("GOOGLETRANSLATE(C142,""fr"",""en"")"),"Insurer itself is very good and very responsive on the other hand with regard to the expert cabinet Pierre and really to avoid I will also ask tomorrow another expert after having been mowed by a young woman who has toast a stop in scooter I Find me with "&amp;"my R6 all unearthed but repairable however to drag the file this expert is unreachable the emails you receive are of course sending the offices after the minute to the nearest minute so again impossible to reach them having had a brake disc Before veiled "&amp;"this one refuses to take the second however he changes by pair the two very conscientious garages tomorrow security tells me that he will not intervene on my motorcycle without making it healthy I am however in any risk all options and I do not Am not res"&amp;"ponsible for the accident but given the opinions of this expert on Google I am now convinced that he is looking for the little beast I will therefore ask for a counter expertise The reference of the expert in question 21906142 I wonder why he asks me the "&amp;"same documents and document at each email")</f>
        <v>Insurer itself is very good and very responsive on the other hand with regard to the expert cabinet Pierre and really to avoid I will also ask tomorrow another expert after having been mowed by a young woman who has toast a stop in scooter I Find me with my R6 all unearthed but repairable however to drag the file this expert is unreachable the emails you receive are of course sending the offices after the minute to the nearest minute so again impossible to reach them having had a brake disc Before veiled this one refuses to take the second however he changes by pair the two very conscientious garages tomorrow security tells me that he will not intervene on my motorcycle without making it healthy I am however in any risk all options and I do not Am not responsible for the accident but given the opinions of this expert on Google I am now convinced that he is looking for the little beast I will therefore ask for a counter expertise The reference of the expert in question 21906142 I wonder why he asks me the same documents and document at each email</v>
      </c>
    </row>
    <row r="143" ht="15.75" customHeight="1">
      <c r="A143" s="2">
        <v>4.0</v>
      </c>
      <c r="B143" s="2" t="s">
        <v>505</v>
      </c>
      <c r="C143" s="2" t="s">
        <v>506</v>
      </c>
      <c r="D143" s="2" t="s">
        <v>126</v>
      </c>
      <c r="E143" s="2" t="s">
        <v>127</v>
      </c>
      <c r="F143" s="2" t="s">
        <v>15</v>
      </c>
      <c r="G143" s="2" t="s">
        <v>88</v>
      </c>
      <c r="H143" s="2" t="s">
        <v>89</v>
      </c>
      <c r="I143" s="3" t="str">
        <f>IFERROR(__xludf.DUMMYFUNCTION("GOOGLETRANSLATE(C143,""fr"",""en"")"),"The prices are correct and I did not have any problems with them so I cannot speak about disputes or accidents. Internet access is rather effective.")</f>
        <v>The prices are correct and I did not have any problems with them so I cannot speak about disputes or accidents. Internet access is rather effective.</v>
      </c>
    </row>
    <row r="144" ht="15.75" customHeight="1">
      <c r="A144" s="2">
        <v>4.0</v>
      </c>
      <c r="B144" s="2" t="s">
        <v>507</v>
      </c>
      <c r="C144" s="2" t="s">
        <v>508</v>
      </c>
      <c r="D144" s="2" t="s">
        <v>48</v>
      </c>
      <c r="E144" s="2" t="s">
        <v>14</v>
      </c>
      <c r="F144" s="2" t="s">
        <v>15</v>
      </c>
      <c r="G144" s="2" t="s">
        <v>509</v>
      </c>
      <c r="H144" s="2" t="s">
        <v>89</v>
      </c>
      <c r="I144" s="3" t="str">
        <f>IFERROR(__xludf.DUMMYFUNCTION("GOOGLETRANSLATE(C144,""fr"",""en"")"),"I don't really have a comment, this is my first car and therefore my first insurance contract, I am not able to give a concrete opinion, but at the price level")</f>
        <v>I don't really have a comment, this is my first car and therefore my first insurance contract, I am not able to give a concrete opinion, but at the price level</v>
      </c>
    </row>
    <row r="145" ht="15.75" customHeight="1">
      <c r="A145" s="2">
        <v>5.0</v>
      </c>
      <c r="B145" s="2" t="s">
        <v>510</v>
      </c>
      <c r="C145" s="2" t="s">
        <v>511</v>
      </c>
      <c r="D145" s="2" t="s">
        <v>48</v>
      </c>
      <c r="E145" s="2" t="s">
        <v>14</v>
      </c>
      <c r="F145" s="2" t="s">
        <v>15</v>
      </c>
      <c r="G145" s="2" t="s">
        <v>512</v>
      </c>
      <c r="H145" s="2" t="s">
        <v>89</v>
      </c>
      <c r="I145" s="3" t="str">
        <f>IFERROR(__xludf.DUMMYFUNCTION("GOOGLETRANSLATE(C145,""fr"",""en"")"),"Very satisfactory service, very kind and competent person.
The prices are correct compared to our current insurance
to be seen in the long term if we need assistance or other
")</f>
        <v>Very satisfactory service, very kind and competent person.
The prices are correct compared to our current insurance
to be seen in the long term if we need assistance or other
</v>
      </c>
    </row>
    <row r="146" ht="15.75" customHeight="1">
      <c r="A146" s="2">
        <v>4.0</v>
      </c>
      <c r="B146" s="2" t="s">
        <v>513</v>
      </c>
      <c r="C146" s="2" t="s">
        <v>514</v>
      </c>
      <c r="D146" s="2" t="s">
        <v>48</v>
      </c>
      <c r="E146" s="2" t="s">
        <v>14</v>
      </c>
      <c r="F146" s="2" t="s">
        <v>15</v>
      </c>
      <c r="G146" s="2" t="s">
        <v>225</v>
      </c>
      <c r="H146" s="2" t="s">
        <v>29</v>
      </c>
      <c r="I146" s="3" t="str">
        <f>IFERROR(__xludf.DUMMYFUNCTION("GOOGLETRANSLATE(C146,""fr"",""en"")"),"The prices are satisfactory and I had a good experience in the past. To see now for this recent vehicle. If the service has remained of quality ...")</f>
        <v>The prices are satisfactory and I had a good experience in the past. To see now for this recent vehicle. If the service has remained of quality ...</v>
      </c>
    </row>
    <row r="147" ht="15.75" customHeight="1">
      <c r="A147" s="2">
        <v>3.0</v>
      </c>
      <c r="B147" s="2" t="s">
        <v>515</v>
      </c>
      <c r="C147" s="2" t="s">
        <v>516</v>
      </c>
      <c r="D147" s="2" t="s">
        <v>28</v>
      </c>
      <c r="E147" s="2" t="s">
        <v>14</v>
      </c>
      <c r="F147" s="2" t="s">
        <v>15</v>
      </c>
      <c r="G147" s="2" t="s">
        <v>517</v>
      </c>
      <c r="H147" s="2" t="s">
        <v>89</v>
      </c>
      <c r="I147" s="3" t="str">
        <f>IFERROR(__xludf.DUMMYFUNCTION("GOOGLETRANSLATE(C147,""fr"",""en"")"),"More flexibility
I certify being insured with the company for which I have submitted an opinion and attests not to work in a company in the insurance sector (insurance broker, insurance agent and general insurance agent).")</f>
        <v>More flexibility
I certify being insured with the company for which I have submitted an opinion and attests not to work in a company in the insurance sector (insurance broker, insurance agent and general insurance agent).</v>
      </c>
    </row>
    <row r="148" ht="15.75" customHeight="1">
      <c r="A148" s="2">
        <v>1.0</v>
      </c>
      <c r="B148" s="2" t="s">
        <v>518</v>
      </c>
      <c r="C148" s="2" t="s">
        <v>519</v>
      </c>
      <c r="D148" s="2" t="s">
        <v>334</v>
      </c>
      <c r="E148" s="2" t="s">
        <v>33</v>
      </c>
      <c r="F148" s="2" t="s">
        <v>15</v>
      </c>
      <c r="G148" s="2" t="s">
        <v>520</v>
      </c>
      <c r="H148" s="2" t="s">
        <v>231</v>
      </c>
      <c r="I148" s="3" t="str">
        <f>IFERROR(__xludf.DUMMYFUNCTION("GOOGLETRANSLATE(C148,""fr"",""en"")"),"Detestable welcome, no hello but reflections: ""Since you provide a RIB is that you do not intend to replace money at home"" etc. When you just lost a loved one you don't want to hear this kind of cowry. The documents were provided in July and the funds a"&amp;"re still not paid unlike the contracts subscribed elsewhere. In addition, a mother who died in mid-June continues to receive invitation letters for evenings in November. Excellent follow -up of files and what delicacy! AFER to flee.")</f>
        <v>Detestable welcome, no hello but reflections: "Since you provide a RIB is that you do not intend to replace money at home" etc. When you just lost a loved one you don't want to hear this kind of cowry. The documents were provided in July and the funds are still not paid unlike the contracts subscribed elsewhere. In addition, a mother who died in mid-June continues to receive invitation letters for evenings in November. Excellent follow -up of files and what delicacy! AFER to flee.</v>
      </c>
    </row>
    <row r="149" ht="15.75" customHeight="1">
      <c r="A149" s="2">
        <v>2.0</v>
      </c>
      <c r="B149" s="2" t="s">
        <v>521</v>
      </c>
      <c r="C149" s="2" t="s">
        <v>522</v>
      </c>
      <c r="D149" s="2" t="s">
        <v>48</v>
      </c>
      <c r="E149" s="2" t="s">
        <v>14</v>
      </c>
      <c r="F149" s="2" t="s">
        <v>15</v>
      </c>
      <c r="G149" s="2" t="s">
        <v>523</v>
      </c>
      <c r="H149" s="2" t="s">
        <v>89</v>
      </c>
      <c r="I149" s="3" t="str">
        <f>IFERROR(__xludf.DUMMYFUNCTION("GOOGLETRANSLATE(C149,""fr"",""en"")"),"I am satisfied and delighted
The price suits me
Simple and quick, thank you
Simple and simple, simple and quick simple and quick
Simple and fast")</f>
        <v>I am satisfied and delighted
The price suits me
Simple and quick, thank you
Simple and simple, simple and quick simple and quick
Simple and fast</v>
      </c>
    </row>
    <row r="150" ht="15.75" customHeight="1">
      <c r="A150" s="2">
        <v>1.0</v>
      </c>
      <c r="B150" s="2" t="s">
        <v>524</v>
      </c>
      <c r="C150" s="2" t="s">
        <v>525</v>
      </c>
      <c r="D150" s="2" t="s">
        <v>334</v>
      </c>
      <c r="E150" s="2" t="s">
        <v>33</v>
      </c>
      <c r="F150" s="2" t="s">
        <v>15</v>
      </c>
      <c r="G150" s="2" t="s">
        <v>526</v>
      </c>
      <c r="H150" s="2" t="s">
        <v>60</v>
      </c>
      <c r="I150" s="3" t="str">
        <f>IFERROR(__xludf.DUMMYFUNCTION("GOOGLETRANSLATE(C150,""fr"",""en"")"),"Following DC in July 2019, no regulations to date despite sending all documents (requested on several occasions).
Customer service inaccessible by phone.
Local AFER corresponding helpless and cut off from any communication with central services.
I laun"&amp;"ch a report from the ACPR and request an intervention from a consumer defense association (UFC Quechoisir)")</f>
        <v>Following DC in July 2019, no regulations to date despite sending all documents (requested on several occasions).
Customer service inaccessible by phone.
Local AFER corresponding helpless and cut off from any communication with central services.
I launch a report from the ACPR and request an intervention from a consumer defense association (UFC Quechoisir)</v>
      </c>
    </row>
    <row r="151" ht="15.75" customHeight="1">
      <c r="A151" s="2">
        <v>3.0</v>
      </c>
      <c r="B151" s="2" t="s">
        <v>527</v>
      </c>
      <c r="C151" s="2" t="s">
        <v>528</v>
      </c>
      <c r="D151" s="2" t="s">
        <v>28</v>
      </c>
      <c r="E151" s="2" t="s">
        <v>14</v>
      </c>
      <c r="F151" s="2" t="s">
        <v>15</v>
      </c>
      <c r="G151" s="2" t="s">
        <v>517</v>
      </c>
      <c r="H151" s="2" t="s">
        <v>89</v>
      </c>
      <c r="I151" s="3" t="str">
        <f>IFERROR(__xludf.DUMMYFUNCTION("GOOGLETRANSLATE(C151,""fr"",""en"")"),"I was very disappointed during the replacement of my previous car (following an accident that I had not caused) which was ""economically not repairable"", of an expert who sought the site where the comparable cars were the cheaper (leboncoin) in order to "&amp;"offer a lower repurchase than the argus coast of my car
It's very disappointing")</f>
        <v>I was very disappointed during the replacement of my previous car (following an accident that I had not caused) which was "economically not repairable", of an expert who sought the site where the comparable cars were the cheaper (leboncoin) in order to offer a lower repurchase than the argus coast of my car
It's very disappointing</v>
      </c>
    </row>
    <row r="152" ht="15.75" customHeight="1">
      <c r="A152" s="2">
        <v>2.0</v>
      </c>
      <c r="B152" s="2" t="s">
        <v>529</v>
      </c>
      <c r="C152" s="2" t="s">
        <v>530</v>
      </c>
      <c r="D152" s="2" t="s">
        <v>28</v>
      </c>
      <c r="E152" s="2" t="s">
        <v>14</v>
      </c>
      <c r="F152" s="2" t="s">
        <v>15</v>
      </c>
      <c r="G152" s="2" t="s">
        <v>531</v>
      </c>
      <c r="H152" s="2" t="s">
        <v>21</v>
      </c>
      <c r="I152" s="3" t="str">
        <f>IFERROR(__xludf.DUMMYFUNCTION("GOOGLETRANSLATE(C152,""fr"",""en"")"),"My car insurance increased by 12% unlike the GMF announcement not to increase their price for 2021.
Reason invoked: several accidents in recent years
 Precision: These accidents did not engage my responsibility.
In other words: not guilty but punished."&amp;" Bravo the GMF in which I was insured for over 40 years")</f>
        <v>My car insurance increased by 12% unlike the GMF announcement not to increase their price for 2021.
Reason invoked: several accidents in recent years
 Precision: These accidents did not engage my responsibility.
In other words: not guilty but punished. Bravo the GMF in which I was insured for over 40 years</v>
      </c>
    </row>
    <row r="153" ht="15.75" customHeight="1">
      <c r="A153" s="2">
        <v>1.0</v>
      </c>
      <c r="B153" s="2" t="s">
        <v>532</v>
      </c>
      <c r="C153" s="2" t="s">
        <v>533</v>
      </c>
      <c r="D153" s="2" t="s">
        <v>28</v>
      </c>
      <c r="E153" s="2" t="s">
        <v>14</v>
      </c>
      <c r="F153" s="2" t="s">
        <v>15</v>
      </c>
      <c r="G153" s="2" t="s">
        <v>534</v>
      </c>
      <c r="H153" s="2" t="s">
        <v>535</v>
      </c>
      <c r="I153" s="3" t="str">
        <f>IFERROR(__xludf.DUMMYFUNCTION("GOOGLETRANSLATE(C153,""fr"",""en"")"),"Too many different interlocutors as soon as there is a problem. Lengths and poor welcome when the levels of responsibility increases.")</f>
        <v>Too many different interlocutors as soon as there is a problem. Lengths and poor welcome when the levels of responsibility increases.</v>
      </c>
    </row>
    <row r="154" ht="15.75" customHeight="1">
      <c r="A154" s="2">
        <v>5.0</v>
      </c>
      <c r="B154" s="2" t="s">
        <v>536</v>
      </c>
      <c r="C154" s="2" t="s">
        <v>537</v>
      </c>
      <c r="D154" s="2" t="s">
        <v>538</v>
      </c>
      <c r="E154" s="2" t="s">
        <v>38</v>
      </c>
      <c r="F154" s="2" t="s">
        <v>15</v>
      </c>
      <c r="G154" s="2" t="s">
        <v>539</v>
      </c>
      <c r="H154" s="2" t="s">
        <v>55</v>
      </c>
      <c r="I154" s="3" t="str">
        <f>IFERROR(__xludf.DUMMYFUNCTION("GOOGLETRANSLATE(C154,""fr"",""en"")"),"Very satisfied at all levels:
 - reasonable price given the many services
- Staff always pleasant and available at Tekepyou on the Twitter site.
- Great efficiency and staff experience")</f>
        <v>Very satisfied at all levels:
 - reasonable price given the many services
- Staff always pleasant and available at Tekepyou on the Twitter site.
- Great efficiency and staff experience</v>
      </c>
    </row>
    <row r="155" ht="15.75" customHeight="1">
      <c r="A155" s="2">
        <v>4.0</v>
      </c>
      <c r="B155" s="2" t="s">
        <v>540</v>
      </c>
      <c r="C155" s="2" t="s">
        <v>541</v>
      </c>
      <c r="D155" s="2" t="s">
        <v>48</v>
      </c>
      <c r="E155" s="2" t="s">
        <v>14</v>
      </c>
      <c r="F155" s="2" t="s">
        <v>15</v>
      </c>
      <c r="G155" s="2" t="s">
        <v>542</v>
      </c>
      <c r="H155" s="2" t="s">
        <v>89</v>
      </c>
      <c r="I155" s="3" t="str">
        <f>IFERROR(__xludf.DUMMYFUNCTION("GOOGLETRANSLATE(C155,""fr"",""en"")"),"I am satisfied with the service. Thank you very much for the service
I am a loyal customer while waiting for a gesture on your part, the Clio V was expensive but for the Opel the price suits me perfectly.
")</f>
        <v>I am satisfied with the service. Thank you very much for the service
I am a loyal customer while waiting for a gesture on your part, the Clio V was expensive but for the Opel the price suits me perfectly.
</v>
      </c>
    </row>
    <row r="156" ht="15.75" customHeight="1">
      <c r="A156" s="2">
        <v>4.0</v>
      </c>
      <c r="B156" s="2" t="s">
        <v>543</v>
      </c>
      <c r="C156" s="2" t="s">
        <v>544</v>
      </c>
      <c r="D156" s="2" t="s">
        <v>13</v>
      </c>
      <c r="E156" s="2" t="s">
        <v>14</v>
      </c>
      <c r="F156" s="2" t="s">
        <v>15</v>
      </c>
      <c r="G156" s="2" t="s">
        <v>545</v>
      </c>
      <c r="H156" s="2" t="s">
        <v>247</v>
      </c>
      <c r="I156" s="3" t="str">
        <f>IFERROR(__xludf.DUMMYFUNCTION("GOOGLETRANSLATE(C156,""fr"",""en"")"),"Very satisfied with the service offered.
Thank you to all the employees with whom I exchanged, I will not fail to recommend the olive tree with my entourage")</f>
        <v>Very satisfied with the service offered.
Thank you to all the employees with whom I exchanged, I will not fail to recommend the olive tree with my entourage</v>
      </c>
    </row>
    <row r="157" ht="15.75" customHeight="1">
      <c r="A157" s="2">
        <v>1.0</v>
      </c>
      <c r="B157" s="2" t="s">
        <v>546</v>
      </c>
      <c r="C157" s="2" t="s">
        <v>547</v>
      </c>
      <c r="D157" s="2" t="s">
        <v>83</v>
      </c>
      <c r="E157" s="2" t="s">
        <v>14</v>
      </c>
      <c r="F157" s="2" t="s">
        <v>15</v>
      </c>
      <c r="G157" s="2" t="s">
        <v>548</v>
      </c>
      <c r="H157" s="2" t="s">
        <v>123</v>
      </c>
      <c r="I157" s="3" t="str">
        <f>IFERROR(__xludf.DUMMYFUNCTION("GOOGLETRANSLATE(C157,""fr"",""en"")"),"I left the Matmut (after 30 years at home) in 2012 because I left abroad. In 2018 back in France and I contact the Matmut to make sure again, a Dacia Stepway in tourism always thinking of my 50% bonuses. The Matmut did not want to resume my bonus even by "&amp;"providing him with the old insurance contract and offers me a tourist at 1090 euros on the pretext that I have been more assured for 5 years and that I was deleted from the Customer base. It is really infective behavior from Matmut and its customer servic"&amp;"e.
")</f>
        <v>I left the Matmut (after 30 years at home) in 2012 because I left abroad. In 2018 back in France and I contact the Matmut to make sure again, a Dacia Stepway in tourism always thinking of my 50% bonuses. The Matmut did not want to resume my bonus even by providing him with the old insurance contract and offers me a tourist at 1090 euros on the pretext that I have been more assured for 5 years and that I was deleted from the Customer base. It is really infective behavior from Matmut and its customer service.
</v>
      </c>
    </row>
    <row r="158" ht="15.75" customHeight="1">
      <c r="A158" s="2">
        <v>3.0</v>
      </c>
      <c r="B158" s="2" t="s">
        <v>549</v>
      </c>
      <c r="C158" s="2" t="s">
        <v>550</v>
      </c>
      <c r="D158" s="2" t="s">
        <v>13</v>
      </c>
      <c r="E158" s="2" t="s">
        <v>14</v>
      </c>
      <c r="F158" s="2" t="s">
        <v>15</v>
      </c>
      <c r="G158" s="2" t="s">
        <v>357</v>
      </c>
      <c r="H158" s="2" t="s">
        <v>21</v>
      </c>
      <c r="I158" s="3" t="str">
        <f>IFERROR(__xludf.DUMMYFUNCTION("GOOGLETRANSLATE(C158,""fr"",""en"")"),"I am satisfied with the price and the simplicity of management on the Internet, the only negative point is the big price difference when you make a monthly payment")</f>
        <v>I am satisfied with the price and the simplicity of management on the Internet, the only negative point is the big price difference when you make a monthly payment</v>
      </c>
    </row>
    <row r="159" ht="15.75" customHeight="1">
      <c r="A159" s="2">
        <v>4.0</v>
      </c>
      <c r="B159" s="2" t="s">
        <v>551</v>
      </c>
      <c r="C159" s="2" t="s">
        <v>552</v>
      </c>
      <c r="D159" s="2" t="s">
        <v>13</v>
      </c>
      <c r="E159" s="2" t="s">
        <v>14</v>
      </c>
      <c r="F159" s="2" t="s">
        <v>15</v>
      </c>
      <c r="G159" s="2" t="s">
        <v>553</v>
      </c>
      <c r="H159" s="2" t="s">
        <v>29</v>
      </c>
      <c r="I159" s="3" t="str">
        <f>IFERROR(__xludf.DUMMYFUNCTION("GOOGLETRANSLATE(C159,""fr"",""en"")"),"Good reception of emails and courier good advice and courtesy. In addition everything is well managed and my satisfaction is total. A single problem had to make an amendment")</f>
        <v>Good reception of emails and courier good advice and courtesy. In addition everything is well managed and my satisfaction is total. A single problem had to make an amendment</v>
      </c>
    </row>
    <row r="160" ht="15.75" customHeight="1">
      <c r="A160" s="2">
        <v>2.0</v>
      </c>
      <c r="B160" s="2" t="s">
        <v>554</v>
      </c>
      <c r="C160" s="2" t="s">
        <v>555</v>
      </c>
      <c r="D160" s="2" t="s">
        <v>400</v>
      </c>
      <c r="E160" s="2" t="s">
        <v>285</v>
      </c>
      <c r="F160" s="2" t="s">
        <v>15</v>
      </c>
      <c r="G160" s="2" t="s">
        <v>123</v>
      </c>
      <c r="H160" s="2" t="s">
        <v>123</v>
      </c>
      <c r="I160" s="3" t="str">
        <f>IFERROR(__xludf.DUMMYFUNCTION("GOOGLETRANSLATE(C160,""fr"",""en"")"),"I am a recent client vandalism on my door badly informed by Pacifica and therefore not reimbursed")</f>
        <v>I am a recent client vandalism on my door badly informed by Pacifica and therefore not reimbursed</v>
      </c>
    </row>
    <row r="161" ht="15.75" customHeight="1">
      <c r="A161" s="2">
        <v>2.0</v>
      </c>
      <c r="B161" s="2" t="s">
        <v>556</v>
      </c>
      <c r="C161" s="2" t="s">
        <v>557</v>
      </c>
      <c r="D161" s="2" t="s">
        <v>228</v>
      </c>
      <c r="E161" s="2" t="s">
        <v>127</v>
      </c>
      <c r="F161" s="2" t="s">
        <v>15</v>
      </c>
      <c r="G161" s="2" t="s">
        <v>558</v>
      </c>
      <c r="H161" s="2" t="s">
        <v>189</v>
      </c>
      <c r="I161" s="3" t="str">
        <f>IFERROR(__xludf.DUMMYFUNCTION("GOOGLETRANSLATE(C161,""fr"",""en"")"),"Landy advertising, supposedly for 2 subscription to 75 euro insurance contract reimbursed, whip !!!
I called 4 times, spent 2 times in agency and always the same answer we will enter this headquarters ... And nothing, I sent 2 email to the agency and an "&amp;"email to customer service, not a response from them! So I imagine the day I need them for an accident ...")</f>
        <v>Landy advertising, supposedly for 2 subscription to 75 euro insurance contract reimbursed, whip !!!
I called 4 times, spent 2 times in agency and always the same answer we will enter this headquarters ... And nothing, I sent 2 email to the agency and an email to customer service, not a response from them! So I imagine the day I need them for an accident ...</v>
      </c>
    </row>
    <row r="162" ht="15.75" customHeight="1">
      <c r="A162" s="2">
        <v>2.0</v>
      </c>
      <c r="B162" s="2" t="s">
        <v>559</v>
      </c>
      <c r="C162" s="2" t="s">
        <v>560</v>
      </c>
      <c r="D162" s="2" t="s">
        <v>105</v>
      </c>
      <c r="E162" s="2" t="s">
        <v>38</v>
      </c>
      <c r="F162" s="2" t="s">
        <v>15</v>
      </c>
      <c r="G162" s="2" t="s">
        <v>561</v>
      </c>
      <c r="H162" s="2" t="s">
        <v>562</v>
      </c>
      <c r="I162" s="3" t="str">
        <f>IFERROR(__xludf.DUMMYFUNCTION("GOOGLETRANSLATE(C162,""fr"",""en"")"),"In invalidity category 2 since April 1, 2017, I am still waiting for my file to be processed. It is a shame to leave people in a disastrous financial situation when we are forced to contribute for the provident which does not serve that getting fat on the"&amp;" back of the weakest; There I am fed up that everyone takes the ball, that I am falling asleep with promises of imminent payment not held.")</f>
        <v>In invalidity category 2 since April 1, 2017, I am still waiting for my file to be processed. It is a shame to leave people in a disastrous financial situation when we are forced to contribute for the provident which does not serve that getting fat on the back of the weakest; There I am fed up that everyone takes the ball, that I am falling asleep with promises of imminent payment not held.</v>
      </c>
    </row>
    <row r="163" ht="15.75" customHeight="1">
      <c r="A163" s="2">
        <v>3.0</v>
      </c>
      <c r="B163" s="2" t="s">
        <v>563</v>
      </c>
      <c r="C163" s="2" t="s">
        <v>564</v>
      </c>
      <c r="D163" s="2" t="s">
        <v>48</v>
      </c>
      <c r="E163" s="2" t="s">
        <v>14</v>
      </c>
      <c r="F163" s="2" t="s">
        <v>15</v>
      </c>
      <c r="G163" s="2" t="s">
        <v>565</v>
      </c>
      <c r="H163" s="2" t="s">
        <v>67</v>
      </c>
      <c r="I163" s="3" t="str">
        <f>IFERROR(__xludf.DUMMYFUNCTION("GOOGLETRANSLATE(C163,""fr"",""en"")"),"The insurance subscription increases each year if 50% bonus and no hooking during the year.
I have been a loyal customer at home since obtaining my license (20 years) but I have never had a commercial gesture. very disappointing !!
")</f>
        <v>The insurance subscription increases each year if 50% bonus and no hooking during the year.
I have been a loyal customer at home since obtaining my license (20 years) but I have never had a commercial gesture. very disappointing !!
</v>
      </c>
    </row>
    <row r="164" ht="15.75" customHeight="1">
      <c r="A164" s="2">
        <v>1.0</v>
      </c>
      <c r="B164" s="2" t="s">
        <v>566</v>
      </c>
      <c r="C164" s="2" t="s">
        <v>567</v>
      </c>
      <c r="D164" s="2" t="s">
        <v>284</v>
      </c>
      <c r="E164" s="2" t="s">
        <v>285</v>
      </c>
      <c r="F164" s="2" t="s">
        <v>15</v>
      </c>
      <c r="G164" s="2" t="s">
        <v>568</v>
      </c>
      <c r="H164" s="2" t="s">
        <v>200</v>
      </c>
      <c r="I164" s="3" t="str">
        <f>IFERROR(__xludf.DUMMYFUNCTION("GOOGLETRANSLATE(C164,""fr"",""en"")"),"Following the sale of a service chamber, Sogessur canceled all my mom's contracts. When I noticed their error, I had to have the general conditions twice by a 90 -year -old lady. I received two letters informing me that in the absence of receipt of these "&amp;"general conditions, the contract would be terminated on a specified date. At the second sending, we considered that the new contracts had not been validated. What a surprise, on my mother's death to find that insurance had taken ""contributions"" and stil"&amp;"l had financial claims. Following a letter on my part, I was rotten on the phone by an ""advisor"", then another letter to claim proof that the goods had been guaranteed by another insurer. Of course SOGESSUR did not send any insurance certificate.")</f>
        <v>Following the sale of a service chamber, Sogessur canceled all my mom's contracts. When I noticed their error, I had to have the general conditions twice by a 90 -year -old lady. I received two letters informing me that in the absence of receipt of these general conditions, the contract would be terminated on a specified date. At the second sending, we considered that the new contracts had not been validated. What a surprise, on my mother's death to find that insurance had taken "contributions" and still had financial claims. Following a letter on my part, I was rotten on the phone by an "advisor", then another letter to claim proof that the goods had been guaranteed by another insurer. Of course SOGESSUR did not send any insurance certificate.</v>
      </c>
    </row>
    <row r="165" ht="15.75" customHeight="1">
      <c r="A165" s="2">
        <v>3.0</v>
      </c>
      <c r="B165" s="2" t="s">
        <v>569</v>
      </c>
      <c r="C165" s="2" t="s">
        <v>570</v>
      </c>
      <c r="D165" s="2" t="s">
        <v>48</v>
      </c>
      <c r="E165" s="2" t="s">
        <v>14</v>
      </c>
      <c r="F165" s="2" t="s">
        <v>15</v>
      </c>
      <c r="G165" s="2" t="s">
        <v>571</v>
      </c>
      <c r="H165" s="2" t="s">
        <v>50</v>
      </c>
      <c r="I165" s="3" t="str">
        <f>IFERROR(__xludf.DUMMYFUNCTION("GOOGLETRANSLATE(C165,""fr"",""en"")"),"Hello I put a reduction code with my customer number to have a free 2 months as indicated on your advertisement but I do not see them counting
")</f>
        <v>Hello I put a reduction code with my customer number to have a free 2 months as indicated on your advertisement but I do not see them counting
</v>
      </c>
    </row>
    <row r="166" ht="15.75" customHeight="1">
      <c r="A166" s="2">
        <v>1.0</v>
      </c>
      <c r="B166" s="2" t="s">
        <v>572</v>
      </c>
      <c r="C166" s="2" t="s">
        <v>573</v>
      </c>
      <c r="D166" s="2" t="s">
        <v>155</v>
      </c>
      <c r="E166" s="2" t="s">
        <v>14</v>
      </c>
      <c r="F166" s="2" t="s">
        <v>15</v>
      </c>
      <c r="G166" s="2" t="s">
        <v>574</v>
      </c>
      <c r="H166" s="2" t="s">
        <v>185</v>
      </c>
      <c r="I166" s="3" t="str">
        <f>IFERROR(__xludf.DUMMYFUNCTION("GOOGLETRANSLATE(C166,""fr"",""en"")"),"As already reported on this site, Allianz insurance is a big joke .... accident not responsible in March 2019 still not compensated for the slightest penny ....... Flee.!")</f>
        <v>As already reported on this site, Allianz insurance is a big joke .... accident not responsible in March 2019 still not compensated for the slightest penny ....... Flee.!</v>
      </c>
    </row>
    <row r="167" ht="15.75" customHeight="1">
      <c r="A167" s="2">
        <v>1.0</v>
      </c>
      <c r="B167" s="2" t="s">
        <v>575</v>
      </c>
      <c r="C167" s="2" t="s">
        <v>576</v>
      </c>
      <c r="D167" s="2" t="s">
        <v>577</v>
      </c>
      <c r="E167" s="2" t="s">
        <v>215</v>
      </c>
      <c r="F167" s="2" t="s">
        <v>15</v>
      </c>
      <c r="G167" s="2" t="s">
        <v>578</v>
      </c>
      <c r="H167" s="2" t="s">
        <v>60</v>
      </c>
      <c r="I167" s="3" t="str">
        <f>IFERROR(__xludf.DUMMYFUNCTION("GOOGLETRANSLATE(C167,""fr"",""en"")"),"Good insurance for young animals who do not need care, the more the animal ages the more it increases. owner of an eleven-year-old Newfoundland I go from 37 euros monthly to more than 60 damage that he has had health problems, advice run away")</f>
        <v>Good insurance for young animals who do not need care, the more the animal ages the more it increases. owner of an eleven-year-old Newfoundland I go from 37 euros monthly to more than 60 damage that he has had health problems, advice run away</v>
      </c>
    </row>
    <row r="168" ht="15.75" customHeight="1">
      <c r="A168" s="2">
        <v>1.0</v>
      </c>
      <c r="B168" s="2" t="s">
        <v>579</v>
      </c>
      <c r="C168" s="2" t="s">
        <v>580</v>
      </c>
      <c r="D168" s="2" t="s">
        <v>372</v>
      </c>
      <c r="E168" s="2" t="s">
        <v>127</v>
      </c>
      <c r="F168" s="2" t="s">
        <v>15</v>
      </c>
      <c r="G168" s="2" t="s">
        <v>308</v>
      </c>
      <c r="H168" s="2" t="s">
        <v>89</v>
      </c>
      <c r="I168" s="3" t="str">
        <f>IFERROR(__xludf.DUMMYFUNCTION("GOOGLETRANSLATE(C168,""fr"",""en"")"),"Easy subscription, obviously, excessive prices for the guarantees proposed, the payments of the first three deadlines is absurd, unfortunately, very little competition ... Hopefully the same requirements in return.")</f>
        <v>Easy subscription, obviously, excessive prices for the guarantees proposed, the payments of the first three deadlines is absurd, unfortunately, very little competition ... Hopefully the same requirements in return.</v>
      </c>
    </row>
    <row r="169" ht="15.75" customHeight="1">
      <c r="A169" s="2">
        <v>1.0</v>
      </c>
      <c r="B169" s="2" t="s">
        <v>581</v>
      </c>
      <c r="C169" s="2" t="s">
        <v>582</v>
      </c>
      <c r="D169" s="2" t="s">
        <v>102</v>
      </c>
      <c r="E169" s="2" t="s">
        <v>285</v>
      </c>
      <c r="F169" s="2" t="s">
        <v>15</v>
      </c>
      <c r="G169" s="2" t="s">
        <v>583</v>
      </c>
      <c r="H169" s="2" t="s">
        <v>189</v>
      </c>
      <c r="I169" s="3" t="str">
        <f>IFERROR(__xludf.DUMMYFUNCTION("GOOGLETRANSLATE(C169,""fr"",""en"")"),"The maaf for me is equal to extorter.
So I present myself to take out home insurance. Until all is well.
When signing there is of course the sheets on the desk and at the end of the wire an additional contract not requested (family tranquility insurance"&amp;"). So I ask for the advisor, what is! She replies that it is civil liability. She tells me you will need it, if you have children because they are going to ask you! Well I trust him and I sign. Having a nursery child, I need it. When I get home, I check w"&amp;"hat this insurance is and in the end nothing. So the lies advisers, the background of the forced and false sale. In short, in a year, see the maaf and I would not advertise, quite the contrary. Along the all, it may be the Maaf policy to keep their custom"&amp;"ers just a year by taxing them as much as possible!
Clearly completely avoided this insurance.
Apart from if you like liars;)")</f>
        <v>The maaf for me is equal to extorter.
So I present myself to take out home insurance. Until all is well.
When signing there is of course the sheets on the desk and at the end of the wire an additional contract not requested (family tranquility insurance). So I ask for the advisor, what is! She replies that it is civil liability. She tells me you will need it, if you have children because they are going to ask you! Well I trust him and I sign. Having a nursery child, I need it. When I get home, I check what this insurance is and in the end nothing. So the lies advisers, the background of the forced and false sale. In short, in a year, see the maaf and I would not advertise, quite the contrary. Along the all, it may be the Maaf policy to keep their customers just a year by taxing them as much as possible!
Clearly completely avoided this insurance.
Apart from if you like liars;)</v>
      </c>
    </row>
    <row r="170" ht="15.75" customHeight="1">
      <c r="A170" s="2">
        <v>4.0</v>
      </c>
      <c r="B170" s="2" t="s">
        <v>584</v>
      </c>
      <c r="C170" s="2" t="s">
        <v>585</v>
      </c>
      <c r="D170" s="2" t="s">
        <v>48</v>
      </c>
      <c r="E170" s="2" t="s">
        <v>14</v>
      </c>
      <c r="F170" s="2" t="s">
        <v>15</v>
      </c>
      <c r="G170" s="2" t="s">
        <v>250</v>
      </c>
      <c r="H170" s="2" t="s">
        <v>50</v>
      </c>
      <c r="I170" s="3" t="str">
        <f>IFERROR(__xludf.DUMMYFUNCTION("GOOGLETRANSLATE(C170,""fr"",""en"")"),"I am satisfied with the quote proposed by Direct Insurance. The price is correct and seems much better to me than competition on the insurance market.")</f>
        <v>I am satisfied with the quote proposed by Direct Insurance. The price is correct and seems much better to me than competition on the insurance market.</v>
      </c>
    </row>
    <row r="171" ht="15.75" customHeight="1">
      <c r="A171" s="2">
        <v>1.0</v>
      </c>
      <c r="B171" s="2" t="s">
        <v>586</v>
      </c>
      <c r="C171" s="2" t="s">
        <v>587</v>
      </c>
      <c r="D171" s="2" t="s">
        <v>334</v>
      </c>
      <c r="E171" s="2" t="s">
        <v>33</v>
      </c>
      <c r="F171" s="2" t="s">
        <v>15</v>
      </c>
      <c r="G171" s="2" t="s">
        <v>588</v>
      </c>
      <c r="H171" s="2" t="s">
        <v>589</v>
      </c>
      <c r="I171" s="3" t="str">
        <f>IFERROR(__xludf.DUMMYFUNCTION("GOOGLETRANSLATE(C171,""fr"",""en"")"),"Hello,
I have been waiting for the payment to be made on the AFER IMMO support for 4 months on 02/12/2019 for 4/12/2019. This has still not been taken from my account and I still have not had confirmation that the operation was well taken into account wh"&amp;"en a reference number was communicated to me after The operation!
My advisor first told me to wait a bit that the operation was taken into account, that there had been a lot of requests at the same time and that the computer system was not planned for, w"&amp;"hich explained That it takes a little time.
After a month, I made a complaint to my advisor who admitted that I could not do anything except transferring my complaint to the GIE AFER. I also made multiple complaints on satisfaction-adherent@gieafer.com b"&amp;"ut no response. I tried to reach them by phone and after 20 minutes of waiting I was told to return my complaint to mailinfo@gieafer.com but ditto: no answer. AFER makes me turn in a praise, likely hoping that I let go of the case but it is badly knowing!"&amp;"
I am very unhappy with the turn that the situation takes.
")</f>
        <v>Hello,
I have been waiting for the payment to be made on the AFER IMMO support for 4 months on 02/12/2019 for 4/12/2019. This has still not been taken from my account and I still have not had confirmation that the operation was well taken into account when a reference number was communicated to me after The operation!
My advisor first told me to wait a bit that the operation was taken into account, that there had been a lot of requests at the same time and that the computer system was not planned for, which explained That it takes a little time.
After a month, I made a complaint to my advisor who admitted that I could not do anything except transferring my complaint to the GIE AFER. I also made multiple complaints on satisfaction-adherent@gieafer.com but no response. I tried to reach them by phone and after 20 minutes of waiting I was told to return my complaint to mailinfo@gieafer.com but ditto: no answer. AFER makes me turn in a praise, likely hoping that I let go of the case but it is badly knowing!
I am very unhappy with the turn that the situation takes.
</v>
      </c>
    </row>
    <row r="172" ht="15.75" customHeight="1">
      <c r="A172" s="2">
        <v>4.0</v>
      </c>
      <c r="B172" s="2" t="s">
        <v>590</v>
      </c>
      <c r="C172" s="2" t="s">
        <v>591</v>
      </c>
      <c r="D172" s="2" t="s">
        <v>296</v>
      </c>
      <c r="E172" s="2" t="s">
        <v>14</v>
      </c>
      <c r="F172" s="2" t="s">
        <v>15</v>
      </c>
      <c r="G172" s="2" t="s">
        <v>592</v>
      </c>
      <c r="H172" s="2" t="s">
        <v>405</v>
      </c>
      <c r="I172" s="3" t="str">
        <f>IFERROR(__xludf.DUMMYFUNCTION("GOOGLETRANSLATE(C172,""fr"",""en"")"),"I have been a member for more than 10 years and I have never had any problem. What is in auto insurance where Eurofil is very responsive and if we are in a relationship, the bonus of the best driver is taken into account! I had 1 water damage reimbursed w"&amp;"ithout problem, and I even had legal assistance at my disposal, for a trial which opposed me to a tour operator.")</f>
        <v>I have been a member for more than 10 years and I have never had any problem. What is in auto insurance where Eurofil is very responsive and if we are in a relationship, the bonus of the best driver is taken into account! I had 1 water damage reimbursed without problem, and I even had legal assistance at my disposal, for a trial which opposed me to a tour operator.</v>
      </c>
    </row>
    <row r="173" ht="15.75" customHeight="1">
      <c r="A173" s="2">
        <v>1.0</v>
      </c>
      <c r="B173" s="2" t="s">
        <v>593</v>
      </c>
      <c r="C173" s="2" t="s">
        <v>594</v>
      </c>
      <c r="D173" s="2" t="s">
        <v>83</v>
      </c>
      <c r="E173" s="2" t="s">
        <v>14</v>
      </c>
      <c r="F173" s="2" t="s">
        <v>15</v>
      </c>
      <c r="G173" s="2" t="s">
        <v>595</v>
      </c>
      <c r="H173" s="2" t="s">
        <v>25</v>
      </c>
      <c r="I173" s="3" t="str">
        <f>IFERROR(__xludf.DUMMYFUNCTION("GOOGLETRANSLATE(C173,""fr"",""en"")"),"Contacts not always easy, not very clear responses, very long reimbursements putting in financial difficulty given the amount paid in advance (1 to 2 months !!)")</f>
        <v>Contacts not always easy, not very clear responses, very long reimbursements putting in financial difficulty given the amount paid in advance (1 to 2 months !!)</v>
      </c>
    </row>
    <row r="174" ht="15.75" customHeight="1">
      <c r="A174" s="2">
        <v>2.0</v>
      </c>
      <c r="B174" s="2" t="s">
        <v>596</v>
      </c>
      <c r="C174" s="2" t="s">
        <v>597</v>
      </c>
      <c r="D174" s="2" t="s">
        <v>400</v>
      </c>
      <c r="E174" s="2" t="s">
        <v>14</v>
      </c>
      <c r="F174" s="2" t="s">
        <v>15</v>
      </c>
      <c r="G174" s="2" t="s">
        <v>598</v>
      </c>
      <c r="H174" s="2" t="s">
        <v>99</v>
      </c>
      <c r="I174" s="3" t="str">
        <f>IFERROR(__xludf.DUMMYFUNCTION("GOOGLETRANSLATE(C174,""fr"",""en"")"),"Coming back from vacation with my 3 -week wife and baby a beautiful Sunday day, I broke down in a green light parking.
After finding the charter, I decided to leave the vehicle in the same car park in order to place it at LE LE LE LEVER on Monday.
This "&amp;"avoiding the fordress to repatriate the car to the Depot then return to the same parking lot on the day after.
As a result, insurance abounded at me with a baby in a large parking lot opened under the sun at 30 degrees.
I had to manage to get out of it."&amp;"
Thank you for abounding to us.
A Star is too much for your service")</f>
        <v>Coming back from vacation with my 3 -week wife and baby a beautiful Sunday day, I broke down in a green light parking.
After finding the charter, I decided to leave the vehicle in the same car park in order to place it at LE LE LE LEVER on Monday.
This avoiding the fordress to repatriate the car to the Depot then return to the same parking lot on the day after.
As a result, insurance abounded at me with a baby in a large parking lot opened under the sun at 30 degrees.
I had to manage to get out of it.
Thank you for abounding to us.
A Star is too much for your service</v>
      </c>
    </row>
    <row r="175" ht="15.75" customHeight="1">
      <c r="A175" s="2">
        <v>5.0</v>
      </c>
      <c r="B175" s="2" t="s">
        <v>599</v>
      </c>
      <c r="C175" s="2" t="s">
        <v>600</v>
      </c>
      <c r="D175" s="2" t="s">
        <v>13</v>
      </c>
      <c r="E175" s="2" t="s">
        <v>14</v>
      </c>
      <c r="F175" s="2" t="s">
        <v>15</v>
      </c>
      <c r="G175" s="2" t="s">
        <v>73</v>
      </c>
      <c r="H175" s="2" t="s">
        <v>25</v>
      </c>
      <c r="I175" s="3" t="str">
        <f>IFERROR(__xludf.DUMMYFUNCTION("GOOGLETRANSLATE(C175,""fr"",""en"")"),"I am delighted, efficiency and speed to be insured. Simple and very pleasant contact. Meet by phone honored very quickly.
I recommend the olive assurance!")</f>
        <v>I am delighted, efficiency and speed to be insured. Simple and very pleasant contact. Meet by phone honored very quickly.
I recommend the olive assurance!</v>
      </c>
    </row>
    <row r="176" ht="15.75" customHeight="1">
      <c r="A176" s="2">
        <v>1.0</v>
      </c>
      <c r="B176" s="2" t="s">
        <v>601</v>
      </c>
      <c r="C176" s="2" t="s">
        <v>602</v>
      </c>
      <c r="D176" s="2" t="s">
        <v>228</v>
      </c>
      <c r="E176" s="2" t="s">
        <v>285</v>
      </c>
      <c r="F176" s="2" t="s">
        <v>15</v>
      </c>
      <c r="G176" s="2" t="s">
        <v>603</v>
      </c>
      <c r="H176" s="2" t="s">
        <v>604</v>
      </c>
      <c r="I176" s="3" t="str">
        <f>IFERROR(__xludf.DUMMYFUNCTION("GOOGLETRANSLATE(C176,""fr"",""en"")"),"In the event of a claim, your agent no longer exists, we fall into a delicated, impersonal, unknown, you are only a file, you are only an interlocutor.
For a small water damage, more than 6 months to wait, I had to end up doing one at my expense and doin"&amp;"g the work. I don't know if I will be compensated. To flee before you need them.")</f>
        <v>In the event of a claim, your agent no longer exists, we fall into a delicated, impersonal, unknown, you are only a file, you are only an interlocutor.
For a small water damage, more than 6 months to wait, I had to end up doing one at my expense and doing the work. I don't know if I will be compensated. To flee before you need them.</v>
      </c>
    </row>
    <row r="177" ht="15.75" customHeight="1">
      <c r="A177" s="2">
        <v>5.0</v>
      </c>
      <c r="B177" s="2" t="s">
        <v>605</v>
      </c>
      <c r="C177" s="2" t="s">
        <v>606</v>
      </c>
      <c r="D177" s="2" t="s">
        <v>48</v>
      </c>
      <c r="E177" s="2" t="s">
        <v>14</v>
      </c>
      <c r="F177" s="2" t="s">
        <v>15</v>
      </c>
      <c r="G177" s="2" t="s">
        <v>250</v>
      </c>
      <c r="H177" s="2" t="s">
        <v>50</v>
      </c>
      <c r="I177" s="3" t="str">
        <f>IFERROR(__xludf.DUMMYFUNCTION("GOOGLETRANSLATE(C177,""fr"",""en"")"),"Simple and quick, very attractive price for my vehicle
Several options for insurance ...
I recommend....
Without hesitation....
Now I will make home insurance
")</f>
        <v>Simple and quick, very attractive price for my vehicle
Several options for insurance ...
I recommend....
Without hesitation....
Now I will make home insurance
</v>
      </c>
    </row>
    <row r="178" ht="15.75" customHeight="1">
      <c r="A178" s="2">
        <v>2.0</v>
      </c>
      <c r="B178" s="2" t="s">
        <v>607</v>
      </c>
      <c r="C178" s="2" t="s">
        <v>608</v>
      </c>
      <c r="D178" s="2" t="s">
        <v>48</v>
      </c>
      <c r="E178" s="2" t="s">
        <v>14</v>
      </c>
      <c r="F178" s="2" t="s">
        <v>15</v>
      </c>
      <c r="G178" s="2" t="s">
        <v>145</v>
      </c>
      <c r="H178" s="2" t="s">
        <v>29</v>
      </c>
      <c r="I178" s="3" t="str">
        <f>IFERROR(__xludf.DUMMYFUNCTION("GOOGLETRANSLATE(C178,""fr"",""en"")"),"- Insured all risks at Direct Insurance (since 2015, so 6 years) which does not cover as a broken lighthouse as a broken head because of a bird (fire hs). Result: on a repair quote of 607 euros, Direct Insurance only supports 196 euros, against 411 for my"&amp;" apple. !!!! ??? The ""personal advisor"" offers me 140 euros and to manage myself, then ensures me to see with his manager an arrangement, but after 3 days has still not reminded me!
Welcome, hi!")</f>
        <v>- Insured all risks at Direct Insurance (since 2015, so 6 years) which does not cover as a broken lighthouse as a broken head because of a bird (fire hs). Result: on a repair quote of 607 euros, Direct Insurance only supports 196 euros, against 411 for my apple. !!!! ??? The "personal advisor" offers me 140 euros and to manage myself, then ensures me to see with his manager an arrangement, but after 3 days has still not reminded me!
Welcome, hi!</v>
      </c>
    </row>
    <row r="179" ht="15.75" customHeight="1">
      <c r="A179" s="2">
        <v>1.0</v>
      </c>
      <c r="B179" s="2" t="s">
        <v>609</v>
      </c>
      <c r="C179" s="2" t="s">
        <v>610</v>
      </c>
      <c r="D179" s="2" t="s">
        <v>330</v>
      </c>
      <c r="E179" s="2" t="s">
        <v>44</v>
      </c>
      <c r="F179" s="2" t="s">
        <v>15</v>
      </c>
      <c r="G179" s="2" t="s">
        <v>611</v>
      </c>
      <c r="H179" s="2" t="s">
        <v>612</v>
      </c>
      <c r="I179" s="3" t="str">
        <f>IFERROR(__xludf.DUMMYFUNCTION("GOOGLETRANSLATE(C179,""fr"",""en"")"),"That disappointment on my mutual health insurance, a member for 52 years having required little care throughout my career, (a chance ..) for ten years, unfortunately I need care like most of my colleagues, and I have to pay the price on my retirement as a"&amp;"n officer of the national police. Poorly reimbursed from + in +, I ask myself the question: are you always a mutual ?????")</f>
        <v>That disappointment on my mutual health insurance, a member for 52 years having required little care throughout my career, (a chance ..) for ten years, unfortunately I need care like most of my colleagues, and I have to pay the price on my retirement as an officer of the national police. Poorly reimbursed from + in +, I ask myself the question: are you always a mutual ?????</v>
      </c>
    </row>
    <row r="180" ht="15.75" customHeight="1">
      <c r="A180" s="2">
        <v>4.0</v>
      </c>
      <c r="B180" s="2" t="s">
        <v>613</v>
      </c>
      <c r="C180" s="2" t="s">
        <v>614</v>
      </c>
      <c r="D180" s="2" t="s">
        <v>126</v>
      </c>
      <c r="E180" s="2" t="s">
        <v>127</v>
      </c>
      <c r="F180" s="2" t="s">
        <v>15</v>
      </c>
      <c r="G180" s="2" t="s">
        <v>615</v>
      </c>
      <c r="H180" s="2" t="s">
        <v>50</v>
      </c>
      <c r="I180" s="3" t="str">
        <f>IFERROR(__xludf.DUMMYFUNCTION("GOOGLETRANSLATE(C180,""fr"",""en"")"),"Fast service, very listening to demand, easy, and easily reachable !! To see in time how it will happen so concern! I recommend in any case for at least the facts announced")</f>
        <v>Fast service, very listening to demand, easy, and easily reachable !! To see in time how it will happen so concern! I recommend in any case for at least the facts announced</v>
      </c>
    </row>
    <row r="181" ht="15.75" customHeight="1">
      <c r="A181" s="2">
        <v>2.0</v>
      </c>
      <c r="B181" s="2" t="s">
        <v>616</v>
      </c>
      <c r="C181" s="2" t="s">
        <v>617</v>
      </c>
      <c r="D181" s="2" t="s">
        <v>28</v>
      </c>
      <c r="E181" s="2" t="s">
        <v>14</v>
      </c>
      <c r="F181" s="2" t="s">
        <v>15</v>
      </c>
      <c r="G181" s="2" t="s">
        <v>618</v>
      </c>
      <c r="H181" s="2" t="s">
        <v>55</v>
      </c>
      <c r="I181" s="3" t="str">
        <f>IFERROR(__xludf.DUMMYFUNCTION("GOOGLETRANSLATE(C181,""fr"",""en"")"),"Just satisfied, a little expensive prices, some of the competition are doing better, especially for very long -standing insureders with more than 50% bonus and 15 of a good driver")</f>
        <v>Just satisfied, a little expensive prices, some of the competition are doing better, especially for very long -standing insureders with more than 50% bonus and 15 of a good driver</v>
      </c>
    </row>
    <row r="182" ht="15.75" customHeight="1">
      <c r="A182" s="2">
        <v>3.0</v>
      </c>
      <c r="B182" s="2" t="s">
        <v>619</v>
      </c>
      <c r="C182" s="2" t="s">
        <v>620</v>
      </c>
      <c r="D182" s="2" t="s">
        <v>135</v>
      </c>
      <c r="E182" s="2" t="s">
        <v>44</v>
      </c>
      <c r="F182" s="2" t="s">
        <v>15</v>
      </c>
      <c r="G182" s="2" t="s">
        <v>621</v>
      </c>
      <c r="H182" s="2" t="s">
        <v>298</v>
      </c>
      <c r="I182" s="3" t="str">
        <f>IFERROR(__xludf.DUMMYFUNCTION("GOOGLETRANSLATE(C182,""fr"",""en"")"),"Contact by phone with Alisson. Very satisfactory exchange. Very friendly, available and listening to their customers. Hoping that the next calls will be identical.")</f>
        <v>Contact by phone with Alisson. Very satisfactory exchange. Very friendly, available and listening to their customers. Hoping that the next calls will be identical.</v>
      </c>
    </row>
    <row r="183" ht="15.75" customHeight="1">
      <c r="A183" s="2">
        <v>1.0</v>
      </c>
      <c r="B183" s="2" t="s">
        <v>622</v>
      </c>
      <c r="C183" s="2" t="s">
        <v>623</v>
      </c>
      <c r="D183" s="2" t="s">
        <v>53</v>
      </c>
      <c r="E183" s="2" t="s">
        <v>44</v>
      </c>
      <c r="F183" s="2" t="s">
        <v>15</v>
      </c>
      <c r="G183" s="2" t="s">
        <v>624</v>
      </c>
      <c r="H183" s="2" t="s">
        <v>612</v>
      </c>
      <c r="I183" s="3" t="str">
        <f>IFERROR(__xludf.DUMMYFUNCTION("GOOGLETRANSLATE(C183,""fr"",""en"")"),"They do not respond to emails or messages sent to the customer area. Always call them to have information (when they can answer us in addition!). I still haven't received my member card (they sent it to me 3 times in a row but she is a virgin! And apparen"&amp;"tly they still haven't understood ... I received it: Virgin, a 4th time .....). Really expensive for the quality of Zero customer services and service.")</f>
        <v>They do not respond to emails or messages sent to the customer area. Always call them to have information (when they can answer us in addition!). I still haven't received my member card (they sent it to me 3 times in a row but she is a virgin! And apparently they still haven't understood ... I received it: Virgin, a 4th time .....). Really expensive for the quality of Zero customer services and service.</v>
      </c>
    </row>
    <row r="184" ht="15.75" customHeight="1">
      <c r="A184" s="2">
        <v>1.0</v>
      </c>
      <c r="B184" s="2" t="s">
        <v>625</v>
      </c>
      <c r="C184" s="2" t="s">
        <v>626</v>
      </c>
      <c r="D184" s="2" t="s">
        <v>214</v>
      </c>
      <c r="E184" s="2" t="s">
        <v>215</v>
      </c>
      <c r="F184" s="2" t="s">
        <v>15</v>
      </c>
      <c r="G184" s="2" t="s">
        <v>627</v>
      </c>
      <c r="H184" s="2" t="s">
        <v>628</v>
      </c>
      <c r="I184" s="3" t="str">
        <f>IFERROR(__xludf.DUMMYFUNCTION("GOOGLETRANSLATE(C184,""fr"",""en"")"),"Hello,
Our dog declared a dermatitis during the 3 -month deficiency.
Since then they do not want to reimburse anything !!!
Insurance that makes money any more. Everything is fine if your pet is healthy and has no chronic disease.
Insurance to flee.
"&amp;"
We had a lot of trouble to terminate.
Finally we put 50 € aside each month rather than paying € 29.90 every month to insurance ...
")</f>
        <v>Hello,
Our dog declared a dermatitis during the 3 -month deficiency.
Since then they do not want to reimburse anything !!!
Insurance that makes money any more. Everything is fine if your pet is healthy and has no chronic disease.
Insurance to flee.
We had a lot of trouble to terminate.
Finally we put 50 € aside each month rather than paying € 29.90 every month to insurance ...
</v>
      </c>
    </row>
    <row r="185" ht="15.75" customHeight="1">
      <c r="A185" s="2">
        <v>1.0</v>
      </c>
      <c r="B185" s="2" t="s">
        <v>629</v>
      </c>
      <c r="C185" s="2" t="s">
        <v>630</v>
      </c>
      <c r="D185" s="2" t="s">
        <v>228</v>
      </c>
      <c r="E185" s="2" t="s">
        <v>14</v>
      </c>
      <c r="F185" s="2" t="s">
        <v>15</v>
      </c>
      <c r="G185" s="2" t="s">
        <v>631</v>
      </c>
      <c r="H185" s="2" t="s">
        <v>324</v>
      </c>
      <c r="I185" s="3" t="str">
        <f>IFERROR(__xludf.DUMMYFUNCTION("GOOGLETRANSLATE(C185,""fr"",""en"")"),"Very disappointed AXA for my non -responsible accident vehicle and the expert does not want to repair the damage to me while I am not in wrong more my vehicle is assured any risk I find it really not normal but I can't do anything or say thank you")</f>
        <v>Very disappointed AXA for my non -responsible accident vehicle and the expert does not want to repair the damage to me while I am not in wrong more my vehicle is assured any risk I find it really not normal but I can't do anything or say thank you</v>
      </c>
    </row>
    <row r="186" ht="15.75" customHeight="1">
      <c r="A186" s="2">
        <v>1.0</v>
      </c>
      <c r="B186" s="2" t="s">
        <v>632</v>
      </c>
      <c r="C186" s="2" t="s">
        <v>633</v>
      </c>
      <c r="D186" s="2" t="s">
        <v>58</v>
      </c>
      <c r="E186" s="2" t="s">
        <v>44</v>
      </c>
      <c r="F186" s="2" t="s">
        <v>15</v>
      </c>
      <c r="G186" s="2" t="s">
        <v>634</v>
      </c>
      <c r="H186" s="2" t="s">
        <v>635</v>
      </c>
      <c r="I186" s="3" t="str">
        <f>IFERROR(__xludf.DUMMYFUNCTION("GOOGLETRANSLATE(C186,""fr"",""en"")"),"In this context of zero inflation and pension blocking, my subscription increases by 89% in three years!
It works the business! And we still dare to be called ""mutual""
To this regime I will soon have to turn my retirement directly into the mutual harm"&amp;"ony boxes.")</f>
        <v>In this context of zero inflation and pension blocking, my subscription increases by 89% in three years!
It works the business! And we still dare to be called "mutual"
To this regime I will soon have to turn my retirement directly into the mutual harmony boxes.</v>
      </c>
    </row>
    <row r="187" ht="15.75" customHeight="1">
      <c r="A187" s="2">
        <v>1.0</v>
      </c>
      <c r="B187" s="2" t="s">
        <v>636</v>
      </c>
      <c r="C187" s="2" t="s">
        <v>637</v>
      </c>
      <c r="D187" s="2" t="s">
        <v>330</v>
      </c>
      <c r="E187" s="2" t="s">
        <v>44</v>
      </c>
      <c r="F187" s="2" t="s">
        <v>15</v>
      </c>
      <c r="G187" s="2" t="s">
        <v>638</v>
      </c>
      <c r="H187" s="2" t="s">
        <v>25</v>
      </c>
      <c r="I187" s="3" t="str">
        <f>IFERROR(__xludf.DUMMYFUNCTION("GOOGLETRANSLATE(C187,""fr"",""en"")"),"Disappointed, I have Lyria Prestige but too bad my children cannot benefit from it and have Lyria promise, a lot of costs ultimately, no coverage of fees overruns, orthodontics is very badly reimbursed ... in short not terrible, The guarantees on reimburs"&amp;"ements have changed, more or few reimbursements on prescribed but not reimbursed drugs ... I change soon!")</f>
        <v>Disappointed, I have Lyria Prestige but too bad my children cannot benefit from it and have Lyria promise, a lot of costs ultimately, no coverage of fees overruns, orthodontics is very badly reimbursed ... in short not terrible, The guarantees on reimbursements have changed, more or few reimbursements on prescribed but not reimbursed drugs ... I change soon!</v>
      </c>
    </row>
    <row r="188" ht="15.75" customHeight="1">
      <c r="A188" s="2">
        <v>2.0</v>
      </c>
      <c r="B188" s="2" t="s">
        <v>639</v>
      </c>
      <c r="C188" s="2" t="s">
        <v>640</v>
      </c>
      <c r="D188" s="2" t="s">
        <v>102</v>
      </c>
      <c r="E188" s="2" t="s">
        <v>14</v>
      </c>
      <c r="F188" s="2" t="s">
        <v>15</v>
      </c>
      <c r="G188" s="2" t="s">
        <v>641</v>
      </c>
      <c r="H188" s="2" t="s">
        <v>501</v>
      </c>
      <c r="I188" s="3" t="str">
        <f>IFERROR(__xludf.DUMMYFUNCTION("GOOGLETRANSLATE(C188,""fr"",""en"")"),"I am outraged ..., it's been 22 years that I have been at the Maaf, with mutual for the whole family, with all the options, just for me, I paid 700 euros/years ..., while I go 1 times/years at the doctor ...! The house also provided at home for over 22 ye"&amp;"ars ..., the car too, and although I have not had an accident for 10 years, the Maaf, decides to terminate my car contract at the end of the Year ...., no but who is we laughing at ..., my family is also with them, but what are they looking for, what ever"&amp;"yone is resilled ...? It will be done and for all contracts, if they maintain their decision ...! But they are crazy ...!")</f>
        <v>I am outraged ..., it's been 22 years that I have been at the Maaf, with mutual for the whole family, with all the options, just for me, I paid 700 euros/years ..., while I go 1 times/years at the doctor ...! The house also provided at home for over 22 years ..., the car too, and although I have not had an accident for 10 years, the Maaf, decides to terminate my car contract at the end of the Year ...., no but who is we laughing at ..., my family is also with them, but what are they looking for, what everyone is resilled ...? It will be done and for all contracts, if they maintain their decision ...! But they are crazy ...!</v>
      </c>
    </row>
    <row r="189" ht="15.75" customHeight="1">
      <c r="A189" s="2">
        <v>1.0</v>
      </c>
      <c r="B189" s="2" t="s">
        <v>642</v>
      </c>
      <c r="C189" s="2" t="s">
        <v>643</v>
      </c>
      <c r="D189" s="2" t="s">
        <v>228</v>
      </c>
      <c r="E189" s="2" t="s">
        <v>14</v>
      </c>
      <c r="F189" s="2" t="s">
        <v>15</v>
      </c>
      <c r="G189" s="2" t="s">
        <v>644</v>
      </c>
      <c r="H189" s="2" t="s">
        <v>635</v>
      </c>
      <c r="I189" s="3" t="str">
        <f>IFERROR(__xludf.DUMMYFUNCTION("GOOGLETRANSLATE(C189,""fr"",""en"")"),"Very kind when subscribing to the contract a lot of promises. Victim of an attempted theft with vandalism for 1 month no loan vehicle, however provided for the contract within an hour .... Expertise after 3 weeks non -reparable vehicle too expensive ....")</f>
        <v>Very kind when subscribing to the contract a lot of promises. Victim of an attempted theft with vandalism for 1 month no loan vehicle, however provided for the contract within an hour .... Expertise after 3 weeks non -reparable vehicle too expensive ....</v>
      </c>
    </row>
    <row r="190" ht="15.75" customHeight="1">
      <c r="A190" s="2">
        <v>4.0</v>
      </c>
      <c r="B190" s="2" t="s">
        <v>645</v>
      </c>
      <c r="C190" s="2" t="s">
        <v>646</v>
      </c>
      <c r="D190" s="2" t="s">
        <v>48</v>
      </c>
      <c r="E190" s="2" t="s">
        <v>14</v>
      </c>
      <c r="F190" s="2" t="s">
        <v>15</v>
      </c>
      <c r="G190" s="2" t="s">
        <v>553</v>
      </c>
      <c r="H190" s="2" t="s">
        <v>29</v>
      </c>
      <c r="I190" s="3" t="str">
        <f>IFERROR(__xludf.DUMMYFUNCTION("GOOGLETRANSLATE(C190,""fr"",""en"")"),"Very fast, very professional and very explanatory quote in less than 5 minutes which allows you to have time to read the contract, listening staff")</f>
        <v>Very fast, very professional and very explanatory quote in less than 5 minutes which allows you to have time to read the contract, listening staff</v>
      </c>
    </row>
    <row r="191" ht="15.75" customHeight="1">
      <c r="A191" s="2">
        <v>4.0</v>
      </c>
      <c r="B191" s="2" t="s">
        <v>647</v>
      </c>
      <c r="C191" s="2" t="s">
        <v>648</v>
      </c>
      <c r="D191" s="2" t="s">
        <v>116</v>
      </c>
      <c r="E191" s="2" t="s">
        <v>14</v>
      </c>
      <c r="F191" s="2" t="s">
        <v>15</v>
      </c>
      <c r="G191" s="2" t="s">
        <v>649</v>
      </c>
      <c r="H191" s="2" t="s">
        <v>472</v>
      </c>
      <c r="I191" s="3" t="str">
        <f>IFERROR(__xludf.DUMMYFUNCTION("GOOGLETRANSLATE(C191,""fr"",""en"")"),"Client number: 225373. I am very surprised by the many negative opinions! I myself have subscribed to them, and honestly I only had positive on this insurance from the start good taking and processing folder, green card received quickly, full customer are"&amp;"a. I had a claim at the start of the year (quickly treated by their partner Altima Insurance, listening advisor,
Expertise, compensation in record time. Regarding me is the best auto insurance that I had so far. Only negative point of the surcharge of cu"&amp;"stomer service 0.80.")</f>
        <v>Client number: 225373. I am very surprised by the many negative opinions! I myself have subscribed to them, and honestly I only had positive on this insurance from the start good taking and processing folder, green card received quickly, full customer area. I had a claim at the start of the year (quickly treated by their partner Altima Insurance, listening advisor,
Expertise, compensation in record time. Regarding me is the best auto insurance that I had so far. Only negative point of the surcharge of customer service 0.80.</v>
      </c>
    </row>
    <row r="192" ht="15.75" customHeight="1">
      <c r="A192" s="2">
        <v>1.0</v>
      </c>
      <c r="B192" s="2" t="s">
        <v>650</v>
      </c>
      <c r="C192" s="2" t="s">
        <v>651</v>
      </c>
      <c r="D192" s="2" t="s">
        <v>228</v>
      </c>
      <c r="E192" s="2" t="s">
        <v>14</v>
      </c>
      <c r="F192" s="2" t="s">
        <v>15</v>
      </c>
      <c r="G192" s="2" t="s">
        <v>652</v>
      </c>
      <c r="H192" s="2" t="s">
        <v>628</v>
      </c>
      <c r="I192" s="3" t="str">
        <f>IFERROR(__xludf.DUMMYFUNCTION("GOOGLETRANSLATE(C192,""fr"",""en"")"),"Axa sent me a letter last October announced that they were terminated my contract for 3 claims (including 2 ice breaks) in the last 2 years. With them since 2015 with a bonus of 50 and a route without responsible accident for more than 15 years, I could n"&amp;"ot come back.
One of the Ice Brokes dates back to June 2018, but the garage to whom Axa had sent me for the repair proved unable to order the right piece ... It was only a year later (June 2019) After multiple exchanges with the agency managing my contra"&amp;"ct that the replacement was carried out.
Suddenly, new repair the same year in November of an impact on the windshield (cost: around € 80). This repair (which wanted to be preventive) is counted as a disaster. You had to know!
January 2020, a truck star"&amp;"ted at a fire. When I stop, but not well in my queue, I am held responsible for the claim.
Today, my contract is terminated by the insurer as if I were a bad driver and nobody wants to make me at a decent price. It is simply shameful.
I do not recommend"&amp;" this insurer. Support and information transmissions should take place when a disaster is declared, especially for ice breaks.
")</f>
        <v>Axa sent me a letter last October announced that they were terminated my contract for 3 claims (including 2 ice breaks) in the last 2 years. With them since 2015 with a bonus of 50 and a route without responsible accident for more than 15 years, I could not come back.
One of the Ice Brokes dates back to June 2018, but the garage to whom Axa had sent me for the repair proved unable to order the right piece ... It was only a year later (June 2019) After multiple exchanges with the agency managing my contract that the replacement was carried out.
Suddenly, new repair the same year in November of an impact on the windshield (cost: around € 80). This repair (which wanted to be preventive) is counted as a disaster. You had to know!
January 2020, a truck started at a fire. When I stop, but not well in my queue, I am held responsible for the claim.
Today, my contract is terminated by the insurer as if I were a bad driver and nobody wants to make me at a decent price. It is simply shameful.
I do not recommend this insurer. Support and information transmissions should take place when a disaster is declared, especially for ice breaks.
</v>
      </c>
    </row>
    <row r="193" ht="15.75" customHeight="1">
      <c r="A193" s="2">
        <v>3.0</v>
      </c>
      <c r="B193" s="2" t="s">
        <v>653</v>
      </c>
      <c r="C193" s="2" t="s">
        <v>654</v>
      </c>
      <c r="D193" s="2" t="s">
        <v>48</v>
      </c>
      <c r="E193" s="2" t="s">
        <v>14</v>
      </c>
      <c r="F193" s="2" t="s">
        <v>15</v>
      </c>
      <c r="G193" s="2" t="s">
        <v>655</v>
      </c>
      <c r="H193" s="2" t="s">
        <v>178</v>
      </c>
      <c r="I193" s="3" t="str">
        <f>IFERROR(__xludf.DUMMYFUNCTION("GOOGLETRANSLATE(C193,""fr"",""en"")"),"Like many I was attracted to the price ... well when you don't need them ... It's all the better! ... And like many I have seen ineffectiveness (see incompetence) Assistance ... A catastrophe ... We end up being yelled at while we are down as if we needed"&amp;" that at this time ... Unpleasant and annoying ... good understanding.")</f>
        <v>Like many I was attracted to the price ... well when you don't need them ... It's all the better! ... And like many I have seen ineffectiveness (see incompetence) Assistance ... A catastrophe ... We end up being yelled at while we are down as if we needed that at this time ... Unpleasant and annoying ... good understanding.</v>
      </c>
    </row>
    <row r="194" ht="15.75" customHeight="1">
      <c r="A194" s="2">
        <v>4.0</v>
      </c>
      <c r="B194" s="2" t="s">
        <v>656</v>
      </c>
      <c r="C194" s="2" t="s">
        <v>657</v>
      </c>
      <c r="D194" s="2" t="s">
        <v>126</v>
      </c>
      <c r="E194" s="2" t="s">
        <v>127</v>
      </c>
      <c r="F194" s="2" t="s">
        <v>15</v>
      </c>
      <c r="G194" s="2" t="s">
        <v>542</v>
      </c>
      <c r="H194" s="2" t="s">
        <v>89</v>
      </c>
      <c r="I194" s="3" t="str">
        <f>IFERROR(__xludf.DUMMYFUNCTION("GOOGLETRANSLATE(C194,""fr"",""en"")"),"I am satisfied with the service and the prices suit me the people are sympathetic and effective the guarantees suit me and the prices are correct")</f>
        <v>I am satisfied with the service and the prices suit me the people are sympathetic and effective the guarantees suit me and the prices are correct</v>
      </c>
    </row>
    <row r="195" ht="15.75" customHeight="1">
      <c r="A195" s="2">
        <v>1.0</v>
      </c>
      <c r="B195" s="2" t="s">
        <v>658</v>
      </c>
      <c r="C195" s="2" t="s">
        <v>659</v>
      </c>
      <c r="D195" s="2" t="s">
        <v>116</v>
      </c>
      <c r="E195" s="2" t="s">
        <v>14</v>
      </c>
      <c r="F195" s="2" t="s">
        <v>15</v>
      </c>
      <c r="G195" s="2" t="s">
        <v>660</v>
      </c>
      <c r="H195" s="2" t="s">
        <v>107</v>
      </c>
      <c r="I195" s="3" t="str">
        <f>IFERROR(__xludf.DUMMYFUNCTION("GOOGLETRANSLATE(C195,""fr"",""en"")"),"Frankly if I could put any Star I would do it, I bought a vehicle on 6/5/2017 and assure this date for a reason that concerns me I had to resell my vehicle after 5 days I sent the documents of Resiliations in the delays they had 30 days to reimburse me bu"&amp;"t as my rib they did not record it in TPS and on hour it tells me that c 30 days from the date of registration since they recorded it on 07/14 I should wait for this date to be said to be in the contract and by such a of their employer when they accuse it"&amp;" I will have to be taken into account from 05/17 they do not want to hear anything and walk I part of the that I have found it elsewhere it is an insurance that should not exist and it is only one party of my problem because I have another vehicle ensures"&amp;" with them they do not respect the dates of failure of the contract prevails before so do not pass or so sets pass but they tell you that c rejection So you have to send your recipient otherwise they do not seek fat have made their job I start the searche"&amp;"s because they know how to respect the closed of the contract but they do not respect them !!!!!")</f>
        <v>Frankly if I could put any Star I would do it, I bought a vehicle on 6/5/2017 and assure this date for a reason that concerns me I had to resell my vehicle after 5 days I sent the documents of Resiliations in the delays they had 30 days to reimburse me but as my rib they did not record it in TPS and on hour it tells me that c 30 days from the date of registration since they recorded it on 07/14 I should wait for this date to be said to be in the contract and by such a of their employer when they accuse it I will have to be taken into account from 05/17 they do not want to hear anything and walk I part of the that I have found it elsewhere it is an insurance that should not exist and it is only one party of my problem because I have another vehicle ensures with them they do not respect the dates of failure of the contract prevails before so do not pass or so sets pass but they tell you that c rejection So you have to send your recipient otherwise they do not seek fat have made their job I start the searches because they know how to respect the closed of the contract but they do not respect them !!!!!</v>
      </c>
    </row>
    <row r="196" ht="15.75" customHeight="1">
      <c r="A196" s="2">
        <v>5.0</v>
      </c>
      <c r="B196" s="2" t="s">
        <v>661</v>
      </c>
      <c r="C196" s="2" t="s">
        <v>662</v>
      </c>
      <c r="D196" s="2" t="s">
        <v>13</v>
      </c>
      <c r="E196" s="2" t="s">
        <v>14</v>
      </c>
      <c r="F196" s="2" t="s">
        <v>15</v>
      </c>
      <c r="G196" s="2" t="s">
        <v>663</v>
      </c>
      <c r="H196" s="2" t="s">
        <v>50</v>
      </c>
      <c r="I196" s="3" t="str">
        <f>IFERROR(__xludf.DUMMYFUNCTION("GOOGLETRANSLATE(C196,""fr"",""en"")"),"Very easy to access, I recommend it for the speed with which my file was processed, in a few clicks and a phone call I could be provided the same day")</f>
        <v>Very easy to access, I recommend it for the speed with which my file was processed, in a few clicks and a phone call I could be provided the same day</v>
      </c>
    </row>
    <row r="197" ht="15.75" customHeight="1">
      <c r="A197" s="2">
        <v>2.0</v>
      </c>
      <c r="B197" s="2" t="s">
        <v>664</v>
      </c>
      <c r="C197" s="2" t="s">
        <v>665</v>
      </c>
      <c r="D197" s="2" t="s">
        <v>228</v>
      </c>
      <c r="E197" s="2" t="s">
        <v>285</v>
      </c>
      <c r="F197" s="2" t="s">
        <v>15</v>
      </c>
      <c r="G197" s="2" t="s">
        <v>666</v>
      </c>
      <c r="H197" s="2" t="s">
        <v>604</v>
      </c>
      <c r="I197" s="3" t="str">
        <f>IFERROR(__xludf.DUMMYFUNCTION("GOOGLETRANSLATE(C197,""fr"",""en"")"),"After a break -in on the door of my building, I declared the disaster in Axa, they mandated an expert from Texa, the expert to see the damage after several phone calls and at the last minute, he sends his report to The company AXA but not encrypted (every"&amp;"thing for annoyed the world) to try not to compensate me, the expert says that he found on the internet a photo of 2016 with the cracked door on the bottom so that's what he Calls break while the estimate of the building company indicated well as built so"&amp;" broken this on the other hand it does not have the photo when I also have in my possession of the attestations of the tenants it suggests that he must hide discrimination and discrimination there and To conclude he informs Axa that he is investigating, I"&amp;" find it informed that I take the case seriously and that I am making a request to Axa to have the elements that you think of putting forward so that I am not compensated and story I am assigned to the criminal court as well as Texa Expertise so that you "&amp;"explain yourself for your actions")</f>
        <v>After a break -in on the door of my building, I declared the disaster in Axa, they mandated an expert from Texa, the expert to see the damage after several phone calls and at the last minute, he sends his report to The company AXA but not encrypted (everything for annoyed the world) to try not to compensate me, the expert says that he found on the internet a photo of 2016 with the cracked door on the bottom so that's what he Calls break while the estimate of the building company indicated well as built so broken this on the other hand it does not have the photo when I also have in my possession of the attestations of the tenants it suggests that he must hide discrimination and discrimination there and To conclude he informs Axa that he is investigating, I find it informed that I take the case seriously and that I am making a request to Axa to have the elements that you think of putting forward so that I am not compensated and story I am assigned to the criminal court as well as Texa Expertise so that you explain yourself for your actions</v>
      </c>
    </row>
    <row r="198" ht="15.75" customHeight="1">
      <c r="A198" s="2">
        <v>5.0</v>
      </c>
      <c r="B198" s="2" t="s">
        <v>667</v>
      </c>
      <c r="C198" s="2" t="s">
        <v>668</v>
      </c>
      <c r="D198" s="2" t="s">
        <v>669</v>
      </c>
      <c r="E198" s="2" t="s">
        <v>44</v>
      </c>
      <c r="F198" s="2" t="s">
        <v>15</v>
      </c>
      <c r="G198" s="2" t="s">
        <v>25</v>
      </c>
      <c r="H198" s="2" t="s">
        <v>25</v>
      </c>
      <c r="I198" s="3" t="str">
        <f>IFERROR(__xludf.DUMMYFUNCTION("GOOGLETRANSLATE(C198,""fr"",""en"")"),"Always pleasant and competent people on the phone who understand what they are explained to them (not like some other platforms that outsource) and the reimbursements are fairly fast")</f>
        <v>Always pleasant and competent people on the phone who understand what they are explained to them (not like some other platforms that outsource) and the reimbursements are fairly fast</v>
      </c>
    </row>
    <row r="199" ht="15.75" customHeight="1">
      <c r="A199" s="2">
        <v>2.0</v>
      </c>
      <c r="B199" s="2" t="s">
        <v>670</v>
      </c>
      <c r="C199" s="2" t="s">
        <v>671</v>
      </c>
      <c r="D199" s="2" t="s">
        <v>176</v>
      </c>
      <c r="E199" s="2" t="s">
        <v>127</v>
      </c>
      <c r="F199" s="2" t="s">
        <v>15</v>
      </c>
      <c r="G199" s="2" t="s">
        <v>672</v>
      </c>
      <c r="H199" s="2" t="s">
        <v>169</v>
      </c>
      <c r="I199" s="3" t="str">
        <f>IFERROR(__xludf.DUMMYFUNCTION("GOOGLETRANSLATE(C199,""fr"",""en"")"),"Hello everyone, I have big concerns with the Macif, 2 and a half that I have stopped since this motorcycle accident for which I am not responsible, at the start it was not too bad, but over time it is Degraded, they never respond to emails 70 sent without"&amp;" ever an answer, so registered letter AR and I received a letter but a month after my request, in short, today I am in the period of 5 months after consolidation, because they are Obliged to contact me for a proposal, date on January 27, so I would like t"&amp;"o create a collective to do a sitting before the offices of the Macif in Niort, and advertise this harmful insurance, by the same opportunity I filed a complaint against The expert, I was summoned to the order of the doctors for a conciliation that I refu"&amp;"sed, because this one had a very unpleasant behavior, lowering myself trying to dominate me, a tactic I think to destabilize the insured, and thus make you guilty enjoyed Tot that victim, I will therefore be summoned within 18 months to the Poitiers court"&amp;", I am available for conversations if you want to advertise this insurance, because they are giants and we little people, but we are Stronger than them if we went, then to your little keyboards and I await your answers, positive or negative. good to you,")</f>
        <v>Hello everyone, I have big concerns with the Macif, 2 and a half that I have stopped since this motorcycle accident for which I am not responsible, at the start it was not too bad, but over time it is Degraded, they never respond to emails 70 sent without ever an answer, so registered letter AR and I received a letter but a month after my request, in short, today I am in the period of 5 months after consolidation, because they are Obliged to contact me for a proposal, date on January 27, so I would like to create a collective to do a sitting before the offices of the Macif in Niort, and advertise this harmful insurance, by the same opportunity I filed a complaint against The expert, I was summoned to the order of the doctors for a conciliation that I refused, because this one had a very unpleasant behavior, lowering myself trying to dominate me, a tactic I think to destabilize the insured, and thus make you guilty enjoyed Tot that victim, I will therefore be summoned within 18 months to the Poitiers court, I am available for conversations if you want to advertise this insurance, because they are giants and we little people, but we are Stronger than them if we went, then to your little keyboards and I await your answers, positive or negative. good to you,</v>
      </c>
    </row>
    <row r="200" ht="15.75" customHeight="1">
      <c r="A200" s="2">
        <v>2.0</v>
      </c>
      <c r="B200" s="2" t="s">
        <v>673</v>
      </c>
      <c r="C200" s="2" t="s">
        <v>674</v>
      </c>
      <c r="D200" s="2" t="s">
        <v>43</v>
      </c>
      <c r="E200" s="2" t="s">
        <v>44</v>
      </c>
      <c r="F200" s="2" t="s">
        <v>15</v>
      </c>
      <c r="G200" s="2" t="s">
        <v>675</v>
      </c>
      <c r="H200" s="2" t="s">
        <v>247</v>
      </c>
      <c r="I200" s="3" t="str">
        <f>IFERROR(__xludf.DUMMYFUNCTION("GOOGLETRANSLATE(C200,""fr"",""en"")"),"Failed by the totally negative opinions found on the internet on the Cegema mutual after having joined, I hastened to use the law giving 14 days of withdrawal to the Acssur broker who could not tell me if they had already launched the Cancellation of my m"&amp;"embership with my previous mutual !!! All this proves the lack of seriousness on the part of these people. TO FLEE")</f>
        <v>Failed by the totally negative opinions found on the internet on the Cegema mutual after having joined, I hastened to use the law giving 14 days of withdrawal to the Acssur broker who could not tell me if they had already launched the Cancellation of my membership with my previous mutual !!! All this proves the lack of seriousness on the part of these people. TO FLEE</v>
      </c>
    </row>
    <row r="201" ht="15.75" customHeight="1">
      <c r="A201" s="2">
        <v>2.0</v>
      </c>
      <c r="B201" s="2" t="s">
        <v>676</v>
      </c>
      <c r="C201" s="2" t="s">
        <v>677</v>
      </c>
      <c r="D201" s="2" t="s">
        <v>13</v>
      </c>
      <c r="E201" s="2" t="s">
        <v>14</v>
      </c>
      <c r="F201" s="2" t="s">
        <v>15</v>
      </c>
      <c r="G201" s="2" t="s">
        <v>442</v>
      </c>
      <c r="H201" s="2" t="s">
        <v>261</v>
      </c>
      <c r="I201" s="3" t="str">
        <f>IFERROR(__xludf.DUMMYFUNCTION("GOOGLETRANSLATE(C201,""fr"",""en"")"),"I do not recommend this insurer.
Impossible to reach them on the phone in the event of a monthly request.
In case of termination to change insurance even worse! I had to pay two insurances when I asked them to pay myself. They put me in financial diffic"&amp;"ulty with moral harassment. It's easy to come there but a nightmare to get out of their claws ...
I needed an AON understanding insurer and time to put that psychologically and financially.")</f>
        <v>I do not recommend this insurer.
Impossible to reach them on the phone in the event of a monthly request.
In case of termination to change insurance even worse! I had to pay two insurances when I asked them to pay myself. They put me in financial difficulty with moral harassment. It's easy to come there but a nightmare to get out of their claws ...
I needed an AON understanding insurer and time to put that psychologically and financially.</v>
      </c>
    </row>
    <row r="202" ht="15.75" customHeight="1">
      <c r="A202" s="2">
        <v>4.0</v>
      </c>
      <c r="B202" s="2" t="s">
        <v>678</v>
      </c>
      <c r="C202" s="2" t="s">
        <v>679</v>
      </c>
      <c r="D202" s="2" t="s">
        <v>53</v>
      </c>
      <c r="E202" s="2" t="s">
        <v>44</v>
      </c>
      <c r="F202" s="2" t="s">
        <v>15</v>
      </c>
      <c r="G202" s="2" t="s">
        <v>680</v>
      </c>
      <c r="H202" s="2" t="s">
        <v>254</v>
      </c>
      <c r="I202" s="3" t="str">
        <f>IFERROR(__xludf.DUMMYFUNCTION("GOOGLETRANSLATE(C202,""fr"",""en"")"),"I have been subscribing for three years to this insurance company and have never encountered any problems.")</f>
        <v>I have been subscribing for three years to this insurance company and have never encountered any problems.</v>
      </c>
    </row>
    <row r="203" ht="15.75" customHeight="1">
      <c r="A203" s="2">
        <v>1.0</v>
      </c>
      <c r="B203" s="2" t="s">
        <v>681</v>
      </c>
      <c r="C203" s="2" t="s">
        <v>682</v>
      </c>
      <c r="D203" s="2" t="s">
        <v>110</v>
      </c>
      <c r="E203" s="2" t="s">
        <v>44</v>
      </c>
      <c r="F203" s="2" t="s">
        <v>15</v>
      </c>
      <c r="G203" s="2" t="s">
        <v>683</v>
      </c>
      <c r="H203" s="2" t="s">
        <v>185</v>
      </c>
      <c r="I203" s="3" t="str">
        <f>IFERROR(__xludf.DUMMYFUNCTION("GOOGLETRANSLATE(C203,""fr"",""en"")"),"I strongly advise against. Very bad payer.
They make the repayment files drag as much as possible by always asking you for a new document .... so as not to reimburse you.
Good to know, a breast mamography for a woman over 50 is not reimbursed at home.")</f>
        <v>I strongly advise against. Very bad payer.
They make the repayment files drag as much as possible by always asking you for a new document .... so as not to reimburse you.
Good to know, a breast mamography for a woman over 50 is not reimbursed at home.</v>
      </c>
    </row>
    <row r="204" ht="15.75" customHeight="1">
      <c r="A204" s="2">
        <v>1.0</v>
      </c>
      <c r="B204" s="2" t="s">
        <v>684</v>
      </c>
      <c r="C204" s="2" t="s">
        <v>685</v>
      </c>
      <c r="D204" s="2" t="s">
        <v>48</v>
      </c>
      <c r="E204" s="2" t="s">
        <v>14</v>
      </c>
      <c r="F204" s="2" t="s">
        <v>15</v>
      </c>
      <c r="G204" s="2" t="s">
        <v>686</v>
      </c>
      <c r="H204" s="2" t="s">
        <v>164</v>
      </c>
      <c r="I204" s="3" t="str">
        <f>IFERROR(__xludf.DUMMYFUNCTION("GOOGLETRANSLATE(C204,""fr"",""en"")"),"Hello,
I was given a bad info on the phone suddenly had to pay the broken pots.
In conclusion my car is pledged. So I can't resell it.
I do not recommend direct insurance.")</f>
        <v>Hello,
I was given a bad info on the phone suddenly had to pay the broken pots.
In conclusion my car is pledged. So I can't resell it.
I do not recommend direct insurance.</v>
      </c>
    </row>
    <row r="205" ht="15.75" customHeight="1">
      <c r="A205" s="2">
        <v>5.0</v>
      </c>
      <c r="B205" s="2" t="s">
        <v>687</v>
      </c>
      <c r="C205" s="2" t="s">
        <v>688</v>
      </c>
      <c r="D205" s="2" t="s">
        <v>13</v>
      </c>
      <c r="E205" s="2" t="s">
        <v>14</v>
      </c>
      <c r="F205" s="2" t="s">
        <v>15</v>
      </c>
      <c r="G205" s="2" t="s">
        <v>689</v>
      </c>
      <c r="H205" s="2" t="s">
        <v>67</v>
      </c>
      <c r="I205" s="3" t="str">
        <f>IFERROR(__xludf.DUMMYFUNCTION("GOOGLETRANSLATE(C205,""fr"",""en"")"),"Perfect, clear and precise information television listening.
Possibility of doing the necessary via customer area = time saving.
Quick treatment.")</f>
        <v>Perfect, clear and precise information television listening.
Possibility of doing the necessary via customer area = time saving.
Quick treatment.</v>
      </c>
    </row>
    <row r="206" ht="15.75" customHeight="1">
      <c r="A206" s="2">
        <v>1.0</v>
      </c>
      <c r="B206" s="2" t="s">
        <v>690</v>
      </c>
      <c r="C206" s="2" t="s">
        <v>691</v>
      </c>
      <c r="D206" s="2" t="s">
        <v>92</v>
      </c>
      <c r="E206" s="2" t="s">
        <v>44</v>
      </c>
      <c r="F206" s="2" t="s">
        <v>15</v>
      </c>
      <c r="G206" s="2" t="s">
        <v>692</v>
      </c>
      <c r="H206" s="2" t="s">
        <v>40</v>
      </c>
      <c r="I206" s="3" t="str">
        <f>IFERROR(__xludf.DUMMYFUNCTION("GOOGLETRANSLATE(C206,""fr"",""en"")"),"If you have a serious health problem putting your life in danger, pray so as not to be affiliated with the MGEN!
Advisers who have nothing to do and take refuge behind obscure protocols to justify an endless expectation to obtain the slightest paper.
If"&amp;" hospitalization is outside the agreement, you only have to pay, you will eventually be reimbursed afterwards.
Only fund that has no emergency procedure! TO FLEE!!!! What a shame !")</f>
        <v>If you have a serious health problem putting your life in danger, pray so as not to be affiliated with the MGEN!
Advisers who have nothing to do and take refuge behind obscure protocols to justify an endless expectation to obtain the slightest paper.
If hospitalization is outside the agreement, you only have to pay, you will eventually be reimbursed afterwards.
Only fund that has no emergency procedure! TO FLEE!!!! What a shame !</v>
      </c>
    </row>
    <row r="207" ht="15.75" customHeight="1">
      <c r="A207" s="2">
        <v>2.0</v>
      </c>
      <c r="B207" s="2" t="s">
        <v>693</v>
      </c>
      <c r="C207" s="2" t="s">
        <v>694</v>
      </c>
      <c r="D207" s="2" t="s">
        <v>32</v>
      </c>
      <c r="E207" s="2" t="s">
        <v>33</v>
      </c>
      <c r="F207" s="2" t="s">
        <v>15</v>
      </c>
      <c r="G207" s="2" t="s">
        <v>695</v>
      </c>
      <c r="H207" s="2" t="s">
        <v>200</v>
      </c>
      <c r="I207" s="3" t="str">
        <f>IFERROR(__xludf.DUMMYFUNCTION("GOOGLETRANSLATE(C207,""fr"",""en"")"),"faulty. For the reimbursement of my deceased mother, I was put in touch with more than 15 different interlocutors and more than 25 phone calls were necessary. In the end, the procedure does not seem to me perfectly. Too bad because it is at the time when "&amp;"the events are more painful than Sogecap posed the most difficulty. I did not, in fine, heard any questioning on the part of Sogecap. Vaguely dehumanized management. Regarding life insurance ... it is unfortunate.")</f>
        <v>faulty. For the reimbursement of my deceased mother, I was put in touch with more than 15 different interlocutors and more than 25 phone calls were necessary. In the end, the procedure does not seem to me perfectly. Too bad because it is at the time when the events are more painful than Sogecap posed the most difficulty. I did not, in fine, heard any questioning on the part of Sogecap. Vaguely dehumanized management. Regarding life insurance ... it is unfortunate.</v>
      </c>
    </row>
    <row r="208" ht="15.75" customHeight="1">
      <c r="A208" s="2">
        <v>4.0</v>
      </c>
      <c r="B208" s="2" t="s">
        <v>696</v>
      </c>
      <c r="C208" s="2" t="s">
        <v>697</v>
      </c>
      <c r="D208" s="2" t="s">
        <v>126</v>
      </c>
      <c r="E208" s="2" t="s">
        <v>127</v>
      </c>
      <c r="F208" s="2" t="s">
        <v>15</v>
      </c>
      <c r="G208" s="2" t="s">
        <v>698</v>
      </c>
      <c r="H208" s="2" t="s">
        <v>21</v>
      </c>
      <c r="I208" s="3" t="str">
        <f>IFERROR(__xludf.DUMMYFUNCTION("GOOGLETRANSLATE(C208,""fr"",""en"")"),"I am satisfied for the price and speed, I recommend.
 To see what it will give in the event of a problem. But on the other hand the inscription is simple")</f>
        <v>I am satisfied for the price and speed, I recommend.
 To see what it will give in the event of a problem. But on the other hand the inscription is simple</v>
      </c>
    </row>
    <row r="209" ht="15.75" customHeight="1">
      <c r="A209" s="2">
        <v>5.0</v>
      </c>
      <c r="B209" s="2" t="s">
        <v>699</v>
      </c>
      <c r="C209" s="2" t="s">
        <v>700</v>
      </c>
      <c r="D209" s="2" t="s">
        <v>372</v>
      </c>
      <c r="E209" s="2" t="s">
        <v>127</v>
      </c>
      <c r="F209" s="2" t="s">
        <v>15</v>
      </c>
      <c r="G209" s="2" t="s">
        <v>160</v>
      </c>
      <c r="H209" s="2" t="s">
        <v>50</v>
      </c>
      <c r="I209" s="3" t="str">
        <f>IFERROR(__xludf.DUMMYFUNCTION("GOOGLETRANSLATE(C209,""fr"",""en"")"),"Perfect: fast and clear service, very well informed, very competent and kind welcome.
Very correct and very competitive price
I highly recommend")</f>
        <v>Perfect: fast and clear service, very well informed, very competent and kind welcome.
Very correct and very competitive price
I highly recommend</v>
      </c>
    </row>
    <row r="210" ht="15.75" customHeight="1">
      <c r="A210" s="2">
        <v>2.0</v>
      </c>
      <c r="B210" s="2" t="s">
        <v>701</v>
      </c>
      <c r="C210" s="2" t="s">
        <v>702</v>
      </c>
      <c r="D210" s="2" t="s">
        <v>296</v>
      </c>
      <c r="E210" s="2" t="s">
        <v>14</v>
      </c>
      <c r="F210" s="2" t="s">
        <v>15</v>
      </c>
      <c r="G210" s="2" t="s">
        <v>703</v>
      </c>
      <c r="H210" s="2" t="s">
        <v>612</v>
      </c>
      <c r="I210" s="3" t="str">
        <f>IFERROR(__xludf.DUMMYFUNCTION("GOOGLETRANSLATE(C210,""fr"",""en"")"),"Beware of anyone wishing to subscribe to them: if you have a penalty and you change your address, it will tell you that it is no longer possible to ensure your vehicle on the pretext that they no longer have a price for Offer and leave you for 1 month to "&amp;"find another insurance .... Magnificent !!!!")</f>
        <v>Beware of anyone wishing to subscribe to them: if you have a penalty and you change your address, it will tell you that it is no longer possible to ensure your vehicle on the pretext that they no longer have a price for Offer and leave you for 1 month to find another insurance .... Magnificent !!!!</v>
      </c>
    </row>
    <row r="211" ht="15.75" customHeight="1">
      <c r="A211" s="2">
        <v>1.0</v>
      </c>
      <c r="B211" s="2" t="s">
        <v>704</v>
      </c>
      <c r="C211" s="2" t="s">
        <v>705</v>
      </c>
      <c r="D211" s="2" t="s">
        <v>48</v>
      </c>
      <c r="E211" s="2" t="s">
        <v>14</v>
      </c>
      <c r="F211" s="2" t="s">
        <v>15</v>
      </c>
      <c r="G211" s="2" t="s">
        <v>706</v>
      </c>
      <c r="H211" s="2" t="s">
        <v>67</v>
      </c>
      <c r="I211" s="3" t="str">
        <f>IFERROR(__xludf.DUMMYFUNCTION("GOOGLETRANSLATE(C211,""fr"",""en"")"),"I have 3 sitting vehicles, I have not had a claim for over 12 years, and I find that the contributions are expensive in view of my file.
You do not take into account that these 3 vehicles are assured at home!")</f>
        <v>I have 3 sitting vehicles, I have not had a claim for over 12 years, and I find that the contributions are expensive in view of my file.
You do not take into account that these 3 vehicles are assured at home!</v>
      </c>
    </row>
    <row r="212" ht="15.75" customHeight="1">
      <c r="A212" s="2">
        <v>1.0</v>
      </c>
      <c r="B212" s="2" t="s">
        <v>707</v>
      </c>
      <c r="C212" s="2" t="s">
        <v>708</v>
      </c>
      <c r="D212" s="2" t="s">
        <v>121</v>
      </c>
      <c r="E212" s="2" t="s">
        <v>285</v>
      </c>
      <c r="F212" s="2" t="s">
        <v>15</v>
      </c>
      <c r="G212" s="2" t="s">
        <v>709</v>
      </c>
      <c r="H212" s="2" t="s">
        <v>204</v>
      </c>
      <c r="I212" s="3" t="str">
        <f>IFERROR(__xludf.DUMMYFUNCTION("GOOGLETRANSLATE(C212,""fr"",""en"")"),"Flee, run away, run away! MAIF customer for almost 20 years, I contacted the MAIF for the implementation of my serenity legal protection for almost 6 months: no support, document requests just to save time, no measurement of taking The company ... of cour"&amp;"se, it must depend on the lawyer who processes your file ...")</f>
        <v>Flee, run away, run away! MAIF customer for almost 20 years, I contacted the MAIF for the implementation of my serenity legal protection for almost 6 months: no support, document requests just to save time, no measurement of taking The company ... of course, it must depend on the lawyer who processes your file ...</v>
      </c>
    </row>
    <row r="213" ht="15.75" customHeight="1">
      <c r="A213" s="2">
        <v>4.0</v>
      </c>
      <c r="B213" s="2" t="s">
        <v>710</v>
      </c>
      <c r="C213" s="2" t="s">
        <v>711</v>
      </c>
      <c r="D213" s="2" t="s">
        <v>48</v>
      </c>
      <c r="E213" s="2" t="s">
        <v>14</v>
      </c>
      <c r="F213" s="2" t="s">
        <v>15</v>
      </c>
      <c r="G213" s="2" t="s">
        <v>542</v>
      </c>
      <c r="H213" s="2" t="s">
        <v>89</v>
      </c>
      <c r="I213" s="3" t="str">
        <f>IFERROR(__xludf.DUMMYFUNCTION("GOOGLETRANSLATE(C213,""fr"",""en"")"),"I am satisfied with the conditions proposed and I send you the requested documents as soon as possible, I would be able to offer your insurance to people capable of ensuring")</f>
        <v>I am satisfied with the conditions proposed and I send you the requested documents as soon as possible, I would be able to offer your insurance to people capable of ensuring</v>
      </c>
    </row>
    <row r="214" ht="15.75" customHeight="1">
      <c r="A214" s="2">
        <v>2.0</v>
      </c>
      <c r="B214" s="2" t="s">
        <v>712</v>
      </c>
      <c r="C214" s="2" t="s">
        <v>713</v>
      </c>
      <c r="D214" s="2" t="s">
        <v>48</v>
      </c>
      <c r="E214" s="2" t="s">
        <v>14</v>
      </c>
      <c r="F214" s="2" t="s">
        <v>15</v>
      </c>
      <c r="G214" s="2" t="s">
        <v>714</v>
      </c>
      <c r="H214" s="2" t="s">
        <v>298</v>
      </c>
      <c r="I214" s="3" t="str">
        <f>IFERROR(__xludf.DUMMYFUNCTION("GOOGLETRANSLATE(C214,""fr"",""en"")"),"To avoid absolutely .... despite all -risk insurance + serenity pack ... I am in my pocket for a towing on a fast track following puncture. The different services are all on a platform in Morocco ... and are almost all incompetent, often they do not even "&amp;"understand what you ask them ... I told me that M a wheel has gone !!!! ! I terminate my insurance today ..... and I go back to Pacifica. My mechanic tells me that it is commonplace with Direct Assurances ... They drag the files (experts of experts) to th"&amp;"e maximum to dissuade people. Finally, although it is one you will always be much less assured than with another insurer worthy of the name.")</f>
        <v>To avoid absolutely .... despite all -risk insurance + serenity pack ... I am in my pocket for a towing on a fast track following puncture. The different services are all on a platform in Morocco ... and are almost all incompetent, often they do not even understand what you ask them ... I told me that M a wheel has gone !!!! ! I terminate my insurance today ..... and I go back to Pacifica. My mechanic tells me that it is commonplace with Direct Assurances ... They drag the files (experts of experts) to the maximum to dissuade people. Finally, although it is one you will always be much less assured than with another insurer worthy of the name.</v>
      </c>
    </row>
    <row r="215" ht="15.75" customHeight="1">
      <c r="A215" s="2">
        <v>1.0</v>
      </c>
      <c r="B215" s="2" t="s">
        <v>715</v>
      </c>
      <c r="C215" s="2" t="s">
        <v>716</v>
      </c>
      <c r="D215" s="2" t="s">
        <v>219</v>
      </c>
      <c r="E215" s="2" t="s">
        <v>38</v>
      </c>
      <c r="F215" s="2" t="s">
        <v>15</v>
      </c>
      <c r="G215" s="2" t="s">
        <v>717</v>
      </c>
      <c r="H215" s="2" t="s">
        <v>85</v>
      </c>
      <c r="I215" s="3" t="str">
        <f>IFERROR(__xludf.DUMMYFUNCTION("GOOGLETRANSLATE(C215,""fr"",""en"")"),"Gan Provident is an insurance that took advantage of the coronavirus to, impose non -response deadlines, I am in disability cat 2 and they have made a payment on an account fence for 15 days when I told them and writes. ...
Supplied my new RIB, the payme"&amp;"nt of 15,000 euros around is returning to their issuing bank and since it impossible to recover this money, bad faith and multiple pretexts to save time, please join me I will create an association to go to court for To assert the rights of the insured an"&amp;"d to make known their actions, I count a lot on the law of the number to taint the commercial image which is to note to date 1.7 out of 5 thank you for joining me at pjdalbert@gmail.com, several lawyers volunteers will join me if we are representative")</f>
        <v>Gan Provident is an insurance that took advantage of the coronavirus to, impose non -response deadlines, I am in disability cat 2 and they have made a payment on an account fence for 15 days when I told them and writes. ...
Supplied my new RIB, the payment of 15,000 euros around is returning to their issuing bank and since it impossible to recover this money, bad faith and multiple pretexts to save time, please join me I will create an association to go to court for To assert the rights of the insured and to make known their actions, I count a lot on the law of the number to taint the commercial image which is to note to date 1.7 out of 5 thank you for joining me at pjdalbert@gmail.com, several lawyers volunteers will join me if we are representative</v>
      </c>
    </row>
    <row r="216" ht="15.75" customHeight="1">
      <c r="A216" s="2">
        <v>1.0</v>
      </c>
      <c r="B216" s="2" t="s">
        <v>718</v>
      </c>
      <c r="C216" s="2" t="s">
        <v>719</v>
      </c>
      <c r="D216" s="2" t="s">
        <v>48</v>
      </c>
      <c r="E216" s="2" t="s">
        <v>14</v>
      </c>
      <c r="F216" s="2" t="s">
        <v>15</v>
      </c>
      <c r="G216" s="2" t="s">
        <v>720</v>
      </c>
      <c r="H216" s="2" t="s">
        <v>89</v>
      </c>
      <c r="I216" s="3" t="str">
        <f>IFERROR(__xludf.DUMMYFUNCTION("GOOGLETRANSLATE(C216,""fr"",""en"")"),"Thank you because this year you have increased that by 8% is good because other years it was between 12% and 16% be careful because you will jeopardize your company")</f>
        <v>Thank you because this year you have increased that by 8% is good because other years it was between 12% and 16% be careful because you will jeopardize your company</v>
      </c>
    </row>
    <row r="217" ht="15.75" customHeight="1">
      <c r="A217" s="2">
        <v>3.0</v>
      </c>
      <c r="B217" s="2" t="s">
        <v>721</v>
      </c>
      <c r="C217" s="2" t="s">
        <v>722</v>
      </c>
      <c r="D217" s="2" t="s">
        <v>48</v>
      </c>
      <c r="E217" s="2" t="s">
        <v>14</v>
      </c>
      <c r="F217" s="2" t="s">
        <v>15</v>
      </c>
      <c r="G217" s="2" t="s">
        <v>379</v>
      </c>
      <c r="H217" s="2" t="s">
        <v>99</v>
      </c>
      <c r="I217" s="3" t="str">
        <f>IFERROR(__xludf.DUMMYFUNCTION("GOOGLETRANSLATE(C217,""fr"",""en"")"),"I am satisfied with the simple and practical service
The prices are a little expensive but it remains correct
Easy to join and answer all our questions
I highly recommend")</f>
        <v>I am satisfied with the simple and practical service
The prices are a little expensive but it remains correct
Easy to join and answer all our questions
I highly recommend</v>
      </c>
    </row>
    <row r="218" ht="15.75" customHeight="1">
      <c r="A218" s="2">
        <v>3.0</v>
      </c>
      <c r="B218" s="2" t="s">
        <v>723</v>
      </c>
      <c r="C218" s="2" t="s">
        <v>724</v>
      </c>
      <c r="D218" s="2" t="s">
        <v>330</v>
      </c>
      <c r="E218" s="2" t="s">
        <v>38</v>
      </c>
      <c r="F218" s="2" t="s">
        <v>15</v>
      </c>
      <c r="G218" s="2" t="s">
        <v>725</v>
      </c>
      <c r="H218" s="2" t="s">
        <v>169</v>
      </c>
      <c r="I218" s="3" t="str">
        <f>IFERROR(__xludf.DUMMYFUNCTION("GOOGLETRANSLATE(C218,""fr"",""en"")"),"Lies on lies!
It is not innocent if the MGP has lost thousands of customers since 2014. And now to recover customers, especially in schools, strangely, they do not say everything, once again they lie.
Personally, after 26 years of contribu"&amp;"tions from them, they have my file dragged for the additional salary.
Last in progress: documents provided on December 21, still no supplement paid to date (January 30), every month it is the same despite my many telephone calls where it is replied: it i"&amp;"s good it is done. response given among others on January 12. So there is something to say, they are liars or good to nothing!
I encourage you to spend 10 or 20 euros more per month for another mutual, you will see that you will find your happines"&amp;"s there. Study and compare well before signing in these ""bad faithers""
Contrary to what I have read, this mutual is not managed by police officers and was bought by GMF")</f>
        <v>Lies on lies!
It is not innocent if the MGP has lost thousands of customers since 2014. And now to recover customers, especially in schools, strangely, they do not say everything, once again they lie.
Personally, after 26 years of contributions from them, they have my file dragged for the additional salary.
Last in progress: documents provided on December 21, still no supplement paid to date (January 30), every month it is the same despite my many telephone calls where it is replied: it is good it is done. response given among others on January 12. So there is something to say, they are liars or good to nothing!
I encourage you to spend 10 or 20 euros more per month for another mutual, you will see that you will find your happiness there. Study and compare well before signing in these "bad faithers"
Contrary to what I have read, this mutual is not managed by police officers and was bought by GMF</v>
      </c>
    </row>
    <row r="219" ht="15.75" customHeight="1">
      <c r="A219" s="2">
        <v>4.0</v>
      </c>
      <c r="B219" s="2" t="s">
        <v>726</v>
      </c>
      <c r="C219" s="2" t="s">
        <v>727</v>
      </c>
      <c r="D219" s="2" t="s">
        <v>135</v>
      </c>
      <c r="E219" s="2" t="s">
        <v>44</v>
      </c>
      <c r="F219" s="2" t="s">
        <v>15</v>
      </c>
      <c r="G219" s="2" t="s">
        <v>728</v>
      </c>
      <c r="H219" s="2" t="s">
        <v>729</v>
      </c>
      <c r="I219" s="3" t="str">
        <f>IFERROR(__xludf.DUMMYFUNCTION("GOOGLETRANSLATE(C219,""fr"",""en"")"),"I thank Sabrina for her welcome and her effectiveness in answering my very friendly agent questions thank you again")</f>
        <v>I thank Sabrina for her welcome and her effectiveness in answering my very friendly agent questions thank you again</v>
      </c>
    </row>
    <row r="220" ht="15.75" customHeight="1">
      <c r="A220" s="2">
        <v>1.0</v>
      </c>
      <c r="B220" s="2" t="s">
        <v>730</v>
      </c>
      <c r="C220" s="2" t="s">
        <v>731</v>
      </c>
      <c r="D220" s="2" t="s">
        <v>155</v>
      </c>
      <c r="E220" s="2" t="s">
        <v>14</v>
      </c>
      <c r="F220" s="2" t="s">
        <v>15</v>
      </c>
      <c r="G220" s="2" t="s">
        <v>732</v>
      </c>
      <c r="H220" s="2" t="s">
        <v>173</v>
      </c>
      <c r="I220" s="3" t="str">
        <f>IFERROR(__xludf.DUMMYFUNCTION("GOOGLETRANSLATE(C220,""fr"",""en"")"),"Good evening my car was burnt down by propagation on October 29, 2019. My neighbors suffered several acts of vandalism from their ex -owner. I have no refusals or any payment. I see a letter of formal notice to be able to assert ""legal protection"". I ha"&amp;"ve been alone with 3 young children and on foot for almost 10 months. No more outings for us, sport and limits races too. Thank you Allianz")</f>
        <v>Good evening my car was burnt down by propagation on October 29, 2019. My neighbors suffered several acts of vandalism from their ex -owner. I have no refusals or any payment. I see a letter of formal notice to be able to assert "legal protection". I have been alone with 3 young children and on foot for almost 10 months. No more outings for us, sport and limits races too. Thank you Allianz</v>
      </c>
    </row>
    <row r="221" ht="15.75" customHeight="1">
      <c r="A221" s="2">
        <v>3.0</v>
      </c>
      <c r="B221" s="2" t="s">
        <v>733</v>
      </c>
      <c r="C221" s="2" t="s">
        <v>734</v>
      </c>
      <c r="D221" s="2" t="s">
        <v>28</v>
      </c>
      <c r="E221" s="2" t="s">
        <v>14</v>
      </c>
      <c r="F221" s="2" t="s">
        <v>15</v>
      </c>
      <c r="G221" s="2" t="s">
        <v>345</v>
      </c>
      <c r="H221" s="2" t="s">
        <v>50</v>
      </c>
      <c r="I221" s="3" t="str">
        <f>IFERROR(__xludf.DUMMYFUNCTION("GOOGLETRANSLATE(C221,""fr"",""en"")"),"Simple and effective site - Too bad to be obliged to move to an appointment in an agency 1 hour drive from my domicilia to renegotiate our current contracts")</f>
        <v>Simple and effective site - Too bad to be obliged to move to an appointment in an agency 1 hour drive from my domicilia to renegotiate our current contracts</v>
      </c>
    </row>
    <row r="222" ht="15.75" customHeight="1">
      <c r="A222" s="2">
        <v>4.0</v>
      </c>
      <c r="B222" s="2" t="s">
        <v>735</v>
      </c>
      <c r="C222" s="2" t="s">
        <v>736</v>
      </c>
      <c r="D222" s="2" t="s">
        <v>48</v>
      </c>
      <c r="E222" s="2" t="s">
        <v>14</v>
      </c>
      <c r="F222" s="2" t="s">
        <v>15</v>
      </c>
      <c r="G222" s="2" t="s">
        <v>737</v>
      </c>
      <c r="H222" s="2" t="s">
        <v>99</v>
      </c>
      <c r="I222" s="3" t="str">
        <f>IFERROR(__xludf.DUMMYFUNCTION("GOOGLETRANSLATE(C222,""fr"",""en"")"),"Easy subscription, competitive price. I never had a claim and after a simple request for a price reduction I was able to obtain a commercial gesture.")</f>
        <v>Easy subscription, competitive price. I never had a claim and after a simple request for a price reduction I was able to obtain a commercial gesture.</v>
      </c>
    </row>
    <row r="223" ht="15.75" customHeight="1">
      <c r="A223" s="2">
        <v>2.0</v>
      </c>
      <c r="B223" s="2" t="s">
        <v>738</v>
      </c>
      <c r="C223" s="2" t="s">
        <v>739</v>
      </c>
      <c r="D223" s="2" t="s">
        <v>372</v>
      </c>
      <c r="E223" s="2" t="s">
        <v>127</v>
      </c>
      <c r="F223" s="2" t="s">
        <v>15</v>
      </c>
      <c r="G223" s="2" t="s">
        <v>740</v>
      </c>
      <c r="H223" s="2" t="s">
        <v>468</v>
      </c>
      <c r="I223" s="3" t="str">
        <f>IFERROR(__xludf.DUMMYFUNCTION("GOOGLETRANSLATE(C223,""fr"",""en"")"),"Body accident not responsible for more than 4 months ago (2 surgical intervention). The backpacking of the vehicle intervened in time. On the other hand for all that is bodily, I have the impression that there is no follow -up, I learn after 4 months and "&amp;"dozens of call that my file is incomplete. Contractation between the different interlocutors I have had. A real disaster !!!")</f>
        <v>Body accident not responsible for more than 4 months ago (2 surgical intervention). The backpacking of the vehicle intervened in time. On the other hand for all that is bodily, I have the impression that there is no follow -up, I learn after 4 months and dozens of call that my file is incomplete. Contractation between the different interlocutors I have had. A real disaster !!!</v>
      </c>
    </row>
    <row r="224" ht="15.75" customHeight="1">
      <c r="A224" s="2">
        <v>5.0</v>
      </c>
      <c r="B224" s="2" t="s">
        <v>741</v>
      </c>
      <c r="C224" s="2" t="s">
        <v>742</v>
      </c>
      <c r="D224" s="2" t="s">
        <v>126</v>
      </c>
      <c r="E224" s="2" t="s">
        <v>127</v>
      </c>
      <c r="F224" s="2" t="s">
        <v>15</v>
      </c>
      <c r="G224" s="2" t="s">
        <v>743</v>
      </c>
      <c r="H224" s="2" t="s">
        <v>89</v>
      </c>
      <c r="I224" s="3" t="str">
        <f>IFERROR(__xludf.DUMMYFUNCTION("GOOGLETRANSLATE(C224,""fr"",""en"")"),"Fast and efficient I am satisfied with the insurance service and recommends it to my friends
Already customer by ke always delights delighted
Of this service cordially")</f>
        <v>Fast and efficient I am satisfied with the insurance service and recommends it to my friends
Already customer by ke always delights delighted
Of this service cordially</v>
      </c>
    </row>
    <row r="225" ht="15.75" customHeight="1">
      <c r="A225" s="2">
        <v>2.0</v>
      </c>
      <c r="B225" s="2" t="s">
        <v>744</v>
      </c>
      <c r="C225" s="2" t="s">
        <v>745</v>
      </c>
      <c r="D225" s="2" t="s">
        <v>28</v>
      </c>
      <c r="E225" s="2" t="s">
        <v>285</v>
      </c>
      <c r="F225" s="2" t="s">
        <v>15</v>
      </c>
      <c r="G225" s="2" t="s">
        <v>746</v>
      </c>
      <c r="H225" s="2" t="s">
        <v>67</v>
      </c>
      <c r="I225" s="3" t="str">
        <f>IFERROR(__xludf.DUMMYFUNCTION("GOOGLETRANSLATE(C225,""fr"",""en"")"),"Insurance that does not manage its claims in time, with advisers who want to bring the responsibilities to carry the responsibilities it can assume (such as the absence of financial provision).
I had two claims, one settled in about 8 months, the other"&amp;" still not settled when it is already almost eight months. The advisor told me on the phone that ""some claims took years to resolve."" In addition, she told me that she did not want to comply with article L 211-13 of the insurance code, which stipulates "&amp;"that in the absence of an answer eight months from the accident, the amount of the Compensation product as of right to double the legal interest rate.
If you have a problem, do not count on the GMF to solve it.")</f>
        <v>Insurance that does not manage its claims in time, with advisers who want to bring the responsibilities to carry the responsibilities it can assume (such as the absence of financial provision).
I had two claims, one settled in about 8 months, the other still not settled when it is already almost eight months. The advisor told me on the phone that "some claims took years to resolve." In addition, she told me that she did not want to comply with article L 211-13 of the insurance code, which stipulates that in the absence of an answer eight months from the accident, the amount of the Compensation product as of right to double the legal interest rate.
If you have a problem, do not count on the GMF to solve it.</v>
      </c>
    </row>
    <row r="226" ht="15.75" customHeight="1">
      <c r="A226" s="2">
        <v>1.0</v>
      </c>
      <c r="B226" s="2" t="s">
        <v>747</v>
      </c>
      <c r="C226" s="2" t="s">
        <v>748</v>
      </c>
      <c r="D226" s="2" t="s">
        <v>48</v>
      </c>
      <c r="E226" s="2" t="s">
        <v>285</v>
      </c>
      <c r="F226" s="2" t="s">
        <v>15</v>
      </c>
      <c r="G226" s="2" t="s">
        <v>749</v>
      </c>
      <c r="H226" s="2" t="s">
        <v>231</v>
      </c>
      <c r="I226" s="3" t="str">
        <f>IFERROR(__xludf.DUMMYFUNCTION("GOOGLETRANSLATE(C226,""fr"",""en"")"),"On 08/26/2020 I received the maturity notice of my main home The amount amounted to € 800,52, an increase of 20% compared to the previous year without any declared claims. The other companies are around 2 to 3% on average.
On 08/27/2020 I phone Direct In"&amp;"surance in order to obtain the justification of this increase, the answer is the current situation the trais and the famous ""COVID"" This explanation does not suit me and I ask to be in relation to a responsible. After a few standards I am told that I am"&amp;" going to remind me today or tomorrow, it was 4:30 p.m.
Today we are 2/10/2020 and my phone has remained completely silent.
Faced with such an casualness I therefore terminated my contract and passed on another company which applies very good prices for"&amp;" the same guarantees.
My advice :
Take care to compare before committing yourself and do not forget to study the franchises. Online companies do not always provide the best services and the best prices.
 ")</f>
        <v>On 08/26/2020 I received the maturity notice of my main home The amount amounted to € 800,52, an increase of 20% compared to the previous year without any declared claims. The other companies are around 2 to 3% on average.
On 08/27/2020 I phone Direct Insurance in order to obtain the justification of this increase, the answer is the current situation the trais and the famous "COVID" This explanation does not suit me and I ask to be in relation to a responsible. After a few standards I am told that I am going to remind me today or tomorrow, it was 4:30 p.m.
Today we are 2/10/2020 and my phone has remained completely silent.
Faced with such an casualness I therefore terminated my contract and passed on another company which applies very good prices for the same guarantees.
My advice :
Take care to compare before committing yourself and do not forget to study the franchises. Online companies do not always provide the best services and the best prices.
 </v>
      </c>
    </row>
    <row r="227" ht="15.75" customHeight="1">
      <c r="A227" s="2">
        <v>5.0</v>
      </c>
      <c r="B227" s="2" t="s">
        <v>750</v>
      </c>
      <c r="C227" s="2" t="s">
        <v>751</v>
      </c>
      <c r="D227" s="2" t="s">
        <v>126</v>
      </c>
      <c r="E227" s="2" t="s">
        <v>127</v>
      </c>
      <c r="F227" s="2" t="s">
        <v>15</v>
      </c>
      <c r="G227" s="2" t="s">
        <v>752</v>
      </c>
      <c r="H227" s="2" t="s">
        <v>17</v>
      </c>
      <c r="I227" s="3" t="str">
        <f>IFERROR(__xludf.DUMMYFUNCTION("GOOGLETRANSLATE(C227,""fr"",""en"")"),"I am very satisfied with your service, I thank you I am very satisfied with your service, I thank you I am very satisfied with your service, thank you")</f>
        <v>I am very satisfied with your service, I thank you I am very satisfied with your service, I thank you I am very satisfied with your service, thank you</v>
      </c>
    </row>
    <row r="228" ht="15.75" customHeight="1">
      <c r="A228" s="2">
        <v>5.0</v>
      </c>
      <c r="B228" s="2" t="s">
        <v>753</v>
      </c>
      <c r="C228" s="2" t="s">
        <v>754</v>
      </c>
      <c r="D228" s="2" t="s">
        <v>48</v>
      </c>
      <c r="E228" s="2" t="s">
        <v>14</v>
      </c>
      <c r="F228" s="2" t="s">
        <v>15</v>
      </c>
      <c r="G228" s="2" t="s">
        <v>755</v>
      </c>
      <c r="H228" s="2" t="s">
        <v>29</v>
      </c>
      <c r="I228" s="3" t="str">
        <f>IFERROR(__xludf.DUMMYFUNCTION("GOOGLETRANSLATE(C228,""fr"",""en"")"),"I am satisfied with your proposal and will ask you for the second car hoping to obtain the best price simply
Best regards")</f>
        <v>I am satisfied with your proposal and will ask you for the second car hoping to obtain the best price simply
Best regards</v>
      </c>
    </row>
    <row r="229" ht="15.75" customHeight="1">
      <c r="A229" s="2">
        <v>3.0</v>
      </c>
      <c r="B229" s="2" t="s">
        <v>756</v>
      </c>
      <c r="C229" s="2" t="s">
        <v>757</v>
      </c>
      <c r="D229" s="2" t="s">
        <v>48</v>
      </c>
      <c r="E229" s="2" t="s">
        <v>14</v>
      </c>
      <c r="F229" s="2" t="s">
        <v>15</v>
      </c>
      <c r="G229" s="2" t="s">
        <v>758</v>
      </c>
      <c r="H229" s="2" t="s">
        <v>628</v>
      </c>
      <c r="I229" s="3" t="str">
        <f>IFERROR(__xludf.DUMMYFUNCTION("GOOGLETRANSLATE(C229,""fr"",""en"")"),"Direct insurance 1 year without problem but 10% increase is unacceptable especially when road activity is reduced by at least 60% but it is the moments of taking advantage of it to make very good dividends too It will be without me
Goodbye Direct Assuran"&amp;"ce")</f>
        <v>Direct insurance 1 year without problem but 10% increase is unacceptable especially when road activity is reduced by at least 60% but it is the moments of taking advantage of it to make very good dividends too It will be without me
Goodbye Direct Assurance</v>
      </c>
    </row>
    <row r="230" ht="15.75" customHeight="1">
      <c r="A230" s="2">
        <v>1.0</v>
      </c>
      <c r="B230" s="2" t="s">
        <v>759</v>
      </c>
      <c r="C230" s="2" t="s">
        <v>760</v>
      </c>
      <c r="D230" s="2" t="s">
        <v>83</v>
      </c>
      <c r="E230" s="2" t="s">
        <v>14</v>
      </c>
      <c r="F230" s="2" t="s">
        <v>15</v>
      </c>
      <c r="G230" s="2" t="s">
        <v>761</v>
      </c>
      <c r="H230" s="2" t="s">
        <v>729</v>
      </c>
      <c r="I230" s="3" t="str">
        <f>IFERROR(__xludf.DUMMYFUNCTION("GOOGLETRANSLATE(C230,""fr"",""en"")"),"Insurance to flee if you want a quality customer service. This insurance absolutely does not hold its commitments to respond within 5 days and keep you informed regularly, it is purely of false advertising. I will contact 60 million consumers. 12 years wi"&amp;"th them without any claim and when they need them, they leave their customers in disarray without offering a solution. It's a shame !")</f>
        <v>Insurance to flee if you want a quality customer service. This insurance absolutely does not hold its commitments to respond within 5 days and keep you informed regularly, it is purely of false advertising. I will contact 60 million consumers. 12 years with them without any claim and when they need them, they leave their customers in disarray without offering a solution. It's a shame !</v>
      </c>
    </row>
    <row r="231" ht="15.75" customHeight="1">
      <c r="A231" s="2">
        <v>1.0</v>
      </c>
      <c r="B231" s="2" t="s">
        <v>762</v>
      </c>
      <c r="C231" s="2" t="s">
        <v>763</v>
      </c>
      <c r="D231" s="2" t="s">
        <v>400</v>
      </c>
      <c r="E231" s="2" t="s">
        <v>285</v>
      </c>
      <c r="F231" s="2" t="s">
        <v>15</v>
      </c>
      <c r="G231" s="2" t="s">
        <v>764</v>
      </c>
      <c r="H231" s="2" t="s">
        <v>231</v>
      </c>
      <c r="I231" s="3" t="str">
        <f>IFERROR(__xludf.DUMMYFUNCTION("GOOGLETRANSLATE(C231,""fr"",""en"")"),"Seeking by any way to reimburse as little as possible and I toured much cheaper elsewhere. Make you derogatory reflections, don't tell you that you can contest.")</f>
        <v>Seeking by any way to reimburse as little as possible and I toured much cheaper elsewhere. Make you derogatory reflections, don't tell you that you can contest.</v>
      </c>
    </row>
    <row r="232" ht="15.75" customHeight="1">
      <c r="A232" s="2">
        <v>3.0</v>
      </c>
      <c r="B232" s="2" t="s">
        <v>765</v>
      </c>
      <c r="C232" s="2" t="s">
        <v>766</v>
      </c>
      <c r="D232" s="2" t="s">
        <v>121</v>
      </c>
      <c r="E232" s="2" t="s">
        <v>14</v>
      </c>
      <c r="F232" s="2" t="s">
        <v>15</v>
      </c>
      <c r="G232" s="2" t="s">
        <v>331</v>
      </c>
      <c r="H232" s="2" t="s">
        <v>85</v>
      </c>
      <c r="I232" s="3" t="str">
        <f>IFERROR(__xludf.DUMMYFUNCTION("GOOGLETRANSLATE(C232,""fr"",""en"")"),"MAIF plays a false relationship with its shareholders. In reality, shareholders' representatives, often in the same idea as the leader Staf, often do it seems to me the game of the Management Board and the President. It follows that the MAIF is less and l"&amp;"ess to the insurer and therefore, it is enough to compare, its prices are above the market for similar guarantees. It is certain that some of my contracts will pass to other insurers ...")</f>
        <v>MAIF plays a false relationship with its shareholders. In reality, shareholders' representatives, often in the same idea as the leader Staf, often do it seems to me the game of the Management Board and the President. It follows that the MAIF is less and less to the insurer and therefore, it is enough to compare, its prices are above the market for similar guarantees. It is certain that some of my contracts will pass to other insurers ...</v>
      </c>
    </row>
    <row r="233" ht="15.75" customHeight="1">
      <c r="A233" s="2">
        <v>4.0</v>
      </c>
      <c r="B233" s="2" t="s">
        <v>767</v>
      </c>
      <c r="C233" s="2" t="s">
        <v>768</v>
      </c>
      <c r="D233" s="2" t="s">
        <v>13</v>
      </c>
      <c r="E233" s="2" t="s">
        <v>14</v>
      </c>
      <c r="F233" s="2" t="s">
        <v>15</v>
      </c>
      <c r="G233" s="2" t="s">
        <v>755</v>
      </c>
      <c r="H233" s="2" t="s">
        <v>29</v>
      </c>
      <c r="I233" s="3" t="str">
        <f>IFERROR(__xludf.DUMMYFUNCTION("GOOGLETRANSLATE(C233,""fr"",""en"")"),"Simple and efficient, very satisfactory services. Quick inscription and good general conditions to be able to ensure your vehicle. Insurance to advise")</f>
        <v>Simple and efficient, very satisfactory services. Quick inscription and good general conditions to be able to ensure your vehicle. Insurance to advise</v>
      </c>
    </row>
    <row r="234" ht="15.75" customHeight="1">
      <c r="A234" s="2">
        <v>5.0</v>
      </c>
      <c r="B234" s="2" t="s">
        <v>769</v>
      </c>
      <c r="C234" s="2" t="s">
        <v>770</v>
      </c>
      <c r="D234" s="2" t="s">
        <v>284</v>
      </c>
      <c r="E234" s="2" t="s">
        <v>285</v>
      </c>
      <c r="F234" s="2" t="s">
        <v>15</v>
      </c>
      <c r="G234" s="2" t="s">
        <v>771</v>
      </c>
      <c r="H234" s="2" t="s">
        <v>589</v>
      </c>
      <c r="I234" s="3" t="str">
        <f>IFERROR(__xludf.DUMMYFUNCTION("GOOGLETRANSLATE(C234,""fr"",""en"")"),"I suffered the storm of Nov 19. My disaster was taken care of very quickly and I was compensated correctly, yet it was a great national claim, my request was not isolated.")</f>
        <v>I suffered the storm of Nov 19. My disaster was taken care of very quickly and I was compensated correctly, yet it was a great national claim, my request was not isolated.</v>
      </c>
    </row>
    <row r="235" ht="15.75" customHeight="1">
      <c r="A235" s="2">
        <v>1.0</v>
      </c>
      <c r="B235" s="2" t="s">
        <v>772</v>
      </c>
      <c r="C235" s="2" t="s">
        <v>773</v>
      </c>
      <c r="D235" s="2" t="s">
        <v>135</v>
      </c>
      <c r="E235" s="2" t="s">
        <v>44</v>
      </c>
      <c r="F235" s="2" t="s">
        <v>15</v>
      </c>
      <c r="G235" s="2" t="s">
        <v>774</v>
      </c>
      <c r="H235" s="2" t="s">
        <v>468</v>
      </c>
      <c r="I235" s="3" t="str">
        <f>IFERROR(__xludf.DUMMYFUNCTION("GOOGLETRANSLATE(C235,""fr"",""en"")"),"Mutual to flee, reimbursements are very rare, never the same contacts on the phone, are not very competent")</f>
        <v>Mutual to flee, reimbursements are very rare, never the same contacts on the phone, are not very competent</v>
      </c>
    </row>
    <row r="236" ht="15.75" customHeight="1">
      <c r="A236" s="2">
        <v>4.0</v>
      </c>
      <c r="B236" s="2" t="s">
        <v>775</v>
      </c>
      <c r="C236" s="2" t="s">
        <v>776</v>
      </c>
      <c r="D236" s="2" t="s">
        <v>53</v>
      </c>
      <c r="E236" s="2" t="s">
        <v>44</v>
      </c>
      <c r="F236" s="2" t="s">
        <v>15</v>
      </c>
      <c r="G236" s="2" t="s">
        <v>777</v>
      </c>
      <c r="H236" s="2" t="s">
        <v>89</v>
      </c>
      <c r="I236" s="3" t="str">
        <f>IFERROR(__xludf.DUMMYFUNCTION("GOOGLETRANSLATE(C236,""fr"",""en"")"),"Nisrine was at the top
Very attentive, warm and who took the time to understand my questions and answer it with precision that I have greatly appreciated.
Elements to keep!")</f>
        <v>Nisrine was at the top
Very attentive, warm and who took the time to understand my questions and answer it with precision that I have greatly appreciated.
Elements to keep!</v>
      </c>
    </row>
    <row r="237" ht="15.75" customHeight="1">
      <c r="A237" s="2">
        <v>1.0</v>
      </c>
      <c r="B237" s="2" t="s">
        <v>778</v>
      </c>
      <c r="C237" s="2" t="s">
        <v>779</v>
      </c>
      <c r="D237" s="2" t="s">
        <v>13</v>
      </c>
      <c r="E237" s="2" t="s">
        <v>14</v>
      </c>
      <c r="F237" s="2" t="s">
        <v>15</v>
      </c>
      <c r="G237" s="2" t="s">
        <v>780</v>
      </c>
      <c r="H237" s="2" t="s">
        <v>324</v>
      </c>
      <c r="I237" s="3" t="str">
        <f>IFERROR(__xludf.DUMMYFUNCTION("GOOGLETRANSLATE(C237,""fr"",""en"")"),"Client for more than 5 years in all risks at the Olivier. I had a non -responsible disaster (damaged retro -reader + door + right rear wing). I was sent from services to services to follow up on my interview with the expert named having to make 2 declarat"&amp;"ions one for the rear view mirror and the porter, the other for the right rear wing because for him the damage of the Right rear wing were not entirely attributable to this disaster.
I agreed what involved 2 franchises to pay and at the request of the ol"&amp;"ive tree immediately sent the additional declaration
3 weeks later I received an email telling me that the expert had declared the non-charge of (s) (s).
Following an interview with the latter, he informed me that he had on the contrary confirmed the ca"&amp;"re of the repair of the first claim and had not received anything from the olive tree concerning the ""2 eme sinister"" .... .
To recover my vehicle I had to pay the repairs in progress and despite my mail in AR at their quality service I received no ans"&amp;"wer !!!!
")</f>
        <v>Client for more than 5 years in all risks at the Olivier. I had a non -responsible disaster (damaged retro -reader + door + right rear wing). I was sent from services to services to follow up on my interview with the expert named having to make 2 declarations one for the rear view mirror and the porter, the other for the right rear wing because for him the damage of the Right rear wing were not entirely attributable to this disaster.
I agreed what involved 2 franchises to pay and at the request of the olive tree immediately sent the additional declaration
3 weeks later I received an email telling me that the expert had declared the non-charge of (s) (s).
Following an interview with the latter, he informed me that he had on the contrary confirmed the care of the repair of the first claim and had not received anything from the olive tree concerning the "2 eme sinister" .... .
To recover my vehicle I had to pay the repairs in progress and despite my mail in AR at their quality service I received no answer !!!!
</v>
      </c>
    </row>
    <row r="238" ht="15.75" customHeight="1">
      <c r="A238" s="2">
        <v>2.0</v>
      </c>
      <c r="B238" s="2" t="s">
        <v>781</v>
      </c>
      <c r="C238" s="2" t="s">
        <v>782</v>
      </c>
      <c r="D238" s="2" t="s">
        <v>102</v>
      </c>
      <c r="E238" s="2" t="s">
        <v>14</v>
      </c>
      <c r="F238" s="2" t="s">
        <v>15</v>
      </c>
      <c r="G238" s="2" t="s">
        <v>783</v>
      </c>
      <c r="H238" s="2" t="s">
        <v>784</v>
      </c>
      <c r="I238" s="3" t="str">
        <f>IFERROR(__xludf.DUMMYFUNCTION("GOOGLETRANSLATE(C238,""fr"",""en"")"),"Maaf ... Insurance that takes the cash ... and throws you if tomorrow it should give you back.
3 resins for impacts on windshield ... in 2 years for less than 400 euros in total
Of course 50 of bonuses..client gold ... good for life .. I pass ..
morali"&amp;"ty..reagate your impacts yourself otherwise at 3 lines you find yourself on the AGIRA in the company of the road delinquents ... and there it laughs less.
The adage insurers V .. In any case ... glue completely to this company ... but it is true that the"&amp;" advertising is paid dear and the insured make it on the one side undoubtedly the costs.
To be strongly advised unless you never cost them anything.
pawns in their statistics algorithm.")</f>
        <v>Maaf ... Insurance that takes the cash ... and throws you if tomorrow it should give you back.
3 resins for impacts on windshield ... in 2 years for less than 400 euros in total
Of course 50 of bonuses..client gold ... good for life .. I pass ..
morality..reagate your impacts yourself otherwise at 3 lines you find yourself on the AGIRA in the company of the road delinquents ... and there it laughs less.
The adage insurers V .. In any case ... glue completely to this company ... but it is true that the advertising is paid dear and the insured make it on the one side undoubtedly the costs.
To be strongly advised unless you never cost them anything.
pawns in their statistics algorithm.</v>
      </c>
    </row>
    <row r="239" ht="15.75" customHeight="1">
      <c r="A239" s="2">
        <v>1.0</v>
      </c>
      <c r="B239" s="2" t="s">
        <v>785</v>
      </c>
      <c r="C239" s="2" t="s">
        <v>786</v>
      </c>
      <c r="D239" s="2" t="s">
        <v>787</v>
      </c>
      <c r="E239" s="2" t="s">
        <v>44</v>
      </c>
      <c r="F239" s="2" t="s">
        <v>15</v>
      </c>
      <c r="G239" s="2" t="s">
        <v>50</v>
      </c>
      <c r="H239" s="2" t="s">
        <v>50</v>
      </c>
      <c r="I239" s="3" t="str">
        <f>IFERROR(__xludf.DUMMYFUNCTION("GOOGLETRANSLATE(C239,""fr"",""en"")"),"Recurring and permanent errors. It has been going on for months.
Despite my writings and calls, errors persist when it is the same doctor each time, the same amount, they attribute a different act (generalist, dentist ...) each time.
Obliged to waste ti"&amp;"me every month to make them a summary and a complaint while the CPAM sends them the right elements;
A absolutely fleeing.")</f>
        <v>Recurring and permanent errors. It has been going on for months.
Despite my writings and calls, errors persist when it is the same doctor each time, the same amount, they attribute a different act (generalist, dentist ...) each time.
Obliged to waste time every month to make them a summary and a complaint while the CPAM sends them the right elements;
A absolutely fleeing.</v>
      </c>
    </row>
    <row r="240" ht="15.75" customHeight="1">
      <c r="A240" s="2">
        <v>1.0</v>
      </c>
      <c r="B240" s="2" t="s">
        <v>788</v>
      </c>
      <c r="C240" s="2" t="s">
        <v>789</v>
      </c>
      <c r="D240" s="2" t="s">
        <v>155</v>
      </c>
      <c r="E240" s="2" t="s">
        <v>33</v>
      </c>
      <c r="F240" s="2" t="s">
        <v>15</v>
      </c>
      <c r="G240" s="2" t="s">
        <v>790</v>
      </c>
      <c r="H240" s="2" t="s">
        <v>261</v>
      </c>
      <c r="I240" s="3" t="str">
        <f>IFERROR(__xludf.DUMMYFUNCTION("GOOGLETRANSLATE(C240,""fr"",""en"")"),"Since the death of my wife, 4 1/2 months ago I have been trying to make myself pay life insurance, something is always missing even if it has already been sent, and it is practically impossible to reach them on the phone .
10 days ago, they ended up agre"&amp;"eing that everything was ok but I still received nothing.
In addition, they do not know the legislation on French marriage contracts (universal community)*;
It's a shame !
Daniel Régis Daniel Record999@gmail.com")</f>
        <v>Since the death of my wife, 4 1/2 months ago I have been trying to make myself pay life insurance, something is always missing even if it has already been sent, and it is practically impossible to reach them on the phone .
10 days ago, they ended up agreeing that everything was ok but I still received nothing.
In addition, they do not know the legislation on French marriage contracts (universal community)*;
It's a shame !
Daniel Régis Daniel Record999@gmail.com</v>
      </c>
    </row>
    <row r="241" ht="15.75" customHeight="1">
      <c r="A241" s="2">
        <v>1.0</v>
      </c>
      <c r="B241" s="2" t="s">
        <v>791</v>
      </c>
      <c r="C241" s="2" t="s">
        <v>792</v>
      </c>
      <c r="D241" s="2" t="s">
        <v>192</v>
      </c>
      <c r="E241" s="2" t="s">
        <v>127</v>
      </c>
      <c r="F241" s="2" t="s">
        <v>15</v>
      </c>
      <c r="G241" s="2" t="s">
        <v>793</v>
      </c>
      <c r="H241" s="2" t="s">
        <v>157</v>
      </c>
      <c r="I241" s="3" t="str">
        <f>IFERROR(__xludf.DUMMYFUNCTION("GOOGLETRANSLATE(C241,""fr"",""en"")"),"To avoid very seriously! Both in terms of a contract and on a professional level.
For the contract within the framework of a disaster, firstly the exclusions are numerous and the reimbursement are made very late (7 months in certain cases.)
For the prof"&amp;"essional framework, know that after two interviews spent at home and after a month of delay, no recall was made, no return by email either, a little limited for a company that advocates human values. Very disappointed on the part of an organization saying"&amp;" militant biker values ​​... For the same rates you can see other competitors such as Prur Moto, Maaf or AMV")</f>
        <v>To avoid very seriously! Both in terms of a contract and on a professional level.
For the contract within the framework of a disaster, firstly the exclusions are numerous and the reimbursement are made very late (7 months in certain cases.)
For the professional framework, know that after two interviews spent at home and after a month of delay, no recall was made, no return by email either, a little limited for a company that advocates human values. Very disappointed on the part of an organization saying militant biker values ​​... For the same rates you can see other competitors such as Prur Moto, Maaf or AMV</v>
      </c>
    </row>
    <row r="242" ht="15.75" customHeight="1">
      <c r="A242" s="2">
        <v>2.0</v>
      </c>
      <c r="B242" s="2" t="s">
        <v>794</v>
      </c>
      <c r="C242" s="2" t="s">
        <v>795</v>
      </c>
      <c r="D242" s="2" t="s">
        <v>176</v>
      </c>
      <c r="E242" s="2" t="s">
        <v>14</v>
      </c>
      <c r="F242" s="2" t="s">
        <v>15</v>
      </c>
      <c r="G242" s="2" t="s">
        <v>796</v>
      </c>
      <c r="H242" s="2" t="s">
        <v>94</v>
      </c>
      <c r="I242" s="3" t="str">
        <f>IFERROR(__xludf.DUMMYFUNCTION("GOOGLETRANSLATE(C242,""fr"",""en"")"),"The Macif is no longer what it was.
I realized that my last calls made for modification of the contract were not taken into account:
- 2 calls concerning the transition to troubleshooting supported 0 km from the home instead of 50 km, one in 2015, the o"&amp;"ther in 2017. And at the end of 2017, I note that this was not taken into account . Fortunately, no breakdown less than 50 km from my home during this period ...
- 1 call in 2013, to remove home-work route insurance. Not also taken into account, which co"&amp;"st me € 26/year for 5 years. Re-appel at the end of 2017, finally taken into account and I receive a credit on my next invoice of March 2018 of ... 28 cents !!! It seems to me, however, that, me in front of 2 months (January and February 2018), it should "&amp;"make 2 x 26 € ... We are far from the 28 cents of having it.
So I made an appointment at the agency near my home, in Gramont in the 31st.
Result: no consideration of these ""failures"". Using that my 2013 call is not traced, no compensation or possibl"&amp;"e commercial gesture. Oh of course, they ""trust me"" and ""do not doubt the fact that I really called in 2013"", except that in the end, since I do not recover anything, it is as if I had Menti. And to have 28 cents, no additional info; unable to provide"&amp;" an explanation. Clarification request transmitted to the accounting service ...
In the end, they advise me not to make any more modification by phone, but to move to an agency. Super practical.")</f>
        <v>The Macif is no longer what it was.
I realized that my last calls made for modification of the contract were not taken into account:
- 2 calls concerning the transition to troubleshooting supported 0 km from the home instead of 50 km, one in 2015, the other in 2017. And at the end of 2017, I note that this was not taken into account . Fortunately, no breakdown less than 50 km from my home during this period ...
- 1 call in 2013, to remove home-work route insurance. Not also taken into account, which cost me € 26/year for 5 years. Re-appel at the end of 2017, finally taken into account and I receive a credit on my next invoice of March 2018 of ... 28 cents !!! It seems to me, however, that, me in front of 2 months (January and February 2018), it should make 2 x 26 € ... We are far from the 28 cents of having it.
So I made an appointment at the agency near my home, in Gramont in the 31st.
Result: no consideration of these "failures". Using that my 2013 call is not traced, no compensation or possible commercial gesture. Oh of course, they "trust me" and "do not doubt the fact that I really called in 2013", except that in the end, since I do not recover anything, it is as if I had Menti. And to have 28 cents, no additional info; unable to provide an explanation. Clarification request transmitted to the accounting service ...
In the end, they advise me not to make any more modification by phone, but to move to an agency. Super practical.</v>
      </c>
    </row>
    <row r="243" ht="15.75" customHeight="1">
      <c r="A243" s="2">
        <v>1.0</v>
      </c>
      <c r="B243" s="2" t="s">
        <v>797</v>
      </c>
      <c r="C243" s="2" t="s">
        <v>798</v>
      </c>
      <c r="D243" s="2" t="s">
        <v>58</v>
      </c>
      <c r="E243" s="2" t="s">
        <v>44</v>
      </c>
      <c r="F243" s="2" t="s">
        <v>15</v>
      </c>
      <c r="G243" s="2" t="s">
        <v>595</v>
      </c>
      <c r="H243" s="2" t="s">
        <v>25</v>
      </c>
      <c r="I243" s="3" t="str">
        <f>IFERROR(__xludf.DUMMYFUNCTION("GOOGLETRANSLATE(C243,""fr"",""en"")"),"Disastrous mutual! We must systematically pass behind them: refused the reimbursement of medical expenses because have confused the date of medical prescription, to which I was not yet at home, with that of carrying out the act itself: I was at home; Débi"&amp;"ted me by mistake 103 per month for 3 months, told me that they had regularized the situation but again debited me, they are obviously unreachable ... and following my incessant reminders, promised me to put themselves in Contact with Amélie so that TV tr"&amp;"ansmission can be done, three months after they still haven't done it ... It's simple: you have to do the work in their place! TO AVOID !!!")</f>
        <v>Disastrous mutual! We must systematically pass behind them: refused the reimbursement of medical expenses because have confused the date of medical prescription, to which I was not yet at home, with that of carrying out the act itself: I was at home; Débited me by mistake 103 per month for 3 months, told me that they had regularized the situation but again debited me, they are obviously unreachable ... and following my incessant reminders, promised me to put themselves in Contact with Amélie so that TV transmission can be done, three months after they still haven't done it ... It's simple: you have to do the work in their place! TO AVOID !!!</v>
      </c>
    </row>
    <row r="244" ht="15.75" customHeight="1">
      <c r="A244" s="2">
        <v>3.0</v>
      </c>
      <c r="B244" s="2" t="s">
        <v>799</v>
      </c>
      <c r="C244" s="2" t="s">
        <v>800</v>
      </c>
      <c r="D244" s="2" t="s">
        <v>121</v>
      </c>
      <c r="E244" s="2" t="s">
        <v>285</v>
      </c>
      <c r="F244" s="2" t="s">
        <v>15</v>
      </c>
      <c r="G244" s="2" t="s">
        <v>801</v>
      </c>
      <c r="H244" s="2" t="s">
        <v>336</v>
      </c>
      <c r="I244" s="3" t="str">
        <f>IFERROR(__xludf.DUMMYFUNCTION("GOOGLETRANSLATE(C244,""fr"",""en"")"),"Hello,
After 40 years of cloudless membership, I find myself overnight radiated by the MAIF, without any true explanation, despite my requests. And I who believed this human mutual! I would never have believed that of this mutual.")</f>
        <v>Hello,
After 40 years of cloudless membership, I find myself overnight radiated by the MAIF, without any true explanation, despite my requests. And I who believed this human mutual! I would never have believed that of this mutual.</v>
      </c>
    </row>
    <row r="245" ht="15.75" customHeight="1">
      <c r="A245" s="2">
        <v>5.0</v>
      </c>
      <c r="B245" s="2" t="s">
        <v>802</v>
      </c>
      <c r="C245" s="2" t="s">
        <v>803</v>
      </c>
      <c r="D245" s="2" t="s">
        <v>13</v>
      </c>
      <c r="E245" s="2" t="s">
        <v>14</v>
      </c>
      <c r="F245" s="2" t="s">
        <v>15</v>
      </c>
      <c r="G245" s="2" t="s">
        <v>136</v>
      </c>
      <c r="H245" s="2" t="s">
        <v>89</v>
      </c>
      <c r="I245" s="3" t="str">
        <f>IFERROR(__xludf.DUMMYFUNCTION("GOOGLETRANSLATE(C245,""fr"",""en"")"),"Pro and attentive advisor, I would like to thank Antoine for his sense of customer relations that I had in a long way, good value for money for young driver
")</f>
        <v>Pro and attentive advisor, I would like to thank Antoine for his sense of customer relations that I had in a long way, good value for money for young driver
</v>
      </c>
    </row>
    <row r="246" ht="15.75" customHeight="1">
      <c r="A246" s="2">
        <v>2.0</v>
      </c>
      <c r="B246" s="2" t="s">
        <v>804</v>
      </c>
      <c r="C246" s="2" t="s">
        <v>805</v>
      </c>
      <c r="D246" s="2" t="s">
        <v>806</v>
      </c>
      <c r="E246" s="2" t="s">
        <v>215</v>
      </c>
      <c r="F246" s="2" t="s">
        <v>15</v>
      </c>
      <c r="G246" s="2" t="s">
        <v>807</v>
      </c>
      <c r="H246" s="2" t="s">
        <v>808</v>
      </c>
      <c r="I246" s="3" t="str">
        <f>IFERROR(__xludf.DUMMYFUNCTION("GOOGLETRANSLATE(C246,""fr"",""en"")"),"I took this mutual insurance for my pussy to cover my veterinarian's expenses on an extreme chip ...")</f>
        <v>I took this mutual insurance for my pussy to cover my veterinarian's expenses on an extreme chip ...</v>
      </c>
    </row>
    <row r="247" ht="15.75" customHeight="1">
      <c r="A247" s="2">
        <v>5.0</v>
      </c>
      <c r="B247" s="2" t="s">
        <v>809</v>
      </c>
      <c r="C247" s="2" t="s">
        <v>810</v>
      </c>
      <c r="D247" s="2" t="s">
        <v>126</v>
      </c>
      <c r="E247" s="2" t="s">
        <v>127</v>
      </c>
      <c r="F247" s="2" t="s">
        <v>15</v>
      </c>
      <c r="G247" s="2" t="s">
        <v>811</v>
      </c>
      <c r="H247" s="2" t="s">
        <v>89</v>
      </c>
      <c r="I247" s="3" t="str">
        <f>IFERROR(__xludf.DUMMYFUNCTION("GOOGLETRANSLATE(C247,""fr"",""en"")"),"Very thank you for all I highly recommend you team at the top jespere soon to be in contact with you good evening see you soon segura jean christophe")</f>
        <v>Very thank you for all I highly recommend you team at the top jespere soon to be in contact with you good evening see you soon segura jean christophe</v>
      </c>
    </row>
    <row r="248" ht="15.75" customHeight="1">
      <c r="A248" s="2">
        <v>4.0</v>
      </c>
      <c r="B248" s="2" t="s">
        <v>812</v>
      </c>
      <c r="C248" s="2" t="s">
        <v>813</v>
      </c>
      <c r="D248" s="2" t="s">
        <v>13</v>
      </c>
      <c r="E248" s="2" t="s">
        <v>14</v>
      </c>
      <c r="F248" s="2" t="s">
        <v>15</v>
      </c>
      <c r="G248" s="2" t="s">
        <v>814</v>
      </c>
      <c r="H248" s="2" t="s">
        <v>562</v>
      </c>
      <c r="I248" s="3" t="str">
        <f>IFERROR(__xludf.DUMMYFUNCTION("GOOGLETRANSLATE(C248,""fr"",""en"")"),"Perfect. Beautiful value for money.
Few services offer this quality of response to this price.
I am reconciled with the online service thanks to them.")</f>
        <v>Perfect. Beautiful value for money.
Few services offer this quality of response to this price.
I am reconciled with the online service thanks to them.</v>
      </c>
    </row>
    <row r="249" ht="15.75" customHeight="1">
      <c r="A249" s="2">
        <v>2.0</v>
      </c>
      <c r="B249" s="2" t="s">
        <v>815</v>
      </c>
      <c r="C249" s="2" t="s">
        <v>816</v>
      </c>
      <c r="D249" s="2" t="s">
        <v>92</v>
      </c>
      <c r="E249" s="2" t="s">
        <v>44</v>
      </c>
      <c r="F249" s="2" t="s">
        <v>15</v>
      </c>
      <c r="G249" s="2" t="s">
        <v>817</v>
      </c>
      <c r="H249" s="2" t="s">
        <v>729</v>
      </c>
      <c r="I249" s="3" t="str">
        <f>IFERROR(__xludf.DUMMYFUNCTION("GOOGLETRANSLATE(C249,""fr"",""en"")"),"The Tel 3676 number responds each time that no advisor is available even during working hours. The site does not take into account the current procedures that are problematic. The virtual guide is unusable.")</f>
        <v>The Tel 3676 number responds each time that no advisor is available even during working hours. The site does not take into account the current procedures that are problematic. The virtual guide is unusable.</v>
      </c>
    </row>
    <row r="250" ht="15.75" customHeight="1">
      <c r="A250" s="2">
        <v>1.0</v>
      </c>
      <c r="B250" s="2" t="s">
        <v>818</v>
      </c>
      <c r="C250" s="2" t="s">
        <v>819</v>
      </c>
      <c r="D250" s="2" t="s">
        <v>577</v>
      </c>
      <c r="E250" s="2" t="s">
        <v>215</v>
      </c>
      <c r="F250" s="2" t="s">
        <v>15</v>
      </c>
      <c r="G250" s="2" t="s">
        <v>820</v>
      </c>
      <c r="H250" s="2" t="s">
        <v>231</v>
      </c>
      <c r="I250" s="3" t="str">
        <f>IFERROR(__xludf.DUMMYFUNCTION("GOOGLETRANSLATE(C250,""fr"",""en"")"),"Insurance to flee I pay 23euro per month and there I received an email from January I have to pay 41st all its because I had to have my dog ​​in fact it is based on the year before to be able to Make the maturity of the following year c shameful !!!!")</f>
        <v>Insurance to flee I pay 23euro per month and there I received an email from January I have to pay 41st all its because I had to have my dog ​​in fact it is based on the year before to be able to Make the maturity of the following year c shameful !!!!</v>
      </c>
    </row>
    <row r="251" ht="15.75" customHeight="1">
      <c r="A251" s="2">
        <v>5.0</v>
      </c>
      <c r="B251" s="2" t="s">
        <v>821</v>
      </c>
      <c r="C251" s="2" t="s">
        <v>822</v>
      </c>
      <c r="D251" s="2" t="s">
        <v>48</v>
      </c>
      <c r="E251" s="2" t="s">
        <v>14</v>
      </c>
      <c r="F251" s="2" t="s">
        <v>15</v>
      </c>
      <c r="G251" s="2" t="s">
        <v>823</v>
      </c>
      <c r="H251" s="2" t="s">
        <v>99</v>
      </c>
      <c r="I251" s="3" t="str">
        <f>IFERROR(__xludf.DUMMYFUNCTION("GOOGLETRANSLATE(C251,""fr"",""en"")"),"Always satisfied with direct insurance, responsiveness and top price! I highly recommend. Sinister collision: loan car, professional who came to pick up the vehicle and repairs do all this in 4 days.")</f>
        <v>Always satisfied with direct insurance, responsiveness and top price! I highly recommend. Sinister collision: loan car, professional who came to pick up the vehicle and repairs do all this in 4 days.</v>
      </c>
    </row>
    <row r="252" ht="15.75" customHeight="1">
      <c r="A252" s="2">
        <v>1.0</v>
      </c>
      <c r="B252" s="2" t="s">
        <v>824</v>
      </c>
      <c r="C252" s="2" t="s">
        <v>825</v>
      </c>
      <c r="D252" s="2" t="s">
        <v>48</v>
      </c>
      <c r="E252" s="2" t="s">
        <v>14</v>
      </c>
      <c r="F252" s="2" t="s">
        <v>15</v>
      </c>
      <c r="G252" s="2" t="s">
        <v>826</v>
      </c>
      <c r="H252" s="2" t="s">
        <v>589</v>
      </c>
      <c r="I252" s="3" t="str">
        <f>IFERROR(__xludf.DUMMYFUNCTION("GOOGLETRANSLATE(C252,""fr"",""en"")"),"Increase in prices each year (52 €/month then 75 €/month then 81 €/month) without any justification. Longer waiting periods to contact an advisor 1 hour and 25 minutes.
Third -party insurance (basic, without any supplement) € 965.11 per year!")</f>
        <v>Increase in prices each year (52 €/month then 75 €/month then 81 €/month) without any justification. Longer waiting periods to contact an advisor 1 hour and 25 minutes.
Third -party insurance (basic, without any supplement) € 965.11 per year!</v>
      </c>
    </row>
    <row r="253" ht="15.75" customHeight="1">
      <c r="A253" s="2">
        <v>3.0</v>
      </c>
      <c r="B253" s="2" t="s">
        <v>827</v>
      </c>
      <c r="C253" s="2" t="s">
        <v>828</v>
      </c>
      <c r="D253" s="2" t="s">
        <v>126</v>
      </c>
      <c r="E253" s="2" t="s">
        <v>127</v>
      </c>
      <c r="F253" s="2" t="s">
        <v>15</v>
      </c>
      <c r="G253" s="2" t="s">
        <v>829</v>
      </c>
      <c r="H253" s="2" t="s">
        <v>89</v>
      </c>
      <c r="I253" s="3" t="str">
        <f>IFERROR(__xludf.DUMMYFUNCTION("GOOGLETRANSLATE(C253,""fr"",""en"")"),"I am satisfied with the price and the speed The offers are cheap I recommend at several levels and especially in relation to the quality price offered")</f>
        <v>I am satisfied with the price and the speed The offers are cheap I recommend at several levels and especially in relation to the quality price offered</v>
      </c>
    </row>
    <row r="254" ht="15.75" customHeight="1">
      <c r="A254" s="2">
        <v>5.0</v>
      </c>
      <c r="B254" s="2" t="s">
        <v>830</v>
      </c>
      <c r="C254" s="2" t="s">
        <v>831</v>
      </c>
      <c r="D254" s="2" t="s">
        <v>13</v>
      </c>
      <c r="E254" s="2" t="s">
        <v>14</v>
      </c>
      <c r="F254" s="2" t="s">
        <v>15</v>
      </c>
      <c r="G254" s="2" t="s">
        <v>832</v>
      </c>
      <c r="H254" s="2" t="s">
        <v>21</v>
      </c>
      <c r="I254" s="3" t="str">
        <f>IFERROR(__xludf.DUMMYFUNCTION("GOOGLETRANSLATE(C254,""fr"",""en"")"),"Very good service, on the phone as online. The prices are the best on the market for a first insurance, the aid is easily accessible, the site is clear and understandable and the agents I had on the phone are very professional and attentive!")</f>
        <v>Very good service, on the phone as online. The prices are the best on the market for a first insurance, the aid is easily accessible, the site is clear and understandable and the agents I had on the phone are very professional and attentive!</v>
      </c>
    </row>
    <row r="255" ht="15.75" customHeight="1">
      <c r="A255" s="2">
        <v>4.0</v>
      </c>
      <c r="B255" s="2" t="s">
        <v>833</v>
      </c>
      <c r="C255" s="2" t="s">
        <v>834</v>
      </c>
      <c r="D255" s="2" t="s">
        <v>228</v>
      </c>
      <c r="E255" s="2" t="s">
        <v>285</v>
      </c>
      <c r="F255" s="2" t="s">
        <v>15</v>
      </c>
      <c r="G255" s="2" t="s">
        <v>835</v>
      </c>
      <c r="H255" s="2" t="s">
        <v>157</v>
      </c>
      <c r="I255" s="3" t="str">
        <f>IFERROR(__xludf.DUMMYFUNCTION("GOOGLETRANSLATE(C255,""fr"",""en"")"),"AXA is superb insurance, I am assured at home in car and home and despite rates up every year, I remain on a competitive rate. The interlocutors are very friendly !!!")</f>
        <v>AXA is superb insurance, I am assured at home in car and home and despite rates up every year, I remain on a competitive rate. The interlocutors are very friendly !!!</v>
      </c>
    </row>
    <row r="256" ht="15.75" customHeight="1">
      <c r="A256" s="2">
        <v>4.0</v>
      </c>
      <c r="B256" s="2" t="s">
        <v>836</v>
      </c>
      <c r="C256" s="2" t="s">
        <v>837</v>
      </c>
      <c r="D256" s="2" t="s">
        <v>13</v>
      </c>
      <c r="E256" s="2" t="s">
        <v>14</v>
      </c>
      <c r="F256" s="2" t="s">
        <v>15</v>
      </c>
      <c r="G256" s="2" t="s">
        <v>838</v>
      </c>
      <c r="H256" s="2" t="s">
        <v>211</v>
      </c>
      <c r="I256" s="3" t="str">
        <f>IFERROR(__xludf.DUMMYFUNCTION("GOOGLETRANSLATE(C256,""fr"",""en"")"),"Insured for a year for the Olivier Insurance ...
Attractive price, nickel service ??
I recommend everyone ...
Having worked in insurance myself I will renew my contract and request people who pay ""too expensive"" to make a quote from the olive tree. I"&amp;"t is fast and above all free.
Why pay more !!
Bravo the olive assurance, at the top ?? ??")</f>
        <v>Insured for a year for the Olivier Insurance ...
Attractive price, nickel service ??
I recommend everyone ...
Having worked in insurance myself I will renew my contract and request people who pay "too expensive" to make a quote from the olive tree. It is fast and above all free.
Why pay more !!
Bravo the olive assurance, at the top ?? ??</v>
      </c>
    </row>
    <row r="257" ht="15.75" customHeight="1">
      <c r="A257" s="2">
        <v>3.0</v>
      </c>
      <c r="B257" s="2" t="s">
        <v>839</v>
      </c>
      <c r="C257" s="2" t="s">
        <v>840</v>
      </c>
      <c r="D257" s="2" t="s">
        <v>48</v>
      </c>
      <c r="E257" s="2" t="s">
        <v>14</v>
      </c>
      <c r="F257" s="2" t="s">
        <v>15</v>
      </c>
      <c r="G257" s="2" t="s">
        <v>487</v>
      </c>
      <c r="H257" s="2" t="s">
        <v>29</v>
      </c>
      <c r="I257" s="3" t="str">
        <f>IFERROR(__xludf.DUMMYFUNCTION("GOOGLETRANSLATE(C257,""fr"",""en"")"),"Simple and practical regarding subscription, hoping for a monitoring of the same nature.
On the other hand, the obligation to go to a partner garage to benefit from the advantages bothers me a little.
I would have liked to be free to go to my usual gara"&amp;"ge who knows my vehicle and its owner.")</f>
        <v>Simple and practical regarding subscription, hoping for a monitoring of the same nature.
On the other hand, the obligation to go to a partner garage to benefit from the advantages bothers me a little.
I would have liked to be free to go to my usual garage who knows my vehicle and its owner.</v>
      </c>
    </row>
    <row r="258" ht="15.75" customHeight="1">
      <c r="A258" s="2">
        <v>5.0</v>
      </c>
      <c r="B258" s="2" t="s">
        <v>841</v>
      </c>
      <c r="C258" s="2" t="s">
        <v>842</v>
      </c>
      <c r="D258" s="2" t="s">
        <v>48</v>
      </c>
      <c r="E258" s="2" t="s">
        <v>14</v>
      </c>
      <c r="F258" s="2" t="s">
        <v>15</v>
      </c>
      <c r="G258" s="2" t="s">
        <v>553</v>
      </c>
      <c r="H258" s="2" t="s">
        <v>29</v>
      </c>
      <c r="I258" s="3" t="str">
        <f>IFERROR(__xludf.DUMMYFUNCTION("GOOGLETRANSLATE(C258,""fr"",""en"")"),"TOPPPP TOP PRICE, I am pleasantly surprised by your prices, it's unheard of.
It is thanks to my daughter who is insured at home that I discovered you I absolutely did not know.")</f>
        <v>TOPPPP TOP PRICE, I am pleasantly surprised by your prices, it's unheard of.
It is thanks to my daughter who is insured at home that I discovered you I absolutely did not know.</v>
      </c>
    </row>
    <row r="259" ht="15.75" customHeight="1">
      <c r="A259" s="2">
        <v>2.0</v>
      </c>
      <c r="B259" s="2" t="s">
        <v>843</v>
      </c>
      <c r="C259" s="2" t="s">
        <v>844</v>
      </c>
      <c r="D259" s="2" t="s">
        <v>28</v>
      </c>
      <c r="E259" s="2" t="s">
        <v>285</v>
      </c>
      <c r="F259" s="2" t="s">
        <v>15</v>
      </c>
      <c r="G259" s="2" t="s">
        <v>845</v>
      </c>
      <c r="H259" s="2" t="s">
        <v>200</v>
      </c>
      <c r="I259" s="3" t="str">
        <f>IFERROR(__xludf.DUMMYFUNCTION("GOOGLETRANSLATE(C259,""fr"",""en"")"),"This insurer will always find a good reason not to compensate you and this without taking a glove, no compassion. A gaping opening in the parking lot of the torrential rains and runoff will not be compensated. Luckily the car did not fall into")</f>
        <v>This insurer will always find a good reason not to compensate you and this without taking a glove, no compassion. A gaping opening in the parking lot of the torrential rains and runoff will not be compensated. Luckily the car did not fall into</v>
      </c>
    </row>
    <row r="260" ht="15.75" customHeight="1">
      <c r="A260" s="2">
        <v>2.0</v>
      </c>
      <c r="B260" s="2" t="s">
        <v>846</v>
      </c>
      <c r="C260" s="2" t="s">
        <v>847</v>
      </c>
      <c r="D260" s="2" t="s">
        <v>48</v>
      </c>
      <c r="E260" s="2" t="s">
        <v>14</v>
      </c>
      <c r="F260" s="2" t="s">
        <v>15</v>
      </c>
      <c r="G260" s="2" t="s">
        <v>848</v>
      </c>
      <c r="H260" s="2" t="s">
        <v>67</v>
      </c>
      <c r="I260" s="3" t="str">
        <f>IFERROR(__xludf.DUMMYFUNCTION("GOOGLETRANSLATE(C260,""fr"",""en"")"),"With the current situation and the fact that I drive much less than before, the price each year increases. You push people to change insurance and what I will do very quickly ....
Cordially.")</f>
        <v>With the current situation and the fact that I drive much less than before, the price each year increases. You push people to change insurance and what I will do very quickly ....
Cordially.</v>
      </c>
    </row>
    <row r="261" ht="15.75" customHeight="1">
      <c r="A261" s="2">
        <v>2.0</v>
      </c>
      <c r="B261" s="2" t="s">
        <v>849</v>
      </c>
      <c r="C261" s="2" t="s">
        <v>850</v>
      </c>
      <c r="D261" s="2" t="s">
        <v>48</v>
      </c>
      <c r="E261" s="2" t="s">
        <v>14</v>
      </c>
      <c r="F261" s="2" t="s">
        <v>15</v>
      </c>
      <c r="G261" s="2" t="s">
        <v>851</v>
      </c>
      <c r="H261" s="2" t="s">
        <v>261</v>
      </c>
      <c r="I261" s="3" t="str">
        <f>IFERROR(__xludf.DUMMYFUNCTION("GOOGLETRANSLATE(C261,""fr"",""en"")"),"Service clien a large zero. The day you have a problem it is making it possible to avoid the costs led charge despite the all risk. Do not rely at the price if the services subscribed are not to respect thank you")</f>
        <v>Service clien a large zero. The day you have a problem it is making it possible to avoid the costs led charge despite the all risk. Do not rely at the price if the services subscribed are not to respect thank you</v>
      </c>
    </row>
    <row r="262" ht="15.75" customHeight="1">
      <c r="A262" s="2">
        <v>1.0</v>
      </c>
      <c r="B262" s="2" t="s">
        <v>852</v>
      </c>
      <c r="C262" s="2" t="s">
        <v>853</v>
      </c>
      <c r="D262" s="2" t="s">
        <v>83</v>
      </c>
      <c r="E262" s="2" t="s">
        <v>14</v>
      </c>
      <c r="F262" s="2" t="s">
        <v>15</v>
      </c>
      <c r="G262" s="2" t="s">
        <v>854</v>
      </c>
      <c r="H262" s="2" t="s">
        <v>55</v>
      </c>
      <c r="I262" s="3" t="str">
        <f>IFERROR(__xludf.DUMMYFUNCTION("GOOGLETRANSLATE(C262,""fr"",""en"")"),"You are right. This insurer seems serious but is not worth more than the cheapest low -end insurance on the market. I have my two vehicles insured with them and customers for 3 years. After a non -responsible disaster my vehicle is declared VEI they compe"&amp;"nsate me largely below the replacement value of the vehicle in complicity with their expert since they know that a counter expertise would cost me as much as I could win. In short insurer not honest to flee.")</f>
        <v>You are right. This insurer seems serious but is not worth more than the cheapest low -end insurance on the market. I have my two vehicles insured with them and customers for 3 years. After a non -responsible disaster my vehicle is declared VEI they compensate me largely below the replacement value of the vehicle in complicity with their expert since they know that a counter expertise would cost me as much as I could win. In short insurer not honest to flee.</v>
      </c>
    </row>
    <row r="263" ht="15.75" customHeight="1">
      <c r="A263" s="2">
        <v>1.0</v>
      </c>
      <c r="B263" s="2" t="s">
        <v>855</v>
      </c>
      <c r="C263" s="2" t="s">
        <v>856</v>
      </c>
      <c r="D263" s="2" t="s">
        <v>192</v>
      </c>
      <c r="E263" s="2" t="s">
        <v>127</v>
      </c>
      <c r="F263" s="2" t="s">
        <v>15</v>
      </c>
      <c r="G263" s="2" t="s">
        <v>857</v>
      </c>
      <c r="H263" s="2" t="s">
        <v>50</v>
      </c>
      <c r="I263" s="3" t="str">
        <f>IFERROR(__xludf.DUMMYFUNCTION("GOOGLETRANSLATE(C263,""fr"",""en"")"),"Having had no response to my insurance denied by mail or other I called two or three times he told me that he had no contract to my no I have so gave up this insurance and I went back later that he takes me off on my account I had beautiful explanation to"&amp;" them but they wanted to know")</f>
        <v>Having had no response to my insurance denied by mail or other I called two or three times he told me that he had no contract to my no I have so gave up this insurance and I went back later that he takes me off on my account I had beautiful explanation to them but they wanted to know</v>
      </c>
    </row>
    <row r="264" ht="15.75" customHeight="1">
      <c r="A264" s="2">
        <v>3.0</v>
      </c>
      <c r="B264" s="2" t="s">
        <v>858</v>
      </c>
      <c r="C264" s="2" t="s">
        <v>859</v>
      </c>
      <c r="D264" s="2" t="s">
        <v>28</v>
      </c>
      <c r="E264" s="2" t="s">
        <v>14</v>
      </c>
      <c r="F264" s="2" t="s">
        <v>15</v>
      </c>
      <c r="G264" s="2" t="s">
        <v>88</v>
      </c>
      <c r="H264" s="2" t="s">
        <v>89</v>
      </c>
      <c r="I264" s="3" t="str">
        <f>IFERROR(__xludf.DUMMYFUNCTION("GOOGLETRANSLATE(C264,""fr"",""en"")"),"I have subscribed I never received the sticker my I am asked to pay I do not understand for a saying good insurance I am decus and there I do not know what to think")</f>
        <v>I have subscribed I never received the sticker my I am asked to pay I do not understand for a saying good insurance I am decus and there I do not know what to think</v>
      </c>
    </row>
    <row r="265" ht="15.75" customHeight="1">
      <c r="A265" s="2">
        <v>2.0</v>
      </c>
      <c r="B265" s="2" t="s">
        <v>860</v>
      </c>
      <c r="C265" s="2" t="s">
        <v>861</v>
      </c>
      <c r="D265" s="2" t="s">
        <v>48</v>
      </c>
      <c r="E265" s="2" t="s">
        <v>14</v>
      </c>
      <c r="F265" s="2" t="s">
        <v>15</v>
      </c>
      <c r="G265" s="2" t="s">
        <v>862</v>
      </c>
      <c r="H265" s="2" t="s">
        <v>635</v>
      </c>
      <c r="I265" s="3" t="str">
        <f>IFERROR(__xludf.DUMMYFUNCTION("GOOGLETRANSLATE(C265,""fr"",""en"")"),"It is true that by engaging with Direct Insurance, the amount to ensure my vehicle had dropped (around 200 € but by looking at it, by making a price simulation a few years later, I pay almost 200 € More than at other insurers. In addition, meanness has an"&amp;"noyed us: we were billed 25 € for changing your address (treatment costs), customer service that is difficult to reachable and unknown (foreign countries?), And this year , instead of paying the annual subscription in early January as usual, the transfer "&amp;"takes place at the end of December (great for the holidays) without warning us. Happy that we did not have sinister on our vehicles during these years . When terminating, obligation to recall them several times for the reimbursement of the remaining contr"&amp;"ibution")</f>
        <v>It is true that by engaging with Direct Insurance, the amount to ensure my vehicle had dropped (around 200 € but by looking at it, by making a price simulation a few years later, I pay almost 200 € More than at other insurers. In addition, meanness has annoyed us: we were billed 25 € for changing your address (treatment costs), customer service that is difficult to reachable and unknown (foreign countries?), And this year , instead of paying the annual subscription in early January as usual, the transfer takes place at the end of December (great for the holidays) without warning us. Happy that we did not have sinister on our vehicles during these years . When terminating, obligation to recall them several times for the reimbursement of the remaining contribution</v>
      </c>
    </row>
    <row r="266" ht="15.75" customHeight="1">
      <c r="A266" s="2">
        <v>4.0</v>
      </c>
      <c r="B266" s="2" t="s">
        <v>863</v>
      </c>
      <c r="C266" s="2" t="s">
        <v>864</v>
      </c>
      <c r="D266" s="2" t="s">
        <v>48</v>
      </c>
      <c r="E266" s="2" t="s">
        <v>14</v>
      </c>
      <c r="F266" s="2" t="s">
        <v>15</v>
      </c>
      <c r="G266" s="2" t="s">
        <v>865</v>
      </c>
      <c r="H266" s="2" t="s">
        <v>21</v>
      </c>
      <c r="I266" s="3" t="str">
        <f>IFERROR(__xludf.DUMMYFUNCTION("GOOGLETRANSLATE(C266,""fr"",""en"")"),"Super satisfied simple and fast very professional personal no worries for the moment for several years I recommend not to hesitate")</f>
        <v>Super satisfied simple and fast very professional personal no worries for the moment for several years I recommend not to hesitate</v>
      </c>
    </row>
    <row r="267" ht="15.75" customHeight="1">
      <c r="A267" s="2">
        <v>4.0</v>
      </c>
      <c r="B267" s="2" t="s">
        <v>866</v>
      </c>
      <c r="C267" s="2" t="s">
        <v>867</v>
      </c>
      <c r="D267" s="2" t="s">
        <v>400</v>
      </c>
      <c r="E267" s="2" t="s">
        <v>14</v>
      </c>
      <c r="F267" s="2" t="s">
        <v>15</v>
      </c>
      <c r="G267" s="2" t="s">
        <v>868</v>
      </c>
      <c r="H267" s="2" t="s">
        <v>60</v>
      </c>
      <c r="I267" s="3" t="str">
        <f>IFERROR(__xludf.DUMMYFUNCTION("GOOGLETRANSLATE(C267,""fr"",""en"")"),"Ras")</f>
        <v>Ras</v>
      </c>
    </row>
    <row r="268" ht="15.75" customHeight="1">
      <c r="A268" s="2">
        <v>5.0</v>
      </c>
      <c r="B268" s="2" t="s">
        <v>869</v>
      </c>
      <c r="C268" s="2" t="s">
        <v>870</v>
      </c>
      <c r="D268" s="2" t="s">
        <v>48</v>
      </c>
      <c r="E268" s="2" t="s">
        <v>14</v>
      </c>
      <c r="F268" s="2" t="s">
        <v>15</v>
      </c>
      <c r="G268" s="2" t="s">
        <v>207</v>
      </c>
      <c r="H268" s="2" t="s">
        <v>67</v>
      </c>
      <c r="I268" s="3" t="str">
        <f>IFERROR(__xludf.DUMMYFUNCTION("GOOGLETRANSLATE(C268,""fr"",""en"")"),"Good insurance good value for money, single formalities, easy and quick telephone reception, clear information. I recommend without problems.")</f>
        <v>Good insurance good value for money, single formalities, easy and quick telephone reception, clear information. I recommend without problems.</v>
      </c>
    </row>
    <row r="269" ht="15.75" customHeight="1">
      <c r="A269" s="2">
        <v>4.0</v>
      </c>
      <c r="B269" s="2" t="s">
        <v>871</v>
      </c>
      <c r="C269" s="2" t="s">
        <v>872</v>
      </c>
      <c r="D269" s="2" t="s">
        <v>28</v>
      </c>
      <c r="E269" s="2" t="s">
        <v>14</v>
      </c>
      <c r="F269" s="2" t="s">
        <v>15</v>
      </c>
      <c r="G269" s="2" t="s">
        <v>89</v>
      </c>
      <c r="H269" s="2" t="s">
        <v>89</v>
      </c>
      <c r="I269" s="3" t="str">
        <f>IFERROR(__xludf.DUMMYFUNCTION("GOOGLETRANSLATE(C269,""fr"",""en"")"),"I am satisfying the service, the prices offered and the kindness of the interlocients. However, we can always do better for loyal members, by offering them to subscribe to a subscription of their choices and/or months of contributions, they would be offer"&amp;"ed.")</f>
        <v>I am satisfying the service, the prices offered and the kindness of the interlocients. However, we can always do better for loyal members, by offering them to subscribe to a subscription of their choices and/or months of contributions, they would be offered.</v>
      </c>
    </row>
    <row r="270" ht="15.75" customHeight="1">
      <c r="A270" s="2">
        <v>2.0</v>
      </c>
      <c r="B270" s="2" t="s">
        <v>873</v>
      </c>
      <c r="C270" s="2" t="s">
        <v>874</v>
      </c>
      <c r="D270" s="2" t="s">
        <v>48</v>
      </c>
      <c r="E270" s="2" t="s">
        <v>14</v>
      </c>
      <c r="F270" s="2" t="s">
        <v>15</v>
      </c>
      <c r="G270" s="2" t="s">
        <v>811</v>
      </c>
      <c r="H270" s="2" t="s">
        <v>89</v>
      </c>
      <c r="I270" s="3" t="str">
        <f>IFERROR(__xludf.DUMMYFUNCTION("GOOGLETRANSLATE(C270,""fr"",""en"")"),"No because I have just learned that my windshield replacement has been the subject of an expertise and which concludes at an excessive cost of the invoice.
I hope that your company strictly respects the terms of the contract that binds us!")</f>
        <v>No because I have just learned that my windshield replacement has been the subject of an expertise and which concludes at an excessive cost of the invoice.
I hope that your company strictly respects the terms of the contract that binds us!</v>
      </c>
    </row>
    <row r="271" ht="15.75" customHeight="1">
      <c r="A271" s="2">
        <v>1.0</v>
      </c>
      <c r="B271" s="2" t="s">
        <v>875</v>
      </c>
      <c r="C271" s="2" t="s">
        <v>876</v>
      </c>
      <c r="D271" s="2" t="s">
        <v>48</v>
      </c>
      <c r="E271" s="2" t="s">
        <v>14</v>
      </c>
      <c r="F271" s="2" t="s">
        <v>15</v>
      </c>
      <c r="G271" s="2" t="s">
        <v>877</v>
      </c>
      <c r="H271" s="2" t="s">
        <v>604</v>
      </c>
      <c r="I271" s="3" t="str">
        <f>IFERROR(__xludf.DUMMYFUNCTION("GOOGLETRANSLATE(C271,""fr"",""en"")"),"Storage !!! They ask me for 1500 € following a disaster that they did not have to reimburse !!")</f>
        <v>Storage !!! They ask me for 1500 € following a disaster that they did not have to reimburse !!</v>
      </c>
    </row>
    <row r="272" ht="15.75" customHeight="1">
      <c r="A272" s="2">
        <v>3.0</v>
      </c>
      <c r="B272" s="2" t="s">
        <v>878</v>
      </c>
      <c r="C272" s="2" t="s">
        <v>879</v>
      </c>
      <c r="D272" s="2" t="s">
        <v>28</v>
      </c>
      <c r="E272" s="2" t="s">
        <v>14</v>
      </c>
      <c r="F272" s="2" t="s">
        <v>15</v>
      </c>
      <c r="G272" s="2" t="s">
        <v>880</v>
      </c>
      <c r="H272" s="2" t="s">
        <v>107</v>
      </c>
      <c r="I272" s="3" t="str">
        <f>IFERROR(__xludf.DUMMYFUNCTION("GOOGLETRANSLATE(C272,""fr"",""en"")"),"The deadlines for assistance, following a breakdown of my vehicle, are simply medieval. I specify that the intervention in a small Parisian crown and after 20 hours of course. The agent was nevertheless courteous and sorry for the delay.")</f>
        <v>The deadlines for assistance, following a breakdown of my vehicle, are simply medieval. I specify that the intervention in a small Parisian crown and after 20 hours of course. The agent was nevertheless courteous and sorry for the delay.</v>
      </c>
    </row>
    <row r="273" ht="15.75" customHeight="1">
      <c r="A273" s="2">
        <v>1.0</v>
      </c>
      <c r="B273" s="2" t="s">
        <v>881</v>
      </c>
      <c r="C273" s="2" t="s">
        <v>882</v>
      </c>
      <c r="D273" s="2" t="s">
        <v>228</v>
      </c>
      <c r="E273" s="2" t="s">
        <v>14</v>
      </c>
      <c r="F273" s="2" t="s">
        <v>15</v>
      </c>
      <c r="G273" s="2" t="s">
        <v>883</v>
      </c>
      <c r="H273" s="2" t="s">
        <v>628</v>
      </c>
      <c r="I273" s="3" t="str">
        <f>IFERROR(__xludf.DUMMYFUNCTION("GOOGLETRANSLATE(C273,""fr"",""en"")"),"Auto insurance increase due to 05/01/2021 of 10%, no declaration of claim since the start of the contract (2015) and year COVVI 2020, a real scandal. I hold 9 contracts at AXA, I will terminate the whole")</f>
        <v>Auto insurance increase due to 05/01/2021 of 10%, no declaration of claim since the start of the contract (2015) and year COVVI 2020, a real scandal. I hold 9 contracts at AXA, I will terminate the whole</v>
      </c>
    </row>
    <row r="274" ht="15.75" customHeight="1">
      <c r="A274" s="2">
        <v>4.0</v>
      </c>
      <c r="B274" s="2" t="s">
        <v>884</v>
      </c>
      <c r="C274" s="2" t="s">
        <v>885</v>
      </c>
      <c r="D274" s="2" t="s">
        <v>48</v>
      </c>
      <c r="E274" s="2" t="s">
        <v>14</v>
      </c>
      <c r="F274" s="2" t="s">
        <v>15</v>
      </c>
      <c r="G274" s="2" t="s">
        <v>886</v>
      </c>
      <c r="H274" s="2" t="s">
        <v>67</v>
      </c>
      <c r="I274" s="3" t="str">
        <f>IFERROR(__xludf.DUMMYFUNCTION("GOOGLETRANSLATE(C274,""fr"",""en"")"),"I am satisfied with the service for the moment, last Saturday we have not managed to change the data, but today it was correct.
I hesitated to take the whole risk because my car because it is 12 years old, and has only 90,000 km, I followed your advice.")</f>
        <v>I am satisfied with the service for the moment, last Saturday we have not managed to change the data, but today it was correct.
I hesitated to take the whole risk because my car because it is 12 years old, and has only 90,000 km, I followed your advice.</v>
      </c>
    </row>
    <row r="275" ht="15.75" customHeight="1">
      <c r="A275" s="2">
        <v>5.0</v>
      </c>
      <c r="B275" s="2" t="s">
        <v>887</v>
      </c>
      <c r="C275" s="2" t="s">
        <v>888</v>
      </c>
      <c r="D275" s="2" t="s">
        <v>13</v>
      </c>
      <c r="E275" s="2" t="s">
        <v>14</v>
      </c>
      <c r="F275" s="2" t="s">
        <v>15</v>
      </c>
      <c r="G275" s="2" t="s">
        <v>889</v>
      </c>
      <c r="H275" s="2" t="s">
        <v>99</v>
      </c>
      <c r="I275" s="3" t="str">
        <f>IFERROR(__xludf.DUMMYFUNCTION("GOOGLETRANSLATE(C275,""fr"",""en"")"),"Very qualitative customer service; Pleasant, attentive and benevolent.
Completely reasonable and really honest insurance proposal !!
We have just ensured the second vehicle of our home and I will not hesitate to recommend the Olivier Insurance to all my"&amp;" family and friends.")</f>
        <v>Very qualitative customer service; Pleasant, attentive and benevolent.
Completely reasonable and really honest insurance proposal !!
We have just ensured the second vehicle of our home and I will not hesitate to recommend the Olivier Insurance to all my family and friends.</v>
      </c>
    </row>
    <row r="276" ht="15.75" customHeight="1">
      <c r="A276" s="2">
        <v>1.0</v>
      </c>
      <c r="B276" s="2" t="s">
        <v>890</v>
      </c>
      <c r="C276" s="2" t="s">
        <v>891</v>
      </c>
      <c r="D276" s="2" t="s">
        <v>192</v>
      </c>
      <c r="E276" s="2" t="s">
        <v>127</v>
      </c>
      <c r="F276" s="2" t="s">
        <v>15</v>
      </c>
      <c r="G276" s="2" t="s">
        <v>892</v>
      </c>
      <c r="H276" s="2" t="s">
        <v>85</v>
      </c>
      <c r="I276" s="3" t="str">
        <f>IFERROR(__xludf.DUMMYFUNCTION("GOOGLETRANSLATE(C276,""fr"",""en"")"),"With 18 years old I bought an MT07 in A2 provided all risks with option Refunding Equipment and accessory
2000 Euro annual exorbitant
I went to make a quote with the same guarantees and less deductible at AXA 890 Euro annual
You have to explain to me w"&amp;"hy such a big price difference
To avoid at all costs")</f>
        <v>With 18 years old I bought an MT07 in A2 provided all risks with option Refunding Equipment and accessory
2000 Euro annual exorbitant
I went to make a quote with the same guarantees and less deductible at AXA 890 Euro annual
You have to explain to me why such a big price difference
To avoid at all costs</v>
      </c>
    </row>
    <row r="277" ht="15.75" customHeight="1">
      <c r="A277" s="2">
        <v>4.0</v>
      </c>
      <c r="B277" s="2" t="s">
        <v>893</v>
      </c>
      <c r="C277" s="2" t="s">
        <v>894</v>
      </c>
      <c r="D277" s="2" t="s">
        <v>28</v>
      </c>
      <c r="E277" s="2" t="s">
        <v>14</v>
      </c>
      <c r="F277" s="2" t="s">
        <v>15</v>
      </c>
      <c r="G277" s="2" t="s">
        <v>523</v>
      </c>
      <c r="H277" s="2" t="s">
        <v>89</v>
      </c>
      <c r="I277" s="3" t="str">
        <f>IFERROR(__xludf.DUMMYFUNCTION("GOOGLETRANSLATE(C277,""fr"",""en"")"),"I am satisfied with the services The prices are reasonable and telephone and physical interlocutors are pleasant and listening. Recommendable insurance")</f>
        <v>I am satisfied with the services The prices are reasonable and telephone and physical interlocutors are pleasant and listening. Recommendable insurance</v>
      </c>
    </row>
    <row r="278" ht="15.75" customHeight="1">
      <c r="A278" s="2">
        <v>1.0</v>
      </c>
      <c r="B278" s="2" t="s">
        <v>895</v>
      </c>
      <c r="C278" s="2" t="s">
        <v>896</v>
      </c>
      <c r="D278" s="2" t="s">
        <v>669</v>
      </c>
      <c r="E278" s="2" t="s">
        <v>44</v>
      </c>
      <c r="F278" s="2" t="s">
        <v>15</v>
      </c>
      <c r="G278" s="2" t="s">
        <v>509</v>
      </c>
      <c r="H278" s="2" t="s">
        <v>89</v>
      </c>
      <c r="I278" s="3" t="str">
        <f>IFERROR(__xludf.DUMMYFUNCTION("GOOGLETRANSLATE(C278,""fr"",""en"")"),"Very disappointed. The 8/7/21 I contacted Generation because I arrived at the end of the right Ani on 27/7/21. I let myself be convinced in spite of myself to electically sign a contract that I did not receive in Back. After several vain requests I was se"&amp;"nt to me by email when I said I wanted to terminate. I realize that I even provided my bank details by phone. . I really felt like I was fooled. 18 days of waiting I do not believe that it is legal ... Publishing the years where I was insured at home thro"&amp;"ugh my employer I was not disappointed. Cordially")</f>
        <v>Very disappointed. The 8/7/21 I contacted Generation because I arrived at the end of the right Ani on 27/7/21. I let myself be convinced in spite of myself to electically sign a contract that I did not receive in Back. After several vain requests I was sent to me by email when I said I wanted to terminate. I realize that I even provided my bank details by phone. . I really felt like I was fooled. 18 days of waiting I do not believe that it is legal ... Publishing the years where I was insured at home through my employer I was not disappointed. Cordially</v>
      </c>
    </row>
    <row r="279" ht="15.75" customHeight="1">
      <c r="A279" s="2">
        <v>1.0</v>
      </c>
      <c r="B279" s="2" t="s">
        <v>897</v>
      </c>
      <c r="C279" s="2" t="s">
        <v>898</v>
      </c>
      <c r="D279" s="2" t="s">
        <v>126</v>
      </c>
      <c r="E279" s="2" t="s">
        <v>127</v>
      </c>
      <c r="F279" s="2" t="s">
        <v>15</v>
      </c>
      <c r="G279" s="2" t="s">
        <v>899</v>
      </c>
      <c r="H279" s="2" t="s">
        <v>900</v>
      </c>
      <c r="I279" s="3" t="str">
        <f>IFERROR(__xludf.DUMMYFUNCTION("GOOGLETRANSLATE(C279,""fr"",""en"")"),"Worse insurance company two wheel never experienced ... 100% non -responsible accident still not settled after two years of procedure. April Moto is the assurance of throwing your money by the windows and never reviewing the color of assistance in the eve"&amp;"nt of a problem. The company is the non -repair specialist, non -reimbursement and particularly recognized for dragging the procedures.")</f>
        <v>Worse insurance company two wheel never experienced ... 100% non -responsible accident still not settled after two years of procedure. April Moto is the assurance of throwing your money by the windows and never reviewing the color of assistance in the event of a problem. The company is the non -repair specialist, non -reimbursement and particularly recognized for dragging the procedures.</v>
      </c>
    </row>
    <row r="280" ht="15.75" customHeight="1">
      <c r="A280" s="2">
        <v>3.0</v>
      </c>
      <c r="B280" s="2" t="s">
        <v>901</v>
      </c>
      <c r="C280" s="2" t="s">
        <v>902</v>
      </c>
      <c r="D280" s="2" t="s">
        <v>48</v>
      </c>
      <c r="E280" s="2" t="s">
        <v>14</v>
      </c>
      <c r="F280" s="2" t="s">
        <v>15</v>
      </c>
      <c r="G280" s="2" t="s">
        <v>903</v>
      </c>
      <c r="H280" s="2" t="s">
        <v>497</v>
      </c>
      <c r="I280" s="3" t="str">
        <f>IFERROR(__xludf.DUMMYFUNCTION("GOOGLETRANSLATE(C280,""fr"",""en"")"),"Climatic event (GTEILLE). Expert who nitches a lot and takes a long time to make his reports and therefore prolonged immobilization (1 month)")</f>
        <v>Climatic event (GTEILLE). Expert who nitches a lot and takes a long time to make his reports and therefore prolonged immobilization (1 month)</v>
      </c>
    </row>
    <row r="281" ht="15.75" customHeight="1">
      <c r="A281" s="2">
        <v>1.0</v>
      </c>
      <c r="B281" s="2" t="s">
        <v>904</v>
      </c>
      <c r="C281" s="2" t="s">
        <v>905</v>
      </c>
      <c r="D281" s="2" t="s">
        <v>92</v>
      </c>
      <c r="E281" s="2" t="s">
        <v>44</v>
      </c>
      <c r="F281" s="2" t="s">
        <v>15</v>
      </c>
      <c r="G281" s="2" t="s">
        <v>55</v>
      </c>
      <c r="H281" s="2" t="s">
        <v>55</v>
      </c>
      <c r="I281" s="3" t="str">
        <f>IFERROR(__xludf.DUMMYFUNCTION("GOOGLETRANSLATE(C281,""fr"",""en"")"),"Very bad mutual.")</f>
        <v>Very bad mutual.</v>
      </c>
    </row>
    <row r="282" ht="15.75" customHeight="1">
      <c r="A282" s="2">
        <v>1.0</v>
      </c>
      <c r="B282" s="2" t="s">
        <v>906</v>
      </c>
      <c r="C282" s="2" t="s">
        <v>907</v>
      </c>
      <c r="D282" s="2" t="s">
        <v>13</v>
      </c>
      <c r="E282" s="2" t="s">
        <v>14</v>
      </c>
      <c r="F282" s="2" t="s">
        <v>15</v>
      </c>
      <c r="G282" s="2" t="s">
        <v>908</v>
      </c>
      <c r="H282" s="2" t="s">
        <v>169</v>
      </c>
      <c r="I282" s="3" t="str">
        <f>IFERROR(__xludf.DUMMYFUNCTION("GOOGLETRANSLATE(C282,""fr"",""en"")"),"We made sure at the olive tree for our 2 vehicles in 2016 with good value for money. What a surprise at maturity, 1 year later to note an unimaginable increase of 30% for one and 50% for the other, without any claim declared in 2017 !!! never seen! Thinki"&amp;"ng that it was an error, we asked for explanations on this change of price: response in wooden language ...")</f>
        <v>We made sure at the olive tree for our 2 vehicles in 2016 with good value for money. What a surprise at maturity, 1 year later to note an unimaginable increase of 30% for one and 50% for the other, without any claim declared in 2017 !!! never seen! Thinking that it was an error, we asked for explanations on this change of price: response in wooden language ...</v>
      </c>
    </row>
    <row r="283" ht="15.75" customHeight="1">
      <c r="A283" s="2">
        <v>2.0</v>
      </c>
      <c r="B283" s="2" t="s">
        <v>909</v>
      </c>
      <c r="C283" s="2" t="s">
        <v>910</v>
      </c>
      <c r="D283" s="2" t="s">
        <v>787</v>
      </c>
      <c r="E283" s="2" t="s">
        <v>44</v>
      </c>
      <c r="F283" s="2" t="s">
        <v>15</v>
      </c>
      <c r="G283" s="2" t="s">
        <v>823</v>
      </c>
      <c r="H283" s="2" t="s">
        <v>99</v>
      </c>
      <c r="I283" s="3" t="str">
        <f>IFERROR(__xludf.DUMMYFUNCTION("GOOGLETRANSLATE(C283,""fr"",""en"")"),"No refund for 3 months. They spend more time sending third -party payment certificates (5, 6 times) than to reimburse customers.
If I had the choice I would not be a client. No worries before with the old insurance.
In addition, in my business, several "&amp;"people complain. So it must be trivial.")</f>
        <v>No refund for 3 months. They spend more time sending third -party payment certificates (5, 6 times) than to reimburse customers.
If I had the choice I would not be a client. No worries before with the old insurance.
In addition, in my business, several people complain. So it must be trivial.</v>
      </c>
    </row>
    <row r="284" ht="15.75" customHeight="1">
      <c r="A284" s="2">
        <v>4.0</v>
      </c>
      <c r="B284" s="2" t="s">
        <v>911</v>
      </c>
      <c r="C284" s="2" t="s">
        <v>912</v>
      </c>
      <c r="D284" s="2" t="s">
        <v>48</v>
      </c>
      <c r="E284" s="2" t="s">
        <v>14</v>
      </c>
      <c r="F284" s="2" t="s">
        <v>15</v>
      </c>
      <c r="G284" s="2" t="s">
        <v>345</v>
      </c>
      <c r="H284" s="2" t="s">
        <v>50</v>
      </c>
      <c r="I284" s="3" t="str">
        <f>IFERROR(__xludf.DUMMYFUNCTION("GOOGLETRANSLATE(C284,""fr"",""en"")"),"Satisfied and happy to resume a contract with Direct Insurance.
Really correct price.
It would be necessary for the health contract to be a little more percentage of reimbursement")</f>
        <v>Satisfied and happy to resume a contract with Direct Insurance.
Really correct price.
It would be necessary for the health contract to be a little more percentage of reimbursement</v>
      </c>
    </row>
    <row r="285" ht="15.75" customHeight="1">
      <c r="A285" s="2">
        <v>4.0</v>
      </c>
      <c r="B285" s="2" t="s">
        <v>913</v>
      </c>
      <c r="C285" s="2" t="s">
        <v>914</v>
      </c>
      <c r="D285" s="2" t="s">
        <v>372</v>
      </c>
      <c r="E285" s="2" t="s">
        <v>127</v>
      </c>
      <c r="F285" s="2" t="s">
        <v>15</v>
      </c>
      <c r="G285" s="2" t="s">
        <v>915</v>
      </c>
      <c r="H285" s="2" t="s">
        <v>29</v>
      </c>
      <c r="I285" s="3" t="str">
        <f>IFERROR(__xludf.DUMMYFUNCTION("GOOGLETRANSLATE(C285,""fr"",""en"")"),"Fast efficient and reliable. The price a bit high. Simple for managing its contracts. Fast for all administrative procedures. I recommend.")</f>
        <v>Fast efficient and reliable. The price a bit high. Simple for managing its contracts. Fast for all administrative procedures. I recommend.</v>
      </c>
    </row>
    <row r="286" ht="15.75" customHeight="1">
      <c r="A286" s="2">
        <v>2.0</v>
      </c>
      <c r="B286" s="2" t="s">
        <v>916</v>
      </c>
      <c r="C286" s="2" t="s">
        <v>917</v>
      </c>
      <c r="D286" s="2" t="s">
        <v>176</v>
      </c>
      <c r="E286" s="2" t="s">
        <v>14</v>
      </c>
      <c r="F286" s="2" t="s">
        <v>15</v>
      </c>
      <c r="G286" s="2" t="s">
        <v>918</v>
      </c>
      <c r="H286" s="2" t="s">
        <v>40</v>
      </c>
      <c r="I286" s="3" t="str">
        <f>IFERROR(__xludf.DUMMYFUNCTION("GOOGLETRANSLATE(C286,""fr"",""en"")"),"I wanted to provide a sports vehicle, the response of the Macif ""After studying the feasibility ..."" I have been a customer for +20 years, so I find the 1st unsatisfactory response and what about the prohibitive rate compared to competition In order to "&amp;"be sure that I give up !!! Happiness. So I will transfer all auto contracts to a competitor.")</f>
        <v>I wanted to provide a sports vehicle, the response of the Macif "After studying the feasibility ..." I have been a customer for +20 years, so I find the 1st unsatisfactory response and what about the prohibitive rate compared to competition In order to be sure that I give up !!! Happiness. So I will transfer all auto contracts to a competitor.</v>
      </c>
    </row>
    <row r="287" ht="15.75" customHeight="1">
      <c r="A287" s="2">
        <v>5.0</v>
      </c>
      <c r="B287" s="2" t="s">
        <v>919</v>
      </c>
      <c r="C287" s="2" t="s">
        <v>920</v>
      </c>
      <c r="D287" s="2" t="s">
        <v>48</v>
      </c>
      <c r="E287" s="2" t="s">
        <v>14</v>
      </c>
      <c r="F287" s="2" t="s">
        <v>15</v>
      </c>
      <c r="G287" s="2" t="s">
        <v>29</v>
      </c>
      <c r="H287" s="2" t="s">
        <v>29</v>
      </c>
      <c r="I287" s="3" t="str">
        <f>IFERROR(__xludf.DUMMYFUNCTION("GOOGLETRANSLATE(C287,""fr"",""en"")"),"Fast efficient simple and very detail I highly recommend it to all new drivers we have no surprise when paying the top
Cordially")</f>
        <v>Fast efficient simple and very detail I highly recommend it to all new drivers we have no surprise when paying the top
Cordially</v>
      </c>
    </row>
    <row r="288" ht="15.75" customHeight="1">
      <c r="A288" s="2">
        <v>2.0</v>
      </c>
      <c r="B288" s="2" t="s">
        <v>921</v>
      </c>
      <c r="C288" s="2" t="s">
        <v>922</v>
      </c>
      <c r="D288" s="2" t="s">
        <v>48</v>
      </c>
      <c r="E288" s="2" t="s">
        <v>14</v>
      </c>
      <c r="F288" s="2" t="s">
        <v>15</v>
      </c>
      <c r="G288" s="2" t="s">
        <v>923</v>
      </c>
      <c r="H288" s="2" t="s">
        <v>924</v>
      </c>
      <c r="I288" s="3" t="str">
        <f>IFERROR(__xludf.DUMMYFUNCTION("GOOGLETRANSLATE(C288,""fr"",""en"")"),"I have been a customer for 4 years after having been before for another vehicle 10 years ago .... I therefore thought by taking up being as well served ... well no ... I returned at a certain price In any risk and when I moved inside the same small provin"&amp;"cial town I was answered that the change of address had resulted in this 10%increase !!!!!!!!!! Recommended, etc, answer: we telephoner! ""The writings remain the words fly away"" .... well I pass ... On July 27 of this year I have a non -responsible acci"&amp;"dent, the follow -up of the light works happens Not too bad and I am announced that a check for € 700 must be sent to me as a dedomination, the checks would have been sent 2 times, I never received them despite 2 letters of withdrawal ... in short It all "&amp;"heats me up and I change my car in 2 months but with another insurance, even more dear I don't care ...")</f>
        <v>I have been a customer for 4 years after having been before for another vehicle 10 years ago .... I therefore thought by taking up being as well served ... well no ... I returned at a certain price In any risk and when I moved inside the same small provincial town I was answered that the change of address had resulted in this 10%increase !!!!!!!!!! Recommended, etc, answer: we telephoner! "The writings remain the words fly away" .... well I pass ... On July 27 of this year I have a non -responsible accident, the follow -up of the light works happens Not too bad and I am announced that a check for € 700 must be sent to me as a dedomination, the checks would have been sent 2 times, I never received them despite 2 letters of withdrawal ... in short It all heats me up and I change my car in 2 months but with another insurance, even more dear I don't care ...</v>
      </c>
    </row>
    <row r="289" ht="15.75" customHeight="1">
      <c r="A289" s="2">
        <v>2.0</v>
      </c>
      <c r="B289" s="2" t="s">
        <v>925</v>
      </c>
      <c r="C289" s="2" t="s">
        <v>926</v>
      </c>
      <c r="D289" s="2" t="s">
        <v>176</v>
      </c>
      <c r="E289" s="2" t="s">
        <v>127</v>
      </c>
      <c r="F289" s="2" t="s">
        <v>15</v>
      </c>
      <c r="G289" s="2" t="s">
        <v>927</v>
      </c>
      <c r="H289" s="2" t="s">
        <v>25</v>
      </c>
      <c r="I289" s="3" t="str">
        <f>IFERROR(__xludf.DUMMYFUNCTION("GOOGLETRANSLATE(C289,""fr"",""en"")"),"The Macif advised me to declare a disaster (flight), and a posteriori withdraw the flight coverage. From my serious point of view lack of advice, lack of transparency, and contempt for its customers. My agency takes refuge behind internal decisions and do"&amp;"es not assume its position.")</f>
        <v>The Macif advised me to declare a disaster (flight), and a posteriori withdraw the flight coverage. From my serious point of view lack of advice, lack of transparency, and contempt for its customers. My agency takes refuge behind internal decisions and does not assume its position.</v>
      </c>
    </row>
    <row r="290" ht="15.75" customHeight="1">
      <c r="A290" s="2">
        <v>1.0</v>
      </c>
      <c r="B290" s="2" t="s">
        <v>928</v>
      </c>
      <c r="C290" s="2" t="s">
        <v>929</v>
      </c>
      <c r="D290" s="2" t="s">
        <v>806</v>
      </c>
      <c r="E290" s="2" t="s">
        <v>215</v>
      </c>
      <c r="F290" s="2" t="s">
        <v>15</v>
      </c>
      <c r="G290" s="2" t="s">
        <v>930</v>
      </c>
      <c r="H290" s="2" t="s">
        <v>173</v>
      </c>
      <c r="I290" s="3" t="str">
        <f>IFERROR(__xludf.DUMMYFUNCTION("GOOGLETRANSLATE(C290,""fr"",""en"")"),"As long as everything is fine ...")</f>
        <v>As long as everything is fine ...</v>
      </c>
    </row>
    <row r="291" ht="15.75" customHeight="1">
      <c r="A291" s="2">
        <v>1.0</v>
      </c>
      <c r="B291" s="2" t="s">
        <v>931</v>
      </c>
      <c r="C291" s="2" t="s">
        <v>932</v>
      </c>
      <c r="D291" s="2" t="s">
        <v>787</v>
      </c>
      <c r="E291" s="2" t="s">
        <v>44</v>
      </c>
      <c r="F291" s="2" t="s">
        <v>15</v>
      </c>
      <c r="G291" s="2" t="s">
        <v>933</v>
      </c>
      <c r="H291" s="2" t="s">
        <v>99</v>
      </c>
      <c r="I291" s="3" t="str">
        <f>IFERROR(__xludf.DUMMYFUNCTION("GOOGLETRANSLATE(C291,""fr"",""en"")"),"To run away absolutely
Another request for a complete optical reimbursement but putting on hold.
Invoice conforms with detail of the lenses, invoice number, Adeli (pro health) and acquitted number and yet Mercer requests to justify all of this ........."&amp;". !!!!!!!!!!!! !!
And I had attached the prescription which complies with the lenses purchased
To believe that he tries not to settle the services of their insured and beneficiaries .....
TO FLEE !!!!!!!!!!")</f>
        <v>To run away absolutely
Another request for a complete optical reimbursement but putting on hold.
Invoice conforms with detail of the lenses, invoice number, Adeli (pro health) and acquitted number and yet Mercer requests to justify all of this .......... !!!!!!!!!!!! !!
And I had attached the prescription which complies with the lenses purchased
To believe that he tries not to settle the services of their insured and beneficiaries .....
TO FLEE !!!!!!!!!!</v>
      </c>
    </row>
    <row r="292" ht="15.75" customHeight="1">
      <c r="A292" s="2">
        <v>5.0</v>
      </c>
      <c r="B292" s="2" t="s">
        <v>934</v>
      </c>
      <c r="C292" s="2" t="s">
        <v>935</v>
      </c>
      <c r="D292" s="2" t="s">
        <v>296</v>
      </c>
      <c r="E292" s="2" t="s">
        <v>14</v>
      </c>
      <c r="F292" s="2" t="s">
        <v>15</v>
      </c>
      <c r="G292" s="2" t="s">
        <v>936</v>
      </c>
      <c r="H292" s="2" t="s">
        <v>729</v>
      </c>
      <c r="I292" s="3" t="str">
        <f>IFERROR(__xludf.DUMMYFUNCTION("GOOGLETRANSLATE(C292,""fr"",""en"")"),"Welcome, good product presentation")</f>
        <v>Welcome, good product presentation</v>
      </c>
    </row>
    <row r="293" ht="15.75" customHeight="1">
      <c r="A293" s="2">
        <v>1.0</v>
      </c>
      <c r="B293" s="2" t="s">
        <v>937</v>
      </c>
      <c r="C293" s="2" t="s">
        <v>938</v>
      </c>
      <c r="D293" s="2" t="s">
        <v>97</v>
      </c>
      <c r="E293" s="2" t="s">
        <v>33</v>
      </c>
      <c r="F293" s="2" t="s">
        <v>15</v>
      </c>
      <c r="G293" s="2" t="s">
        <v>939</v>
      </c>
      <c r="H293" s="2" t="s">
        <v>204</v>
      </c>
      <c r="I293" s="3" t="str">
        <f>IFERROR(__xludf.DUMMYFUNCTION("GOOGLETRANSLATE(C293,""fr"",""en"")"),"No correspondent on the phone, only of the answering machine, very long deadlines to get his money, to flee!")</f>
        <v>No correspondent on the phone, only of the answering machine, very long deadlines to get his money, to flee!</v>
      </c>
    </row>
    <row r="294" ht="15.75" customHeight="1">
      <c r="A294" s="2">
        <v>2.0</v>
      </c>
      <c r="B294" s="2" t="s">
        <v>940</v>
      </c>
      <c r="C294" s="2" t="s">
        <v>941</v>
      </c>
      <c r="D294" s="2" t="s">
        <v>228</v>
      </c>
      <c r="E294" s="2" t="s">
        <v>285</v>
      </c>
      <c r="F294" s="2" t="s">
        <v>15</v>
      </c>
      <c r="G294" s="2" t="s">
        <v>942</v>
      </c>
      <c r="H294" s="2" t="s">
        <v>943</v>
      </c>
      <c r="I294" s="3" t="str">
        <f>IFERROR(__xludf.DUMMYFUNCTION("GOOGLETRANSLATE(C294,""fr"",""en"")"),"Following the total fire of our house, we lost everything and Axa did absolutely nothing for us. They modify the facts to be sure you have to reimburse and despite the report of the court expert who says that it is an involuntary fire refuses to compensat"&amp;"e us.")</f>
        <v>Following the total fire of our house, we lost everything and Axa did absolutely nothing for us. They modify the facts to be sure you have to reimburse and despite the report of the court expert who says that it is an involuntary fire refuses to compensate us.</v>
      </c>
    </row>
    <row r="295" ht="15.75" customHeight="1">
      <c r="A295" s="2">
        <v>3.0</v>
      </c>
      <c r="B295" s="2" t="s">
        <v>944</v>
      </c>
      <c r="C295" s="2" t="s">
        <v>945</v>
      </c>
      <c r="D295" s="2" t="s">
        <v>102</v>
      </c>
      <c r="E295" s="2" t="s">
        <v>14</v>
      </c>
      <c r="F295" s="2" t="s">
        <v>15</v>
      </c>
      <c r="G295" s="2" t="s">
        <v>946</v>
      </c>
      <c r="H295" s="2" t="s">
        <v>178</v>
      </c>
      <c r="I295" s="3" t="str">
        <f>IFERROR(__xludf.DUMMYFUNCTION("GOOGLETRANSLATE(C295,""fr"",""en"")"),"Hello, I broke down on Saturday May 6 at 6 p.m., at 3 a.m. and a half from my home, I contacted Assistance Maaf on 0800 ...; I came across an interlocutor who is not patient at all and who takes us to stay, we will have to understand the first time and th"&amp;"at we do not repeat it, I think that in our situation , we can ask for details, when we are told about repatriation, we do not know if we are told about car or people, it would be good for you to review your advisers on the phone, we ended up asking for a"&amp;"nything and we Debricates on its own, hello assistance service ...")</f>
        <v>Hello, I broke down on Saturday May 6 at 6 p.m., at 3 a.m. and a half from my home, I contacted Assistance Maaf on 0800 ...; I came across an interlocutor who is not patient at all and who takes us to stay, we will have to understand the first time and that we do not repeat it, I think that in our situation , we can ask for details, when we are told about repatriation, we do not know if we are told about car or people, it would be good for you to review your advisers on the phone, we ended up asking for anything and we Debricates on its own, hello assistance service ...</v>
      </c>
    </row>
    <row r="296" ht="15.75" customHeight="1">
      <c r="A296" s="2">
        <v>1.0</v>
      </c>
      <c r="B296" s="2" t="s">
        <v>947</v>
      </c>
      <c r="C296" s="2" t="s">
        <v>948</v>
      </c>
      <c r="D296" s="2" t="s">
        <v>48</v>
      </c>
      <c r="E296" s="2" t="s">
        <v>14</v>
      </c>
      <c r="F296" s="2" t="s">
        <v>15</v>
      </c>
      <c r="G296" s="2" t="s">
        <v>949</v>
      </c>
      <c r="H296" s="2" t="s">
        <v>173</v>
      </c>
      <c r="I296" s="3" t="str">
        <f>IFERROR(__xludf.DUMMYFUNCTION("GOOGLETRANSLATE(C296,""fr"",""en"")"),"I would have liked to have a better price. It’s too expensive. I am a work -study student. Could you call me to make me a better price")</f>
        <v>I would have liked to have a better price. It’s too expensive. I am a work -study student. Could you call me to make me a better price</v>
      </c>
    </row>
    <row r="297" ht="15.75" customHeight="1">
      <c r="A297" s="2">
        <v>5.0</v>
      </c>
      <c r="B297" s="2" t="s">
        <v>950</v>
      </c>
      <c r="C297" s="2" t="s">
        <v>951</v>
      </c>
      <c r="D297" s="2" t="s">
        <v>48</v>
      </c>
      <c r="E297" s="2" t="s">
        <v>14</v>
      </c>
      <c r="F297" s="2" t="s">
        <v>15</v>
      </c>
      <c r="G297" s="2" t="s">
        <v>952</v>
      </c>
      <c r="H297" s="2" t="s">
        <v>29</v>
      </c>
      <c r="I297" s="3" t="str">
        <f>IFERROR(__xludf.DUMMYFUNCTION("GOOGLETRANSLATE(C297,""fr"",""en"")"),"Super fast and efficient, very happy I highly recommend this insurance, simplicity and speed of treatment I will be able to move by being insured without difficulty.")</f>
        <v>Super fast and efficient, very happy I highly recommend this insurance, simplicity and speed of treatment I will be able to move by being insured without difficulty.</v>
      </c>
    </row>
    <row r="298" ht="15.75" customHeight="1">
      <c r="A298" s="2">
        <v>1.0</v>
      </c>
      <c r="B298" s="2" t="s">
        <v>953</v>
      </c>
      <c r="C298" s="2" t="s">
        <v>954</v>
      </c>
      <c r="D298" s="2" t="s">
        <v>58</v>
      </c>
      <c r="E298" s="2" t="s">
        <v>44</v>
      </c>
      <c r="F298" s="2" t="s">
        <v>15</v>
      </c>
      <c r="G298" s="2" t="s">
        <v>955</v>
      </c>
      <c r="H298" s="2" t="s">
        <v>149</v>
      </c>
      <c r="I298" s="3" t="str">
        <f>IFERROR(__xludf.DUMMYFUNCTION("GOOGLETRANSLATE(C298,""fr"",""en"")"),"Non -existent customer services
No refund
To avoid absolutely
Incompetent telephone platform !!")</f>
        <v>Non -existent customer services
No refund
To avoid absolutely
Incompetent telephone platform !!</v>
      </c>
    </row>
    <row r="299" ht="15.75" customHeight="1">
      <c r="A299" s="2">
        <v>5.0</v>
      </c>
      <c r="B299" s="2" t="s">
        <v>956</v>
      </c>
      <c r="C299" s="2" t="s">
        <v>957</v>
      </c>
      <c r="D299" s="2" t="s">
        <v>13</v>
      </c>
      <c r="E299" s="2" t="s">
        <v>14</v>
      </c>
      <c r="F299" s="2" t="s">
        <v>15</v>
      </c>
      <c r="G299" s="2" t="s">
        <v>958</v>
      </c>
      <c r="H299" s="2" t="s">
        <v>17</v>
      </c>
      <c r="I299" s="3" t="str">
        <f>IFERROR(__xludf.DUMMYFUNCTION("GOOGLETRANSLATE(C299,""fr"",""en"")"),"I am satisfied with the service, the value for money and very good
The people I had on the phone was nice
while hoping that it continues")</f>
        <v>I am satisfied with the service, the value for money and very good
The people I had on the phone was nice
while hoping that it continues</v>
      </c>
    </row>
    <row r="300" ht="15.75" customHeight="1">
      <c r="A300" s="2">
        <v>3.0</v>
      </c>
      <c r="B300" s="2" t="s">
        <v>959</v>
      </c>
      <c r="C300" s="2" t="s">
        <v>960</v>
      </c>
      <c r="D300" s="2" t="s">
        <v>97</v>
      </c>
      <c r="E300" s="2" t="s">
        <v>33</v>
      </c>
      <c r="F300" s="2" t="s">
        <v>15</v>
      </c>
      <c r="G300" s="2" t="s">
        <v>961</v>
      </c>
      <c r="H300" s="2" t="s">
        <v>238</v>
      </c>
      <c r="I300" s="3" t="str">
        <f>IFERROR(__xludf.DUMMYFUNCTION("GOOGLETRANSLATE(C300,""fr"",""en"")"),"This company will always find a way not to make your savings.")</f>
        <v>This company will always find a way not to make your savings.</v>
      </c>
    </row>
    <row r="301" ht="15.75" customHeight="1">
      <c r="A301" s="2">
        <v>5.0</v>
      </c>
      <c r="B301" s="2" t="s">
        <v>962</v>
      </c>
      <c r="C301" s="2" t="s">
        <v>963</v>
      </c>
      <c r="D301" s="2" t="s">
        <v>126</v>
      </c>
      <c r="E301" s="2" t="s">
        <v>127</v>
      </c>
      <c r="F301" s="2" t="s">
        <v>15</v>
      </c>
      <c r="G301" s="2" t="s">
        <v>964</v>
      </c>
      <c r="H301" s="2" t="s">
        <v>25</v>
      </c>
      <c r="I301" s="3" t="str">
        <f>IFERROR(__xludf.DUMMYFUNCTION("GOOGLETRANSLATE(C301,""fr"",""en"")"),"Unbeatable prices, easy to use software, and speed of prices.
I strongly recommend April insurance, cheaper than other competing insurance")</f>
        <v>Unbeatable prices, easy to use software, and speed of prices.
I strongly recommend April insurance, cheaper than other competing insurance</v>
      </c>
    </row>
    <row r="302" ht="15.75" customHeight="1">
      <c r="A302" s="2">
        <v>3.0</v>
      </c>
      <c r="B302" s="2" t="s">
        <v>965</v>
      </c>
      <c r="C302" s="2" t="s">
        <v>966</v>
      </c>
      <c r="D302" s="2" t="s">
        <v>53</v>
      </c>
      <c r="E302" s="2" t="s">
        <v>44</v>
      </c>
      <c r="F302" s="2" t="s">
        <v>15</v>
      </c>
      <c r="G302" s="2" t="s">
        <v>967</v>
      </c>
      <c r="H302" s="2" t="s">
        <v>477</v>
      </c>
      <c r="I302" s="3" t="str">
        <f>IFERROR(__xludf.DUMMYFUNCTION("GOOGLETRANSLATE(C302,""fr"",""en"")"),"I find that his super.")</f>
        <v>I find that his super.</v>
      </c>
    </row>
    <row r="303" ht="15.75" customHeight="1">
      <c r="A303" s="2">
        <v>3.0</v>
      </c>
      <c r="B303" s="2" t="s">
        <v>968</v>
      </c>
      <c r="C303" s="2" t="s">
        <v>969</v>
      </c>
      <c r="D303" s="2" t="s">
        <v>121</v>
      </c>
      <c r="E303" s="2" t="s">
        <v>14</v>
      </c>
      <c r="F303" s="2" t="s">
        <v>15</v>
      </c>
      <c r="G303" s="2" t="s">
        <v>970</v>
      </c>
      <c r="H303" s="2" t="s">
        <v>238</v>
      </c>
      <c r="I303" s="3" t="str">
        <f>IFERROR(__xludf.DUMMYFUNCTION("GOOGLETRANSLATE(C303,""fr"",""en"")"),"Insured any risk with bonus 50 and without any recent responsible accident for more than 8 years at La Maif for my car I thought that it would reward my loyalty and my good conduct .. you have to believe that no !!
However, I have just undergone a substa"&amp;"ntial increase in my annual subscription in 2019 ... Is this how we reward the right drivers?")</f>
        <v>Insured any risk with bonus 50 and without any recent responsible accident for more than 8 years at La Maif for my car I thought that it would reward my loyalty and my good conduct .. you have to believe that no !!
However, I have just undergone a substantial increase in my annual subscription in 2019 ... Is this how we reward the right drivers?</v>
      </c>
    </row>
    <row r="304" ht="15.75" customHeight="1">
      <c r="A304" s="2">
        <v>2.0</v>
      </c>
      <c r="B304" s="2" t="s">
        <v>971</v>
      </c>
      <c r="C304" s="2" t="s">
        <v>972</v>
      </c>
      <c r="D304" s="2" t="s">
        <v>284</v>
      </c>
      <c r="E304" s="2" t="s">
        <v>285</v>
      </c>
      <c r="F304" s="2" t="s">
        <v>15</v>
      </c>
      <c r="G304" s="2" t="s">
        <v>973</v>
      </c>
      <c r="H304" s="2" t="s">
        <v>784</v>
      </c>
      <c r="I304" s="3" t="str">
        <f>IFERROR(__xludf.DUMMYFUNCTION("GOOGLETRANSLATE(C304,""fr"",""en"")"),"Battled at 30/05/2020 for a fire in the basement of a building of which I am a victim, Sogessur manages the excuses so as not to compensate me.
- ""We are looking for the third party for convocation within 21 days"" and postponement of 3x expertise (+2 m"&amp;"onths)
- ""We are waiting for the expert's report"" (+2 months)
- ""We are waiting for the entrepreneurial quote"" (+1 months)
And now ""we are waiting for the report on the causes of the fire"" how long? ""We do not know !""
Morality for minor dama"&amp;"ge (quantified at 1120 euros) I am still not compensated more than 5 months after the disaster ... To top the whole thing was under compromise and now sold, I therefore find myself between the hammer and the 'Endle, being responsible for restoring the pro"&amp;"perty. The position is very little pleasant and well known to Sogessur.
The proper of the insurance service being the quality of the monitoring of the claim and compensation, I seem to pay for services that are not up to the idea that I made of Sogessur "&amp;"contracts. For invoices, the samples go without problem, it's at the top!")</f>
        <v>Battled at 30/05/2020 for a fire in the basement of a building of which I am a victim, Sogessur manages the excuses so as not to compensate me.
- "We are looking for the third party for convocation within 21 days" and postponement of 3x expertise (+2 months)
- "We are waiting for the expert's report" (+2 months)
- "We are waiting for the entrepreneurial quote" (+1 months)
And now "we are waiting for the report on the causes of the fire" how long? "We do not know !"
Morality for minor damage (quantified at 1120 euros) I am still not compensated more than 5 months after the disaster ... To top the whole thing was under compromise and now sold, I therefore find myself between the hammer and the 'Endle, being responsible for restoring the property. The position is very little pleasant and well known to Sogessur.
The proper of the insurance service being the quality of the monitoring of the claim and compensation, I seem to pay for services that are not up to the idea that I made of Sogessur contracts. For invoices, the samples go without problem, it's at the top!</v>
      </c>
    </row>
    <row r="305" ht="15.75" customHeight="1">
      <c r="A305" s="2">
        <v>4.0</v>
      </c>
      <c r="B305" s="2" t="s">
        <v>974</v>
      </c>
      <c r="C305" s="2" t="s">
        <v>975</v>
      </c>
      <c r="D305" s="2" t="s">
        <v>48</v>
      </c>
      <c r="E305" s="2" t="s">
        <v>14</v>
      </c>
      <c r="F305" s="2" t="s">
        <v>15</v>
      </c>
      <c r="G305" s="2" t="s">
        <v>933</v>
      </c>
      <c r="H305" s="2" t="s">
        <v>99</v>
      </c>
      <c r="I305" s="3" t="str">
        <f>IFERROR(__xludf.DUMMYFUNCTION("GOOGLETRANSLATE(C305,""fr"",""en"")"),"I am satisfied with your service
I would like it to be a less waiting on the phone
I hope there will be no increase for the next few years")</f>
        <v>I am satisfied with your service
I would like it to be a less waiting on the phone
I hope there will be no increase for the next few years</v>
      </c>
    </row>
    <row r="306" ht="15.75" customHeight="1">
      <c r="A306" s="2">
        <v>5.0</v>
      </c>
      <c r="B306" s="2" t="s">
        <v>976</v>
      </c>
      <c r="C306" s="2" t="s">
        <v>977</v>
      </c>
      <c r="D306" s="2" t="s">
        <v>48</v>
      </c>
      <c r="E306" s="2" t="s">
        <v>14</v>
      </c>
      <c r="F306" s="2" t="s">
        <v>15</v>
      </c>
      <c r="G306" s="2" t="s">
        <v>978</v>
      </c>
      <c r="H306" s="2" t="s">
        <v>50</v>
      </c>
      <c r="I306" s="3" t="str">
        <f>IFERROR(__xludf.DUMMYFUNCTION("GOOGLETRANSLATE(C306,""fr"",""en"")"),"Very competitive price easy subscription
Detailing prices Choice of clear guarantees possibilities to choose additional options at attractive SUOER prices")</f>
        <v>Very competitive price easy subscription
Detailing prices Choice of clear guarantees possibilities to choose additional options at attractive SUOER prices</v>
      </c>
    </row>
    <row r="307" ht="15.75" customHeight="1">
      <c r="A307" s="2">
        <v>2.0</v>
      </c>
      <c r="B307" s="2" t="s">
        <v>979</v>
      </c>
      <c r="C307" s="2" t="s">
        <v>980</v>
      </c>
      <c r="D307" s="2" t="s">
        <v>296</v>
      </c>
      <c r="E307" s="2" t="s">
        <v>14</v>
      </c>
      <c r="F307" s="2" t="s">
        <v>15</v>
      </c>
      <c r="G307" s="2" t="s">
        <v>981</v>
      </c>
      <c r="H307" s="2" t="s">
        <v>21</v>
      </c>
      <c r="I307" s="3" t="str">
        <f>IFERROR(__xludf.DUMMYFUNCTION("GOOGLETRANSLATE(C307,""fr"",""en"")"),"We must not have more than two non -responsible claims because Aussinon we receive a letter by which we are a bad driver and he turns us.")</f>
        <v>We must not have more than two non -responsible claims because Aussinon we receive a letter by which we are a bad driver and he turns us.</v>
      </c>
    </row>
    <row r="308" ht="15.75" customHeight="1">
      <c r="A308" s="2">
        <v>1.0</v>
      </c>
      <c r="B308" s="2" t="s">
        <v>982</v>
      </c>
      <c r="C308" s="2" t="s">
        <v>983</v>
      </c>
      <c r="D308" s="2" t="s">
        <v>400</v>
      </c>
      <c r="E308" s="2" t="s">
        <v>285</v>
      </c>
      <c r="F308" s="2" t="s">
        <v>15</v>
      </c>
      <c r="G308" s="2" t="s">
        <v>984</v>
      </c>
      <c r="H308" s="2" t="s">
        <v>200</v>
      </c>
      <c r="I308" s="3" t="str">
        <f>IFERROR(__xludf.DUMMYFUNCTION("GOOGLETRANSLATE(C308,""fr"",""en"")"),"EXICE without any explanation and no one has answered.")</f>
        <v>EXICE without any explanation and no one has answered.</v>
      </c>
    </row>
    <row r="309" ht="15.75" customHeight="1">
      <c r="A309" s="2">
        <v>1.0</v>
      </c>
      <c r="B309" s="2" t="s">
        <v>985</v>
      </c>
      <c r="C309" s="2" t="s">
        <v>986</v>
      </c>
      <c r="D309" s="2" t="s">
        <v>37</v>
      </c>
      <c r="E309" s="2" t="s">
        <v>38</v>
      </c>
      <c r="F309" s="2" t="s">
        <v>15</v>
      </c>
      <c r="G309" s="2" t="s">
        <v>987</v>
      </c>
      <c r="H309" s="2" t="s">
        <v>452</v>
      </c>
      <c r="I309" s="3" t="str">
        <f>IFERROR(__xludf.DUMMYFUNCTION("GOOGLETRANSLATE(C309,""fr"",""en"")"),"For 14 months I have been fighting to assert my rights for our borrower insurance, following the disability of my husband exchange of incoherent mail on their part. But I see that many of us have problems and I find it unacceptable. We would have to get t"&amp;"ogether in order to assert our rights")</f>
        <v>For 14 months I have been fighting to assert my rights for our borrower insurance, following the disability of my husband exchange of incoherent mail on their part. But I see that many of us have problems and I find it unacceptable. We would have to get together in order to assert our rights</v>
      </c>
    </row>
    <row r="310" ht="15.75" customHeight="1">
      <c r="A310" s="2">
        <v>2.0</v>
      </c>
      <c r="B310" s="2" t="s">
        <v>988</v>
      </c>
      <c r="C310" s="2" t="s">
        <v>989</v>
      </c>
      <c r="D310" s="2" t="s">
        <v>669</v>
      </c>
      <c r="E310" s="2" t="s">
        <v>44</v>
      </c>
      <c r="F310" s="2" t="s">
        <v>15</v>
      </c>
      <c r="G310" s="2" t="s">
        <v>990</v>
      </c>
      <c r="H310" s="2" t="s">
        <v>784</v>
      </c>
      <c r="I310" s="3" t="str">
        <f>IFERROR(__xludf.DUMMYFUNCTION("GOOGLETRANSLATE(C310,""fr"",""en"")"),"I'm really very on it, I have been asking to get a document that generation does not want to give me. This is simply a reimbursement count. After several calls, I am still waiting to get this document. I am really exceeded and disappointed because by thei"&amp;"r fault I am still waiting for a refund of almost € 400. It’s a hell!")</f>
        <v>I'm really very on it, I have been asking to get a document that generation does not want to give me. This is simply a reimbursement count. After several calls, I am still waiting to get this document. I am really exceeded and disappointed because by their fault I am still waiting for a refund of almost € 400. It’s a hell!</v>
      </c>
    </row>
    <row r="311" ht="15.75" customHeight="1">
      <c r="A311" s="2">
        <v>4.0</v>
      </c>
      <c r="B311" s="2" t="s">
        <v>991</v>
      </c>
      <c r="C311" s="2" t="s">
        <v>992</v>
      </c>
      <c r="D311" s="2" t="s">
        <v>48</v>
      </c>
      <c r="E311" s="2" t="s">
        <v>14</v>
      </c>
      <c r="F311" s="2" t="s">
        <v>15</v>
      </c>
      <c r="G311" s="2" t="s">
        <v>993</v>
      </c>
      <c r="H311" s="2" t="s">
        <v>29</v>
      </c>
      <c r="I311" s="3" t="str">
        <f>IFERROR(__xludf.DUMMYFUNCTION("GOOGLETRANSLATE(C311,""fr"",""en"")"),"Very fast to set up the file and according to my expectations in insurance matters.
I recommend this insurance by hoping that the service in the event of a problem is also up to height.")</f>
        <v>Very fast to set up the file and according to my expectations in insurance matters.
I recommend this insurance by hoping that the service in the event of a problem is also up to height.</v>
      </c>
    </row>
    <row r="312" ht="15.75" customHeight="1">
      <c r="A312" s="2">
        <v>1.0</v>
      </c>
      <c r="B312" s="2" t="s">
        <v>994</v>
      </c>
      <c r="C312" s="2" t="s">
        <v>995</v>
      </c>
      <c r="D312" s="2" t="s">
        <v>121</v>
      </c>
      <c r="E312" s="2" t="s">
        <v>285</v>
      </c>
      <c r="F312" s="2" t="s">
        <v>15</v>
      </c>
      <c r="G312" s="2" t="s">
        <v>996</v>
      </c>
      <c r="H312" s="2" t="s">
        <v>336</v>
      </c>
      <c r="I312" s="3" t="str">
        <f>IFERROR(__xludf.DUMMYFUNCTION("GOOGLETRANSLATE(C312,""fr"",""en"")"),"No assistance if we do not relaunch them anything passes. I
Below everything
Obliged to relocate to my strawberries had a water damage a first expert who knew nothing happened (he did not make the difference between a glued floor and a solid oak floor p"&amp;"osed on the lambourde!) He had to go back 3 months after now Ask six months! Unacceptable")</f>
        <v>No assistance if we do not relaunch them anything passes. I
Below everything
Obliged to relocate to my strawberries had a water damage a first expert who knew nothing happened (he did not make the difference between a glued floor and a solid oak floor posed on the lambourde!) He had to go back 3 months after now Ask six months! Unacceptable</v>
      </c>
    </row>
    <row r="313" ht="15.75" customHeight="1">
      <c r="A313" s="2">
        <v>5.0</v>
      </c>
      <c r="B313" s="2" t="s">
        <v>997</v>
      </c>
      <c r="C313" s="2" t="s">
        <v>998</v>
      </c>
      <c r="D313" s="2" t="s">
        <v>92</v>
      </c>
      <c r="E313" s="2" t="s">
        <v>44</v>
      </c>
      <c r="F313" s="2" t="s">
        <v>15</v>
      </c>
      <c r="G313" s="2" t="s">
        <v>999</v>
      </c>
      <c r="H313" s="2" t="s">
        <v>185</v>
      </c>
      <c r="I313" s="3" t="str">
        <f>IFERROR(__xludf.DUMMYFUNCTION("GOOGLETRANSLATE(C313,""fr"",""en"")"),"Excellent mutual that I highly recommend. I have been adhere since 1962. I am very happy currently to be managed by the Mgen with regard to my age and the services it governs.")</f>
        <v>Excellent mutual that I highly recommend. I have been adhere since 1962. I am very happy currently to be managed by the Mgen with regard to my age and the services it governs.</v>
      </c>
    </row>
    <row r="314" ht="15.75" customHeight="1">
      <c r="A314" s="2">
        <v>2.0</v>
      </c>
      <c r="B314" s="2" t="s">
        <v>1000</v>
      </c>
      <c r="C314" s="2" t="s">
        <v>1001</v>
      </c>
      <c r="D314" s="2" t="s">
        <v>296</v>
      </c>
      <c r="E314" s="2" t="s">
        <v>14</v>
      </c>
      <c r="F314" s="2" t="s">
        <v>15</v>
      </c>
      <c r="G314" s="2" t="s">
        <v>1002</v>
      </c>
      <c r="H314" s="2" t="s">
        <v>149</v>
      </c>
      <c r="I314" s="3" t="str">
        <f>IFERROR(__xludf.DUMMYFUNCTION("GOOGLETRANSLATE(C314,""fr"",""en"")"),"Sending paper termination of the contract on August 15, 2018 on 03/22/2019 I still pay a car that I am no longer I send back the paper and the still nothing I still pay on April 12, 2019 no refund and after 15 minutes. always nothing")</f>
        <v>Sending paper termination of the contract on August 15, 2018 on 03/22/2019 I still pay a car that I am no longer I send back the paper and the still nothing I still pay on April 12, 2019 no refund and after 15 minutes. always nothing</v>
      </c>
    </row>
    <row r="315" ht="15.75" customHeight="1">
      <c r="A315" s="2">
        <v>4.0</v>
      </c>
      <c r="B315" s="2" t="s">
        <v>1003</v>
      </c>
      <c r="C315" s="2" t="s">
        <v>1004</v>
      </c>
      <c r="D315" s="2" t="s">
        <v>13</v>
      </c>
      <c r="E315" s="2" t="s">
        <v>14</v>
      </c>
      <c r="F315" s="2" t="s">
        <v>15</v>
      </c>
      <c r="G315" s="2" t="s">
        <v>360</v>
      </c>
      <c r="H315" s="2" t="s">
        <v>99</v>
      </c>
      <c r="I315" s="3" t="str">
        <f>IFERROR(__xludf.DUMMYFUNCTION("GOOGLETRANSLATE(C315,""fr"",""en"")"),"Well for the moment, to be seen over time and in the event of a claim. Provide telephone contact to make the quote. The advisor did his job very well.")</f>
        <v>Well for the moment, to be seen over time and in the event of a claim. Provide telephone contact to make the quote. The advisor did his job very well.</v>
      </c>
    </row>
    <row r="316" ht="15.75" customHeight="1">
      <c r="A316" s="2">
        <v>2.0</v>
      </c>
      <c r="B316" s="2" t="s">
        <v>1005</v>
      </c>
      <c r="C316" s="2" t="s">
        <v>1006</v>
      </c>
      <c r="D316" s="2" t="s">
        <v>296</v>
      </c>
      <c r="E316" s="2" t="s">
        <v>14</v>
      </c>
      <c r="F316" s="2" t="s">
        <v>15</v>
      </c>
      <c r="G316" s="2" t="s">
        <v>1007</v>
      </c>
      <c r="H316" s="2" t="s">
        <v>924</v>
      </c>
      <c r="I316" s="3" t="str">
        <f>IFERROR(__xludf.DUMMYFUNCTION("GOOGLETRANSLATE(C316,""fr"",""en"")"),"Never make sure at home.
Current client my car was stolen insured any risk even not even a loan vehicle not a Courier I am leaving labondon. It has been 2 months 1/2 that my car was stolen and always nothing every time I call the same answer I site your "&amp;"file and at the direction I am not more info to give you it Great anything go everywhere but not at home")</f>
        <v>Never make sure at home.
Current client my car was stolen insured any risk even not even a loan vehicle not a Courier I am leaving labondon. It has been 2 months 1/2 that my car was stolen and always nothing every time I call the same answer I site your file and at the direction I am not more info to give you it Great anything go everywhere but not at home</v>
      </c>
    </row>
    <row r="317" ht="15.75" customHeight="1">
      <c r="A317" s="2">
        <v>3.0</v>
      </c>
      <c r="B317" s="2" t="s">
        <v>1008</v>
      </c>
      <c r="C317" s="2" t="s">
        <v>1009</v>
      </c>
      <c r="D317" s="2" t="s">
        <v>53</v>
      </c>
      <c r="E317" s="2" t="s">
        <v>44</v>
      </c>
      <c r="F317" s="2" t="s">
        <v>15</v>
      </c>
      <c r="G317" s="2" t="s">
        <v>1010</v>
      </c>
      <c r="H317" s="2" t="s">
        <v>55</v>
      </c>
      <c r="I317" s="3" t="str">
        <f>IFERROR(__xludf.DUMMYFUNCTION("GOOGLETRANSLATE(C317,""fr"",""en"")"),"Deplorable customer service impossible to reach them by phone. Acknowledged receipt of email but does not answer.
Over 25 telephone calls without result. Awaiting a refund for 3 weeks")</f>
        <v>Deplorable customer service impossible to reach them by phone. Acknowledged receipt of email but does not answer.
Over 25 telephone calls without result. Awaiting a refund for 3 weeks</v>
      </c>
    </row>
    <row r="318" ht="15.75" customHeight="1">
      <c r="A318" s="2">
        <v>1.0</v>
      </c>
      <c r="B318" s="2" t="s">
        <v>1011</v>
      </c>
      <c r="C318" s="2" t="s">
        <v>1012</v>
      </c>
      <c r="D318" s="2" t="s">
        <v>48</v>
      </c>
      <c r="E318" s="2" t="s">
        <v>14</v>
      </c>
      <c r="F318" s="2" t="s">
        <v>15</v>
      </c>
      <c r="G318" s="2" t="s">
        <v>1013</v>
      </c>
      <c r="H318" s="2" t="s">
        <v>85</v>
      </c>
      <c r="I318" s="3" t="str">
        <f>IFERROR(__xludf.DUMMYFUNCTION("GOOGLETRANSLATE(C318,""fr"",""en"")"),"Hello direct insurance I find very expensive each year it goes up it drops despite there is no problem has no accident each year it goes up I find it very expensive compared to our insurance it is very very expensive that I")</f>
        <v>Hello direct insurance I find very expensive each year it goes up it drops despite there is no problem has no accident each year it goes up I find it very expensive compared to our insurance it is very very expensive that I</v>
      </c>
    </row>
    <row r="319" ht="15.75" customHeight="1">
      <c r="A319" s="2">
        <v>5.0</v>
      </c>
      <c r="B319" s="2" t="s">
        <v>1014</v>
      </c>
      <c r="C319" s="2" t="s">
        <v>1015</v>
      </c>
      <c r="D319" s="2" t="s">
        <v>330</v>
      </c>
      <c r="E319" s="2" t="s">
        <v>44</v>
      </c>
      <c r="F319" s="2" t="s">
        <v>15</v>
      </c>
      <c r="G319" s="2" t="s">
        <v>1016</v>
      </c>
      <c r="H319" s="2" t="s">
        <v>164</v>
      </c>
      <c r="I319" s="3" t="str">
        <f>IFERROR(__xludf.DUMMYFUNCTION("GOOGLETRANSLATE(C319,""fr"",""en"")"),"Mutual offering competitive rates with interesting guarantees and advantages. In addition, they are easily reachable and competent in their responses. I recommend this mutual.")</f>
        <v>Mutual offering competitive rates with interesting guarantees and advantages. In addition, they are easily reachable and competent in their responses. I recommend this mutual.</v>
      </c>
    </row>
    <row r="320" ht="15.75" customHeight="1">
      <c r="A320" s="2">
        <v>4.0</v>
      </c>
      <c r="B320" s="2" t="s">
        <v>1017</v>
      </c>
      <c r="C320" s="2" t="s">
        <v>1018</v>
      </c>
      <c r="D320" s="2" t="s">
        <v>13</v>
      </c>
      <c r="E320" s="2" t="s">
        <v>14</v>
      </c>
      <c r="F320" s="2" t="s">
        <v>15</v>
      </c>
      <c r="G320" s="2" t="s">
        <v>25</v>
      </c>
      <c r="H320" s="2" t="s">
        <v>25</v>
      </c>
      <c r="I320" s="3" t="str">
        <f>IFERROR(__xludf.DUMMYFUNCTION("GOOGLETRANSLATE(C320,""fr"",""en"")"),"I am satisfied with the value for money presented by Olivier Assurances. The rates of their deductibles are not excessive and the air services to be reactive
")</f>
        <v>I am satisfied with the value for money presented by Olivier Assurances. The rates of their deductibles are not excessive and the air services to be reactive
</v>
      </c>
    </row>
    <row r="321" ht="15.75" customHeight="1">
      <c r="A321" s="2">
        <v>4.0</v>
      </c>
      <c r="B321" s="2" t="s">
        <v>1019</v>
      </c>
      <c r="C321" s="2" t="s">
        <v>1020</v>
      </c>
      <c r="D321" s="2" t="s">
        <v>126</v>
      </c>
      <c r="E321" s="2" t="s">
        <v>127</v>
      </c>
      <c r="F321" s="2" t="s">
        <v>15</v>
      </c>
      <c r="G321" s="2" t="s">
        <v>1021</v>
      </c>
      <c r="H321" s="2" t="s">
        <v>89</v>
      </c>
      <c r="I321" s="3" t="str">
        <f>IFERROR(__xludf.DUMMYFUNCTION("GOOGLETRANSLATE(C321,""fr"",""en"")"),"Clear and precise quick quote
Good price/services report displayed and possibility of making a payment in one go which is a little more pleasant.
")</f>
        <v>Clear and precise quick quote
Good price/services report displayed and possibility of making a payment in one go which is a little more pleasant.
</v>
      </c>
    </row>
    <row r="322" ht="15.75" customHeight="1">
      <c r="A322" s="2">
        <v>4.0</v>
      </c>
      <c r="B322" s="2" t="s">
        <v>1022</v>
      </c>
      <c r="C322" s="2" t="s">
        <v>1023</v>
      </c>
      <c r="D322" s="2" t="s">
        <v>48</v>
      </c>
      <c r="E322" s="2" t="s">
        <v>14</v>
      </c>
      <c r="F322" s="2" t="s">
        <v>15</v>
      </c>
      <c r="G322" s="2" t="s">
        <v>663</v>
      </c>
      <c r="H322" s="2" t="s">
        <v>50</v>
      </c>
      <c r="I322" s="3" t="str">
        <f>IFERROR(__xludf.DUMMYFUNCTION("GOOGLETRANSLATE(C322,""fr"",""en"")"),"I am satisfied with the service. Too bad we can no longer have any choice about choosing or not to delete the different franchises.")</f>
        <v>I am satisfied with the service. Too bad we can no longer have any choice about choosing or not to delete the different franchises.</v>
      </c>
    </row>
    <row r="323" ht="15.75" customHeight="1">
      <c r="A323" s="2">
        <v>1.0</v>
      </c>
      <c r="B323" s="2" t="s">
        <v>1024</v>
      </c>
      <c r="C323" s="2" t="s">
        <v>1025</v>
      </c>
      <c r="D323" s="2" t="s">
        <v>176</v>
      </c>
      <c r="E323" s="2" t="s">
        <v>14</v>
      </c>
      <c r="F323" s="2" t="s">
        <v>15</v>
      </c>
      <c r="G323" s="2" t="s">
        <v>1026</v>
      </c>
      <c r="H323" s="2" t="s">
        <v>784</v>
      </c>
      <c r="I323" s="3" t="str">
        <f>IFERROR(__xludf.DUMMYFUNCTION("GOOGLETRANSLATE(C323,""fr"",""en"")"),"On paper, she looks good, but in the event of a disaster, it's not the same song, the deadlines are long and she takes you out of the things that you are not even aware of a 0 km breakdown option Without vehicle loan except if we take the option more of t"&amp;"he option
Lavable, I am very disappointed, and in addition in the event of a claim they offer you ridiculous compensation that must be refused because no one would come to repair at this price. It has been two weeks since I was stuck without cars with 2 "&amp;"disabled children, because during a breakdown, the car was towed to the mechanic next to my home, who accidentally burned it. So I don't have a car, and I will say goodbye this Macif who doesn't care about my fate")</f>
        <v>On paper, she looks good, but in the event of a disaster, it's not the same song, the deadlines are long and she takes you out of the things that you are not even aware of a 0 km breakdown option Without vehicle loan except if we take the option more of the option
Lavable, I am very disappointed, and in addition in the event of a claim they offer you ridiculous compensation that must be refused because no one would come to repair at this price. It has been two weeks since I was stuck without cars with 2 disabled children, because during a breakdown, the car was towed to the mechanic next to my home, who accidentally burned it. So I don't have a car, and I will say goodbye this Macif who doesn't care about my fate</v>
      </c>
    </row>
    <row r="324" ht="15.75" customHeight="1">
      <c r="A324" s="2">
        <v>1.0</v>
      </c>
      <c r="B324" s="2" t="s">
        <v>1027</v>
      </c>
      <c r="C324" s="2" t="s">
        <v>1028</v>
      </c>
      <c r="D324" s="2" t="s">
        <v>176</v>
      </c>
      <c r="E324" s="2" t="s">
        <v>14</v>
      </c>
      <c r="F324" s="2" t="s">
        <v>15</v>
      </c>
      <c r="G324" s="2" t="s">
        <v>1029</v>
      </c>
      <c r="H324" s="2" t="s">
        <v>612</v>
      </c>
      <c r="I324" s="3" t="str">
        <f>IFERROR(__xludf.DUMMYFUNCTION("GOOGLETRANSLATE(C324,""fr"",""en"")"),"They resound without reason. I was a clean client. Just a loss responsible while waiting for diting and a second 0 responsibility. Ice breaking. They terminated my contract then I had taken my accommodation insurance and accident warranty at home, and rec"&amp;"ommended to those around me.")</f>
        <v>They resound without reason. I was a clean client. Just a loss responsible while waiting for diting and a second 0 responsibility. Ice breaking. They terminated my contract then I had taken my accommodation insurance and accident warranty at home, and recommended to those around me.</v>
      </c>
    </row>
    <row r="325" ht="15.75" customHeight="1">
      <c r="A325" s="2">
        <v>4.0</v>
      </c>
      <c r="B325" s="2" t="s">
        <v>1030</v>
      </c>
      <c r="C325" s="2" t="s">
        <v>1031</v>
      </c>
      <c r="D325" s="2" t="s">
        <v>48</v>
      </c>
      <c r="E325" s="2" t="s">
        <v>14</v>
      </c>
      <c r="F325" s="2" t="s">
        <v>15</v>
      </c>
      <c r="G325" s="2" t="s">
        <v>250</v>
      </c>
      <c r="H325" s="2" t="s">
        <v>50</v>
      </c>
      <c r="I325" s="3" t="str">
        <f>IFERROR(__xludf.DUMMYFUNCTION("GOOGLETRANSLATE(C325,""fr"",""en"")"),"Very satisfied with the service and the management of telephone interviews, the standardists are clear, welcoming and benevolent. The prices are also affordable.")</f>
        <v>Very satisfied with the service and the management of telephone interviews, the standardists are clear, welcoming and benevolent. The prices are also affordable.</v>
      </c>
    </row>
    <row r="326" ht="15.75" customHeight="1">
      <c r="A326" s="2">
        <v>4.0</v>
      </c>
      <c r="B326" s="2" t="s">
        <v>1032</v>
      </c>
      <c r="C326" s="2" t="s">
        <v>1033</v>
      </c>
      <c r="D326" s="2" t="s">
        <v>400</v>
      </c>
      <c r="E326" s="2" t="s">
        <v>14</v>
      </c>
      <c r="F326" s="2" t="s">
        <v>15</v>
      </c>
      <c r="G326" s="2" t="s">
        <v>1026</v>
      </c>
      <c r="H326" s="2" t="s">
        <v>784</v>
      </c>
      <c r="I326" s="3" t="str">
        <f>IFERROR(__xludf.DUMMYFUNCTION("GOOGLETRANSLATE(C326,""fr"",""en"")"),"Taking my claim into account (not responsible) was simple and quick. The repair of my vehicle was carried out by a serious professional.")</f>
        <v>Taking my claim into account (not responsible) was simple and quick. The repair of my vehicle was carried out by a serious professional.</v>
      </c>
    </row>
    <row r="327" ht="15.75" customHeight="1">
      <c r="A327" s="2">
        <v>1.0</v>
      </c>
      <c r="B327" s="2" t="s">
        <v>1034</v>
      </c>
      <c r="C327" s="2" t="s">
        <v>1035</v>
      </c>
      <c r="D327" s="2" t="s">
        <v>53</v>
      </c>
      <c r="E327" s="2" t="s">
        <v>44</v>
      </c>
      <c r="F327" s="2" t="s">
        <v>15</v>
      </c>
      <c r="G327" s="2" t="s">
        <v>1036</v>
      </c>
      <c r="H327" s="2" t="s">
        <v>808</v>
      </c>
      <c r="I327" s="3" t="str">
        <f>IFERROR(__xludf.DUMMYFUNCTION("GOOGLETRANSLATE(C327,""fr"",""en"")"),"I was seized on the phone by advised who extricated my Iban to me. I am 82 years old and I realized that he had abused my weakness and that I was insured without ever asking it. I am covered by Allianz and do not want to change. I stopped at the bank and "&amp;"I was threatened with litigation. I do not know what to do.")</f>
        <v>I was seized on the phone by advised who extricated my Iban to me. I am 82 years old and I realized that he had abused my weakness and that I was insured without ever asking it. I am covered by Allianz and do not want to change. I stopped at the bank and I was threatened with litigation. I do not know what to do.</v>
      </c>
    </row>
    <row r="328" ht="15.75" customHeight="1">
      <c r="A328" s="2">
        <v>2.0</v>
      </c>
      <c r="B328" s="2" t="s">
        <v>1037</v>
      </c>
      <c r="C328" s="2" t="s">
        <v>1038</v>
      </c>
      <c r="D328" s="2" t="s">
        <v>13</v>
      </c>
      <c r="E328" s="2" t="s">
        <v>14</v>
      </c>
      <c r="F328" s="2" t="s">
        <v>15</v>
      </c>
      <c r="G328" s="2" t="s">
        <v>1039</v>
      </c>
      <c r="H328" s="2" t="s">
        <v>67</v>
      </c>
      <c r="I328" s="3" t="str">
        <f>IFERROR(__xludf.DUMMYFUNCTION("GOOGLETRANSLATE(C328,""fr"",""en"")"),"Hello
I have been at Olivier Insurance for over 1 years (insurance for a 3 RS mega) actually very attractive price. I had no sinister broken ice or anything in short, I have always paid.
It turns out that recently I transferred from my job I changed the"&amp;" region.
So I had to move. Meanwhile with the difficulties to find accommodation given the COVVI I am at the hotel.
I warn my assurance which tells me that I do not appear in the clauses they tell me to find another insurance because it solves me.
So n"&amp;"o choice to find another insurance.
I just say to myself fortunately I did not have an accident while I was insured because seen as they threw me I do not even imagine the difficulties for a disaster.")</f>
        <v>Hello
I have been at Olivier Insurance for over 1 years (insurance for a 3 RS mega) actually very attractive price. I had no sinister broken ice or anything in short, I have always paid.
It turns out that recently I transferred from my job I changed the region.
So I had to move. Meanwhile with the difficulties to find accommodation given the COVVI I am at the hotel.
I warn my assurance which tells me that I do not appear in the clauses they tell me to find another insurance because it solves me.
So no choice to find another insurance.
I just say to myself fortunately I did not have an accident while I was insured because seen as they threw me I do not even imagine the difficulties for a disaster.</v>
      </c>
    </row>
    <row r="329" ht="15.75" customHeight="1">
      <c r="A329" s="2">
        <v>3.0</v>
      </c>
      <c r="B329" s="2" t="s">
        <v>1040</v>
      </c>
      <c r="C329" s="2" t="s">
        <v>1041</v>
      </c>
      <c r="D329" s="2" t="s">
        <v>48</v>
      </c>
      <c r="E329" s="2" t="s">
        <v>14</v>
      </c>
      <c r="F329" s="2" t="s">
        <v>15</v>
      </c>
      <c r="G329" s="2" t="s">
        <v>1042</v>
      </c>
      <c r="H329" s="2" t="s">
        <v>468</v>
      </c>
      <c r="I329" s="3" t="str">
        <f>IFERROR(__xludf.DUMMYFUNCTION("GOOGLETRANSLATE(C329,""fr"",""en"")"),"I am satisfied with the service ...... prices suit me ...... simple and practical .......................... .............................................")</f>
        <v>I am satisfied with the service ...... prices suit me ...... simple and practical .......................... .............................................</v>
      </c>
    </row>
    <row r="330" ht="15.75" customHeight="1">
      <c r="A330" s="2">
        <v>2.0</v>
      </c>
      <c r="B330" s="2" t="s">
        <v>1043</v>
      </c>
      <c r="C330" s="2" t="s">
        <v>1044</v>
      </c>
      <c r="D330" s="2" t="s">
        <v>228</v>
      </c>
      <c r="E330" s="2" t="s">
        <v>14</v>
      </c>
      <c r="F330" s="2" t="s">
        <v>15</v>
      </c>
      <c r="G330" s="2" t="s">
        <v>16</v>
      </c>
      <c r="H330" s="2" t="s">
        <v>29</v>
      </c>
      <c r="I330" s="3" t="str">
        <f>IFERROR(__xludf.DUMMYFUNCTION("GOOGLETRANSLATE(C330,""fr"",""en"")"),"Termination of the contract following 3 accidents (1 -ice of ice, 1 responsible accident but they did not put the right driver and 1 semi -responsible that I had asked to cancel and whose cancellation was refused).")</f>
        <v>Termination of the contract following 3 accidents (1 -ice of ice, 1 responsible accident but they did not put the right driver and 1 semi -responsible that I had asked to cancel and whose cancellation was refused).</v>
      </c>
    </row>
    <row r="331" ht="15.75" customHeight="1">
      <c r="A331" s="2">
        <v>1.0</v>
      </c>
      <c r="B331" s="2" t="s">
        <v>1045</v>
      </c>
      <c r="C331" s="2" t="s">
        <v>1046</v>
      </c>
      <c r="D331" s="2" t="s">
        <v>37</v>
      </c>
      <c r="E331" s="2" t="s">
        <v>38</v>
      </c>
      <c r="F331" s="2" t="s">
        <v>15</v>
      </c>
      <c r="G331" s="2" t="s">
        <v>1047</v>
      </c>
      <c r="H331" s="2" t="s">
        <v>55</v>
      </c>
      <c r="I331" s="3" t="str">
        <f>IFERROR(__xludf.DUMMYFUNCTION("GOOGLETRANSLATE(C331,""fr"",""en"")"),"More than 6 months than trying to contact this insurance about my credit because I am in disability but for samples SA they do not put 6 months, scandalous.
I do not recommend this insurance, as well as for the car and apartment, because I am assured at "&amp;"home that I will take it off.")</f>
        <v>More than 6 months than trying to contact this insurance about my credit because I am in disability but for samples SA they do not put 6 months, scandalous.
I do not recommend this insurance, as well as for the car and apartment, because I am assured at home that I will take it off.</v>
      </c>
    </row>
    <row r="332" ht="15.75" customHeight="1">
      <c r="A332" s="2">
        <v>5.0</v>
      </c>
      <c r="B332" s="2" t="s">
        <v>1048</v>
      </c>
      <c r="C332" s="2" t="s">
        <v>1049</v>
      </c>
      <c r="D332" s="2" t="s">
        <v>48</v>
      </c>
      <c r="E332" s="2" t="s">
        <v>14</v>
      </c>
      <c r="F332" s="2" t="s">
        <v>15</v>
      </c>
      <c r="G332" s="2" t="s">
        <v>720</v>
      </c>
      <c r="H332" s="2" t="s">
        <v>89</v>
      </c>
      <c r="I332" s="3" t="str">
        <f>IFERROR(__xludf.DUMMYFUNCTION("GOOGLETRANSLATE(C332,""fr"",""en"")"),"I am extrememnt satisfied with the service
The facilititis of communication with the Advisor to Direct Insurance, while we were stuck in a mountain farm has more than 36 degrees, and appears the Angel Direct Assurance to launch a pole !!! We don't want t"&amp;"o change your insurer!
good job guys")</f>
        <v>I am extrememnt satisfied with the service
The facilititis of communication with the Advisor to Direct Insurance, while we were stuck in a mountain farm has more than 36 degrees, and appears the Angel Direct Assurance to launch a pole !!! We don't want to change your insurer!
good job guys</v>
      </c>
    </row>
    <row r="333" ht="15.75" customHeight="1">
      <c r="A333" s="2">
        <v>5.0</v>
      </c>
      <c r="B333" s="2" t="s">
        <v>1050</v>
      </c>
      <c r="C333" s="2" t="s">
        <v>1051</v>
      </c>
      <c r="D333" s="2" t="s">
        <v>13</v>
      </c>
      <c r="E333" s="2" t="s">
        <v>14</v>
      </c>
      <c r="F333" s="2" t="s">
        <v>15</v>
      </c>
      <c r="G333" s="2" t="s">
        <v>1052</v>
      </c>
      <c r="H333" s="2" t="s">
        <v>99</v>
      </c>
      <c r="I333" s="3" t="str">
        <f>IFERROR(__xludf.DUMMYFUNCTION("GOOGLETRANSLATE(C333,""fr"",""en"")"),"Satisfactory, clear.
Only if we could make a quote on a secondary car directly on our profile with our documents it would be better.")</f>
        <v>Satisfactory, clear.
Only if we could make a quote on a secondary car directly on our profile with our documents it would be better.</v>
      </c>
    </row>
    <row r="334" ht="15.75" customHeight="1">
      <c r="A334" s="2">
        <v>5.0</v>
      </c>
      <c r="B334" s="2" t="s">
        <v>1053</v>
      </c>
      <c r="C334" s="2" t="s">
        <v>1054</v>
      </c>
      <c r="D334" s="2" t="s">
        <v>48</v>
      </c>
      <c r="E334" s="2" t="s">
        <v>14</v>
      </c>
      <c r="F334" s="2" t="s">
        <v>15</v>
      </c>
      <c r="G334" s="2" t="s">
        <v>1055</v>
      </c>
      <c r="H334" s="2" t="s">
        <v>21</v>
      </c>
      <c r="I334" s="3" t="str">
        <f>IFERROR(__xludf.DUMMYFUNCTION("GOOGLETRANSLATE(C334,""fr"",""en"")"),"I am advised by a friend and apparently he is very satisfied. At the price/quality level it is very well by contribution to other companies.
thank you .")</f>
        <v>I am advised by a friend and apparently he is very satisfied. At the price/quality level it is very well by contribution to other companies.
thank you .</v>
      </c>
    </row>
    <row r="335" ht="15.75" customHeight="1">
      <c r="A335" s="2">
        <v>1.0</v>
      </c>
      <c r="B335" s="2" t="s">
        <v>1056</v>
      </c>
      <c r="C335" s="2" t="s">
        <v>1057</v>
      </c>
      <c r="D335" s="2" t="s">
        <v>319</v>
      </c>
      <c r="E335" s="2" t="s">
        <v>285</v>
      </c>
      <c r="F335" s="2" t="s">
        <v>15</v>
      </c>
      <c r="G335" s="2" t="s">
        <v>1058</v>
      </c>
      <c r="H335" s="2" t="s">
        <v>1059</v>
      </c>
      <c r="I335" s="3" t="str">
        <f>IFERROR(__xludf.DUMMYFUNCTION("GOOGLETRANSLATE(C335,""fr"",""en"")"),"Member more than 30 years with the most expensive and almost without sinister contract we had 3 claims in two years and suddenly we were increased by 50% without any consideration of a bad surprise on the deadline. We have terminated all auto and housing "&amp;"insurance")</f>
        <v>Member more than 30 years with the most expensive and almost without sinister contract we had 3 claims in two years and suddenly we were increased by 50% without any consideration of a bad surprise on the deadline. We have terminated all auto and housing insurance</v>
      </c>
    </row>
    <row r="336" ht="15.75" customHeight="1">
      <c r="A336" s="2">
        <v>1.0</v>
      </c>
      <c r="B336" s="2" t="s">
        <v>1060</v>
      </c>
      <c r="C336" s="2" t="s">
        <v>1061</v>
      </c>
      <c r="D336" s="2" t="s">
        <v>400</v>
      </c>
      <c r="E336" s="2" t="s">
        <v>14</v>
      </c>
      <c r="F336" s="2" t="s">
        <v>15</v>
      </c>
      <c r="G336" s="2" t="s">
        <v>1062</v>
      </c>
      <c r="H336" s="2" t="s">
        <v>173</v>
      </c>
      <c r="I336" s="3" t="str">
        <f>IFERROR(__xludf.DUMMYFUNCTION("GOOGLETRANSLATE(C336,""fr"",""en"")"),"Flee this insurance! Auto insurance that is useless because you are ejecting if you have the misfortune to have an accident. Whether responsible or not! The customer advisers are incompetent, they made me sign a contract and then remind me of 3 weeks late"&amp;"r in order to force me to terminate the “amicable” contract according to them .car they realized that I had 3 claims (including 1 not responsible and 1 sinister broken ice) Yet it was information they had before making me sign a contract! They do not comm"&amp;"unicate between them relaunch the ball! An incredible incompetence! This insurance does not make this mistake again!")</f>
        <v>Flee this insurance! Auto insurance that is useless because you are ejecting if you have the misfortune to have an accident. Whether responsible or not! The customer advisers are incompetent, they made me sign a contract and then remind me of 3 weeks later in order to force me to terminate the “amicable” contract according to them .car they realized that I had 3 claims (including 1 not responsible and 1 sinister broken ice) Yet it was information they had before making me sign a contract! They do not communicate between them relaunch the ball! An incredible incompetence! This insurance does not make this mistake again!</v>
      </c>
    </row>
    <row r="337" ht="15.75" customHeight="1">
      <c r="A337" s="2">
        <v>1.0</v>
      </c>
      <c r="B337" s="2" t="s">
        <v>1063</v>
      </c>
      <c r="C337" s="2" t="s">
        <v>1064</v>
      </c>
      <c r="D337" s="2" t="s">
        <v>116</v>
      </c>
      <c r="E337" s="2" t="s">
        <v>14</v>
      </c>
      <c r="F337" s="2" t="s">
        <v>15</v>
      </c>
      <c r="G337" s="2" t="s">
        <v>644</v>
      </c>
      <c r="H337" s="2" t="s">
        <v>635</v>
      </c>
      <c r="I337" s="3" t="str">
        <f>IFERROR(__xludf.DUMMYFUNCTION("GOOGLETRANSLATE(C337,""fr"",""en"")"),"Hello, insurer to flee! Their prices are exorbitant. In the 1st year, I had an almond for lack of insurance. She had forgotten to send me the defined card. I asked for reimbursement but I am made to go from service to service. I just canceled Hamon law bu"&amp;"t I still don't have a green card. I have just received a formal notice for insurance that stops in 3 days. The height! He asked me for rejection fees + the entire year 689 euros.
Good luck to others")</f>
        <v>Hello, insurer to flee! Their prices are exorbitant. In the 1st year, I had an almond for lack of insurance. She had forgotten to send me the defined card. I asked for reimbursement but I am made to go from service to service. I just canceled Hamon law but I still don't have a green card. I have just received a formal notice for insurance that stops in 3 days. The height! He asked me for rejection fees + the entire year 689 euros.
Good luck to others</v>
      </c>
    </row>
    <row r="338" ht="15.75" customHeight="1">
      <c r="A338" s="2">
        <v>1.0</v>
      </c>
      <c r="B338" s="2" t="s">
        <v>1065</v>
      </c>
      <c r="C338" s="2" t="s">
        <v>1066</v>
      </c>
      <c r="D338" s="2" t="s">
        <v>48</v>
      </c>
      <c r="E338" s="2" t="s">
        <v>14</v>
      </c>
      <c r="F338" s="2" t="s">
        <v>15</v>
      </c>
      <c r="G338" s="2" t="s">
        <v>1067</v>
      </c>
      <c r="H338" s="2" t="s">
        <v>178</v>
      </c>
      <c r="I338" s="3" t="str">
        <f>IFERROR(__xludf.DUMMYFUNCTION("GOOGLETRANSLATE(C338,""fr"",""en"")"),"3 years without problems an average of 35 km per day in Paris and Paris region then lack of luck 3 incidents in less than 2 years
For the 3rd incident, the observation was poorly fulfilled and my responsibility engaged at 50% I call direct insurance to t"&amp;"ell them that I do not agree I am advised to return a new observation after having contacted the third party a new observation is Envoy Direct Assurance loses and my computer which contains the scan of the contract breaks down
There I receive a letter no"&amp;"t even in Rar telling me that direct assistance terminates my contract because of 3 responsible incidents in less than 2 years
I recover the data of the hard disk and referring the observation in RAR with a letter saying that as the last incident does no"&amp;"t fall under my responsibility I consider that the termination letter is zero in early May 2017 direct insurance does not speak to me of termination Make the repairs without deductible between May 7 and May 15, confirms that my responsibility is not engag"&amp;"ed I remain too naive and too confident
Yesterday May 26, 2017 I call Direct Insurance because I did not receive my provisional green card or recall of insurance policy payment and there I am announced that my contract has been terminated since May 1 wit"&amp;"hout giving me reasons precise, just specifying that just as I have the right to terminate my direct insurance contract can also assume this right without giving explanations of the prince there is no longer any question of 3 responsible incidents. Anothe"&amp;"r thing a unilateral and not justified decision, especially since the vehicle repairs were made after the termination of the contract
The telephone advisers then make me go from the claims service to the customer relations service in turns for more than "&amp;"an hour the mail sent in RAR with the contract does not exist according to them I would never have sent it so how did they Received the observation and that they do not have to give me any reason for this termination losing patience I ask for the address "&amp;"of the mediator that the law obliges any insurance company to be replied that this mediator does not exist that they have no address or phone for such a person at Direct Insurance
Finally to my last question today the contract is terminated on May 1, but"&amp;" my green courre card until May 30, 2017 I have until May 30 to find another company while using my car? I am answered no! Your contract has been terminated since May 1, it has been 26 days since I drive without insurance and not having been warned, not h"&amp;"aving had a response to my mail it is criminal and I weigh my words and the cherry on The cake A termination on May 1, a green card valid until May 30 an insurance policy paid in its entirety who will reimburse me on May paid but not honored by Direct Ins"&amp;"urance?
In conclusion: Flee do not stay there ...
")</f>
        <v>3 years without problems an average of 35 km per day in Paris and Paris region then lack of luck 3 incidents in less than 2 years
For the 3rd incident, the observation was poorly fulfilled and my responsibility engaged at 50% I call direct insurance to tell them that I do not agree I am advised to return a new observation after having contacted the third party a new observation is Envoy Direct Assurance loses and my computer which contains the scan of the contract breaks down
There I receive a letter not even in Rar telling me that direct assistance terminates my contract because of 3 responsible incidents in less than 2 years
I recover the data of the hard disk and referring the observation in RAR with a letter saying that as the last incident does not fall under my responsibility I consider that the termination letter is zero in early May 2017 direct insurance does not speak to me of termination Make the repairs without deductible between May 7 and May 15, confirms that my responsibility is not engaged I remain too naive and too confident
Yesterday May 26, 2017 I call Direct Insurance because I did not receive my provisional green card or recall of insurance policy payment and there I am announced that my contract has been terminated since May 1 without giving me reasons precise, just specifying that just as I have the right to terminate my direct insurance contract can also assume this right without giving explanations of the prince there is no longer any question of 3 responsible incidents. Another thing a unilateral and not justified decision, especially since the vehicle repairs were made after the termination of the contract
The telephone advisers then make me go from the claims service to the customer relations service in turns for more than an hour the mail sent in RAR with the contract does not exist according to them I would never have sent it so how did they Received the observation and that they do not have to give me any reason for this termination losing patience I ask for the address of the mediator that the law obliges any insurance company to be replied that this mediator does not exist that they have no address or phone for such a person at Direct Insurance
Finally to my last question today the contract is terminated on May 1, but my green courre card until May 30, 2017 I have until May 30 to find another company while using my car? I am answered no! Your contract has been terminated since May 1, it has been 26 days since I drive without insurance and not having been warned, not having had a response to my mail it is criminal and I weigh my words and the cherry on The cake A termination on May 1, a green card valid until May 30 an insurance policy paid in its entirety who will reimburse me on May paid but not honored by Direct Insurance?
In conclusion: Flee do not stay there ...
</v>
      </c>
    </row>
    <row r="339" ht="15.75" customHeight="1">
      <c r="A339" s="2">
        <v>3.0</v>
      </c>
      <c r="B339" s="2" t="s">
        <v>1068</v>
      </c>
      <c r="C339" s="2" t="s">
        <v>1069</v>
      </c>
      <c r="D339" s="2" t="s">
        <v>13</v>
      </c>
      <c r="E339" s="2" t="s">
        <v>14</v>
      </c>
      <c r="F339" s="2" t="s">
        <v>15</v>
      </c>
      <c r="G339" s="2" t="s">
        <v>561</v>
      </c>
      <c r="H339" s="2" t="s">
        <v>562</v>
      </c>
      <c r="I339" s="3" t="str">
        <f>IFERROR(__xludf.DUMMYFUNCTION("GOOGLETRANSLATE(C339,""fr"",""en"")"),"Attractive price, of course, but really bad service. I still haven't received my green card after 10 months, and they never respond to the email. When by miracle we have an answer, it is to ask you for additional documents that were not originally request"&amp;"ed, just to discard.
On the other hand, they were very fast to draw the money ...
I will have to change insurance, sometimes you have to know how to pay a little more to have a service worthy of the name!")</f>
        <v>Attractive price, of course, but really bad service. I still haven't received my green card after 10 months, and they never respond to the email. When by miracle we have an answer, it is to ask you for additional documents that were not originally requested, just to discard.
On the other hand, they were very fast to draw the money ...
I will have to change insurance, sometimes you have to know how to pay a little more to have a service worthy of the name!</v>
      </c>
    </row>
    <row r="340" ht="15.75" customHeight="1">
      <c r="A340" s="2">
        <v>1.0</v>
      </c>
      <c r="B340" s="2" t="s">
        <v>1070</v>
      </c>
      <c r="C340" s="2" t="s">
        <v>1071</v>
      </c>
      <c r="D340" s="2" t="s">
        <v>228</v>
      </c>
      <c r="E340" s="2" t="s">
        <v>14</v>
      </c>
      <c r="F340" s="2" t="s">
        <v>15</v>
      </c>
      <c r="G340" s="2" t="s">
        <v>1072</v>
      </c>
      <c r="H340" s="2" t="s">
        <v>924</v>
      </c>
      <c r="I340" s="3" t="str">
        <f>IFERROR(__xludf.DUMMYFUNCTION("GOOGLETRANSLATE(C340,""fr"",""en"")"),"Fed up")</f>
        <v>Fed up</v>
      </c>
    </row>
    <row r="341" ht="15.75" customHeight="1">
      <c r="A341" s="2">
        <v>1.0</v>
      </c>
      <c r="B341" s="2" t="s">
        <v>1073</v>
      </c>
      <c r="C341" s="2" t="s">
        <v>1074</v>
      </c>
      <c r="D341" s="2" t="s">
        <v>390</v>
      </c>
      <c r="E341" s="2" t="s">
        <v>242</v>
      </c>
      <c r="F341" s="2" t="s">
        <v>15</v>
      </c>
      <c r="G341" s="2" t="s">
        <v>1075</v>
      </c>
      <c r="H341" s="2" t="s">
        <v>535</v>
      </c>
      <c r="I341" s="3" t="str">
        <f>IFERROR(__xludf.DUMMYFUNCTION("GOOGLETRANSLATE(C341,""fr"",""en"")"),"Disastrous customer service! I have been fighting for a simple updated insurance certificate for 3 months now. Indeed, as part of a mortgage renegotiation, the bank requires this compulsory document since October 2016 following a new European directive. M"&amp;"y multiple calls, letters and requests on the cardif website do not succeed. I risk going up a gain of € 70,000 on my mortgage thanks to the incompetence of the cardif service. I am on the verge of despair and I think now subscribe to a second loan insura"&amp;"nce to obtain this document while waiting to terminate this contract of M ... on birthday. It is shameful!")</f>
        <v>Disastrous customer service! I have been fighting for a simple updated insurance certificate for 3 months now. Indeed, as part of a mortgage renegotiation, the bank requires this compulsory document since October 2016 following a new European directive. My multiple calls, letters and requests on the cardif website do not succeed. I risk going up a gain of € 70,000 on my mortgage thanks to the incompetence of the cardif service. I am on the verge of despair and I think now subscribe to a second loan insurance to obtain this document while waiting to terminate this contract of M ... on birthday. It is shameful!</v>
      </c>
    </row>
    <row r="342" ht="15.75" customHeight="1">
      <c r="A342" s="2">
        <v>5.0</v>
      </c>
      <c r="B342" s="2" t="s">
        <v>1076</v>
      </c>
      <c r="C342" s="2" t="s">
        <v>1077</v>
      </c>
      <c r="D342" s="2" t="s">
        <v>13</v>
      </c>
      <c r="E342" s="2" t="s">
        <v>14</v>
      </c>
      <c r="F342" s="2" t="s">
        <v>15</v>
      </c>
      <c r="G342" s="2" t="s">
        <v>1078</v>
      </c>
      <c r="H342" s="2" t="s">
        <v>17</v>
      </c>
      <c r="I342" s="3" t="str">
        <f>IFERROR(__xludf.DUMMYFUNCTION("GOOGLETRANSLATE(C342,""fr"",""en"")"),"Excellent service, clear and fast explanation
The prices are very interesting after seeing over time. The advisor I had was very kind and attentive. She knew how to answer my questions")</f>
        <v>Excellent service, clear and fast explanation
The prices are very interesting after seeing over time. The advisor I had was very kind and attentive. She knew how to answer my questions</v>
      </c>
    </row>
    <row r="343" ht="15.75" customHeight="1">
      <c r="A343" s="2">
        <v>1.0</v>
      </c>
      <c r="B343" s="2" t="s">
        <v>1079</v>
      </c>
      <c r="C343" s="2" t="s">
        <v>1080</v>
      </c>
      <c r="D343" s="2" t="s">
        <v>102</v>
      </c>
      <c r="E343" s="2" t="s">
        <v>14</v>
      </c>
      <c r="F343" s="2" t="s">
        <v>15</v>
      </c>
      <c r="G343" s="2" t="s">
        <v>1081</v>
      </c>
      <c r="H343" s="2" t="s">
        <v>501</v>
      </c>
      <c r="I343" s="3" t="str">
        <f>IFERROR(__xludf.DUMMYFUNCTION("GOOGLETRANSLATE(C343,""fr"",""en"")"),"Client for over 15 years, never a problem I have always been up to date with my contributions")</f>
        <v>Client for over 15 years, never a problem I have always been up to date with my contributions</v>
      </c>
    </row>
    <row r="344" ht="15.75" customHeight="1">
      <c r="A344" s="2">
        <v>1.0</v>
      </c>
      <c r="B344" s="2" t="s">
        <v>1082</v>
      </c>
      <c r="C344" s="2" t="s">
        <v>1083</v>
      </c>
      <c r="D344" s="2" t="s">
        <v>48</v>
      </c>
      <c r="E344" s="2" t="s">
        <v>14</v>
      </c>
      <c r="F344" s="2" t="s">
        <v>15</v>
      </c>
      <c r="G344" s="2" t="s">
        <v>1084</v>
      </c>
      <c r="H344" s="2" t="s">
        <v>123</v>
      </c>
      <c r="I344" s="3" t="str">
        <f>IFERROR(__xludf.DUMMYFUNCTION("GOOGLETRANSLATE(C344,""fr"",""en"")"),"I join all the bad advice. A breakdown and it is like this I was not insured. When we call them they are unable to answer you concretely, they cannot say that we cannot help you. You really pay in the wind. Do not go there, so as not to throw the money ou"&amp;"t the windows.")</f>
        <v>I join all the bad advice. A breakdown and it is like this I was not insured. When we call them they are unable to answer you concretely, they cannot say that we cannot help you. You really pay in the wind. Do not go there, so as not to throw the money out the windows.</v>
      </c>
    </row>
    <row r="345" ht="15.75" customHeight="1">
      <c r="A345" s="2">
        <v>5.0</v>
      </c>
      <c r="B345" s="2" t="s">
        <v>1085</v>
      </c>
      <c r="C345" s="2" t="s">
        <v>1086</v>
      </c>
      <c r="D345" s="2" t="s">
        <v>135</v>
      </c>
      <c r="E345" s="2" t="s">
        <v>44</v>
      </c>
      <c r="F345" s="2" t="s">
        <v>15</v>
      </c>
      <c r="G345" s="2" t="s">
        <v>1087</v>
      </c>
      <c r="H345" s="2" t="s">
        <v>200</v>
      </c>
      <c r="I345" s="3" t="str">
        <f>IFERROR(__xludf.DUMMYFUNCTION("GOOGLETRANSLATE(C345,""fr"",""en"")"),"I'm satisfied . And the relationship with the sympathetic advisor. The price is satisfactory. And good guarantee. And good explanation. And a good welcome. and the prices are affordable. Thank you
")</f>
        <v>I'm satisfied . And the relationship with the sympathetic advisor. The price is satisfactory. And good guarantee. And good explanation. And a good welcome. and the prices are affordable. Thank you
</v>
      </c>
    </row>
    <row r="346" ht="15.75" customHeight="1">
      <c r="A346" s="2">
        <v>3.0</v>
      </c>
      <c r="B346" s="2" t="s">
        <v>1088</v>
      </c>
      <c r="C346" s="2" t="s">
        <v>1089</v>
      </c>
      <c r="D346" s="2" t="s">
        <v>176</v>
      </c>
      <c r="E346" s="2" t="s">
        <v>14</v>
      </c>
      <c r="F346" s="2" t="s">
        <v>15</v>
      </c>
      <c r="G346" s="2" t="s">
        <v>1090</v>
      </c>
      <c r="H346" s="2" t="s">
        <v>40</v>
      </c>
      <c r="I346" s="3" t="str">
        <f>IFERROR(__xludf.DUMMYFUNCTION("GOOGLETRANSLATE(C346,""fr"",""en"")"),"Hello Macif I decided to leave you after 20 years of faithful and loyal service. You literally ignore during my last accident to which you accused me of being responsible without even asking me the photos of the accident or worse, without understanding my"&amp;" version. You have taken into account the observation of the opposing party.")</f>
        <v>Hello Macif I decided to leave you after 20 years of faithful and loyal service. You literally ignore during my last accident to which you accused me of being responsible without even asking me the photos of the accident or worse, without understanding my version. You have taken into account the observation of the opposing party.</v>
      </c>
    </row>
    <row r="347" ht="15.75" customHeight="1">
      <c r="A347" s="2">
        <v>2.0</v>
      </c>
      <c r="B347" s="2" t="s">
        <v>1091</v>
      </c>
      <c r="C347" s="2" t="s">
        <v>1092</v>
      </c>
      <c r="D347" s="2" t="s">
        <v>176</v>
      </c>
      <c r="E347" s="2" t="s">
        <v>14</v>
      </c>
      <c r="F347" s="2" t="s">
        <v>15</v>
      </c>
      <c r="G347" s="2" t="s">
        <v>1093</v>
      </c>
      <c r="H347" s="2" t="s">
        <v>40</v>
      </c>
      <c r="I347" s="3" t="str">
        <f>IFERROR(__xludf.DUMMYFUNCTION("GOOGLETRANSLATE(C347,""fr"",""en"")"),"Society for more than 20 years following my vehicle flight on September 26, I sent my damping board concerning my personal loan from the neck I am still paying .... so they are made two cheque one at Crédit Lyonnais and One concerning me mine I received t"&amp;"hem well on its concern for Parcontre le Cheque who was to be used to reimburse my personal loan was not sent to the right address so I am not found so I contact them several times so that he can Make a new check my I have come across most of the time on "&amp;"very unpleasant advisor the only pleasant advisor and a gentleman who takes care of the management nothing to say on him very pleasant of the neck I expect to see if the last solutions that we find on the phone will have served something otherwise unfortu"&amp;"nately I would make legal protection and I will leave from home")</f>
        <v>Society for more than 20 years following my vehicle flight on September 26, I sent my damping board concerning my personal loan from the neck I am still paying .... so they are made two cheque one at Crédit Lyonnais and One concerning me mine I received them well on its concern for Parcontre le Cheque who was to be used to reimburse my personal loan was not sent to the right address so I am not found so I contact them several times so that he can Make a new check my I have come across most of the time on very unpleasant advisor the only pleasant advisor and a gentleman who takes care of the management nothing to say on him very pleasant of the neck I expect to see if the last solutions that we find on the phone will have served something otherwise unfortunately I would make legal protection and I will leave from home</v>
      </c>
    </row>
    <row r="348" ht="15.75" customHeight="1">
      <c r="A348" s="2">
        <v>3.0</v>
      </c>
      <c r="B348" s="2" t="s">
        <v>1094</v>
      </c>
      <c r="C348" s="2" t="s">
        <v>1095</v>
      </c>
      <c r="D348" s="2" t="s">
        <v>13</v>
      </c>
      <c r="E348" s="2" t="s">
        <v>14</v>
      </c>
      <c r="F348" s="2" t="s">
        <v>15</v>
      </c>
      <c r="G348" s="2" t="s">
        <v>1096</v>
      </c>
      <c r="H348" s="2" t="s">
        <v>25</v>
      </c>
      <c r="I348" s="3" t="str">
        <f>IFERROR(__xludf.DUMMYFUNCTION("GOOGLETRANSLATE(C348,""fr"",""en"")"),"Not bad
Correct price
Good communication
It answers lives on the phone not too waiting
It's more practical as a seamless insurance")</f>
        <v>Not bad
Correct price
Good communication
It answers lives on the phone not too waiting
It's more practical as a seamless insurance</v>
      </c>
    </row>
    <row r="349" ht="15.75" customHeight="1">
      <c r="A349" s="2">
        <v>2.0</v>
      </c>
      <c r="B349" s="2" t="s">
        <v>1097</v>
      </c>
      <c r="C349" s="2" t="s">
        <v>1098</v>
      </c>
      <c r="D349" s="2" t="s">
        <v>116</v>
      </c>
      <c r="E349" s="2" t="s">
        <v>14</v>
      </c>
      <c r="F349" s="2" t="s">
        <v>15</v>
      </c>
      <c r="G349" s="2" t="s">
        <v>1099</v>
      </c>
      <c r="H349" s="2" t="s">
        <v>164</v>
      </c>
      <c r="I349" s="3" t="str">
        <f>IFERROR(__xludf.DUMMYFUNCTION("GOOGLETRANSLATE(C349,""fr"",""en"")"),"Be careful, they only provide 1 driver, which is not specified when you ask for a quote. Once signed, they sent me a ""certificate on honor"" to clarify that I was the only ones to drive. My telephone call falls with a call platform in Africa which tells "&amp;"me that my partner is covered but that I must sign this certificate on honor, in other words I must make a false documents.
I therefore wish to cancel my subscription 2 days before the purchase of the vehicle, categorical refusal, they keep the costs (€ "&amp;"80)
Not serious for insurance ...")</f>
        <v>Be careful, they only provide 1 driver, which is not specified when you ask for a quote. Once signed, they sent me a "certificate on honor" to clarify that I was the only ones to drive. My telephone call falls with a call platform in Africa which tells me that my partner is covered but that I must sign this certificate on honor, in other words I must make a false documents.
I therefore wish to cancel my subscription 2 days before the purchase of the vehicle, categorical refusal, they keep the costs (€ 80)
Not serious for insurance ...</v>
      </c>
    </row>
    <row r="350" ht="15.75" customHeight="1">
      <c r="A350" s="2">
        <v>4.0</v>
      </c>
      <c r="B350" s="2" t="s">
        <v>1100</v>
      </c>
      <c r="C350" s="2" t="s">
        <v>1101</v>
      </c>
      <c r="D350" s="2" t="s">
        <v>13</v>
      </c>
      <c r="E350" s="2" t="s">
        <v>14</v>
      </c>
      <c r="F350" s="2" t="s">
        <v>15</v>
      </c>
      <c r="G350" s="2" t="s">
        <v>17</v>
      </c>
      <c r="H350" s="2" t="s">
        <v>17</v>
      </c>
      <c r="I350" s="3" t="str">
        <f>IFERROR(__xludf.DUMMYFUNCTION("GOOGLETRANSLATE(C350,""fr"",""en"")"),"Very friendly welcome from the person on the phone who knew how to guide me to find the best options that could constitute my new insurance contract.")</f>
        <v>Very friendly welcome from the person on the phone who knew how to guide me to find the best options that could constitute my new insurance contract.</v>
      </c>
    </row>
    <row r="351" ht="15.75" customHeight="1">
      <c r="A351" s="2">
        <v>4.0</v>
      </c>
      <c r="B351" s="2" t="s">
        <v>1102</v>
      </c>
      <c r="C351" s="2" t="s">
        <v>1103</v>
      </c>
      <c r="D351" s="2" t="s">
        <v>330</v>
      </c>
      <c r="E351" s="2" t="s">
        <v>38</v>
      </c>
      <c r="F351" s="2" t="s">
        <v>15</v>
      </c>
      <c r="G351" s="2" t="s">
        <v>1104</v>
      </c>
      <c r="H351" s="2" t="s">
        <v>468</v>
      </c>
      <c r="I351" s="3" t="str">
        <f>IFERROR(__xludf.DUMMYFUNCTION("GOOGLETRANSLATE(C351,""fr"",""en"")"),"I have a Lyria salary contract")</f>
        <v>I have a Lyria salary contract</v>
      </c>
    </row>
    <row r="352" ht="15.75" customHeight="1">
      <c r="A352" s="2">
        <v>5.0</v>
      </c>
      <c r="B352" s="2" t="s">
        <v>1105</v>
      </c>
      <c r="C352" s="2" t="s">
        <v>1106</v>
      </c>
      <c r="D352" s="2" t="s">
        <v>126</v>
      </c>
      <c r="E352" s="2" t="s">
        <v>127</v>
      </c>
      <c r="F352" s="2" t="s">
        <v>15</v>
      </c>
      <c r="G352" s="2" t="s">
        <v>1107</v>
      </c>
      <c r="H352" s="2" t="s">
        <v>25</v>
      </c>
      <c r="I352" s="3" t="str">
        <f>IFERROR(__xludf.DUMMYFUNCTION("GOOGLETRANSLATE(C352,""fr"",""en"")"),"I am satisfied with the simplicity of the site thank you and the price very well its change of a lot of insurer which are very expensive thank you and I will not fail to advertise you")</f>
        <v>I am satisfied with the simplicity of the site thank you and the price very well its change of a lot of insurer which are very expensive thank you and I will not fail to advertise you</v>
      </c>
    </row>
    <row r="353" ht="15.75" customHeight="1">
      <c r="A353" s="2">
        <v>2.0</v>
      </c>
      <c r="B353" s="2" t="s">
        <v>1108</v>
      </c>
      <c r="C353" s="2" t="s">
        <v>1109</v>
      </c>
      <c r="D353" s="2" t="s">
        <v>48</v>
      </c>
      <c r="E353" s="2" t="s">
        <v>14</v>
      </c>
      <c r="F353" s="2" t="s">
        <v>15</v>
      </c>
      <c r="G353" s="2" t="s">
        <v>1110</v>
      </c>
      <c r="H353" s="2" t="s">
        <v>107</v>
      </c>
      <c r="I353" s="3" t="str">
        <f>IFERROR(__xludf.DUMMYFUNCTION("GOOGLETRANSLATE(C353,""fr"",""en"")"),"Insurance that harp you for its low prices, however in the event of a problem even not responsible (Ice breakage) the franchise will cool you, in short I am disappointed on this side, because other insurance with similar prices have less franchises high ("&amp;"it will serve me as a lesson). The telephone platform located abroad and the advisers are lifeless they read their screen stupidly, it is the same system everywhere as the same (for example credit company) but we are dealing with living people.")</f>
        <v>Insurance that harp you for its low prices, however in the event of a problem even not responsible (Ice breakage) the franchise will cool you, in short I am disappointed on this side, because other insurance with similar prices have less franchises high (it will serve me as a lesson). The telephone platform located abroad and the advisers are lifeless they read their screen stupidly, it is the same system everywhere as the same (for example credit company) but we are dealing with living people.</v>
      </c>
    </row>
    <row r="354" ht="15.75" customHeight="1">
      <c r="A354" s="2">
        <v>1.0</v>
      </c>
      <c r="B354" s="2" t="s">
        <v>1111</v>
      </c>
      <c r="C354" s="2" t="s">
        <v>1112</v>
      </c>
      <c r="D354" s="2" t="s">
        <v>1113</v>
      </c>
      <c r="E354" s="2" t="s">
        <v>127</v>
      </c>
      <c r="F354" s="2" t="s">
        <v>15</v>
      </c>
      <c r="G354" s="2" t="s">
        <v>1114</v>
      </c>
      <c r="H354" s="2" t="s">
        <v>157</v>
      </c>
      <c r="I354" s="3" t="str">
        <f>IFERROR(__xludf.DUMMYFUNCTION("GOOGLETRANSLATE(C354,""fr"",""en"")"),"Hello, recently assured with Assuronline, I would like to report my dissatisfaction with the difficulties I have had in ensuring a simple 50cc scooter. Indeed, this insurance delivered my certificate at the end 3 and a half ... I was born before 1988 and "&amp;"as a result, the law, which is very clear, stipulates that there is no need to have A driving license (BSR) to drive a vehicle under 50cc. Indeed, the ASSR which allows you to pass the BSR, is only issued to college, therefore people born before 1988 cann"&amp;"ot have this certificate so impossible to register in a car to pass this BSR. Hence the law for people before 1988. So it took me 3 months and a half to make it understand this to my dear insurer ""Assuronline"". I will add the little interest brought to "&amp;"my requests, the minimum response time of 15 days for an email. Different advisers at each contact that have little interest in customer requests. I still asked for a commercial gesture but without success. I will therefore advise anyone to subscribe to A"&amp;"ssuronline. Run away ! Allan")</f>
        <v>Hello, recently assured with Assuronline, I would like to report my dissatisfaction with the difficulties I have had in ensuring a simple 50cc scooter. Indeed, this insurance delivered my certificate at the end 3 and a half ... I was born before 1988 and as a result, the law, which is very clear, stipulates that there is no need to have A driving license (BSR) to drive a vehicle under 50cc. Indeed, the ASSR which allows you to pass the BSR, is only issued to college, therefore people born before 1988 cannot have this certificate so impossible to register in a car to pass this BSR. Hence the law for people before 1988. So it took me 3 months and a half to make it understand this to my dear insurer "Assuronline". I will add the little interest brought to my requests, the minimum response time of 15 days for an email. Different advisers at each contact that have little interest in customer requests. I still asked for a commercial gesture but without success. I will therefore advise anyone to subscribe to Assuronline. Run away ! Allan</v>
      </c>
    </row>
    <row r="355" ht="15.75" customHeight="1">
      <c r="A355" s="2">
        <v>2.0</v>
      </c>
      <c r="B355" s="2" t="s">
        <v>1115</v>
      </c>
      <c r="C355" s="2" t="s">
        <v>1116</v>
      </c>
      <c r="D355" s="2" t="s">
        <v>400</v>
      </c>
      <c r="E355" s="2" t="s">
        <v>285</v>
      </c>
      <c r="F355" s="2" t="s">
        <v>15</v>
      </c>
      <c r="G355" s="2" t="s">
        <v>1117</v>
      </c>
      <c r="H355" s="2" t="s">
        <v>189</v>
      </c>
      <c r="I355" s="3" t="str">
        <f>IFERROR(__xludf.DUMMYFUNCTION("GOOGLETRANSLATE(C355,""fr"",""en"")"),"Satisfaction: if I could put 0 I would have put it! Same for the quality of customer service.
First declared claim = refusal of care.
Given how it starts, I think I'm going to change my insurance quickly.
I hear that the Crédit Agricole banking adv"&amp;"isers who sell us and boost its contracts are only Pacifica partners but they could at least serve something and influence the opinion of insurance operators.
The operator takes two seconds to listen to us. This speaks volumes about its professional et"&amp;"hnic and its particular conception which seems strongly the anime.
She stammered me that she would not cover the costs, which I managed to revise down with Apple, because my son's phone that I broke with me.
 ")</f>
        <v>Satisfaction: if I could put 0 I would have put it! Same for the quality of customer service.
First declared claim = refusal of care.
Given how it starts, I think I'm going to change my insurance quickly.
I hear that the Crédit Agricole banking advisers who sell us and boost its contracts are only Pacifica partners but they could at least serve something and influence the opinion of insurance operators.
The operator takes two seconds to listen to us. This speaks volumes about its professional ethnic and its particular conception which seems strongly the anime.
She stammered me that she would not cover the costs, which I managed to revise down with Apple, because my son's phone that I broke with me.
 </v>
      </c>
    </row>
    <row r="356" ht="15.75" customHeight="1">
      <c r="A356" s="2">
        <v>5.0</v>
      </c>
      <c r="B356" s="2" t="s">
        <v>1118</v>
      </c>
      <c r="C356" s="2" t="s">
        <v>1119</v>
      </c>
      <c r="D356" s="2" t="s">
        <v>48</v>
      </c>
      <c r="E356" s="2" t="s">
        <v>14</v>
      </c>
      <c r="F356" s="2" t="s">
        <v>15</v>
      </c>
      <c r="G356" s="2" t="s">
        <v>706</v>
      </c>
      <c r="H356" s="2" t="s">
        <v>67</v>
      </c>
      <c r="I356" s="3" t="str">
        <f>IFERROR(__xludf.DUMMYFUNCTION("GOOGLETRANSLATE(C356,""fr"",""en"")"),"Excellent service, and advisers, and advised
Quality of responses.
Contact with the insured.
Very limited waiting period.
I highly recommend
")</f>
        <v>Excellent service, and advisers, and advised
Quality of responses.
Contact with the insured.
Very limited waiting period.
I highly recommend
</v>
      </c>
    </row>
    <row r="357" ht="15.75" customHeight="1">
      <c r="A357" s="2">
        <v>5.0</v>
      </c>
      <c r="B357" s="2" t="s">
        <v>1120</v>
      </c>
      <c r="C357" s="2" t="s">
        <v>1121</v>
      </c>
      <c r="D357" s="2" t="s">
        <v>135</v>
      </c>
      <c r="E357" s="2" t="s">
        <v>44</v>
      </c>
      <c r="F357" s="2" t="s">
        <v>15</v>
      </c>
      <c r="G357" s="2" t="s">
        <v>1122</v>
      </c>
      <c r="H357" s="2" t="s">
        <v>392</v>
      </c>
      <c r="I357" s="3" t="str">
        <f>IFERROR(__xludf.DUMMYFUNCTION("GOOGLETRANSLATE(C357,""fr"",""en"")"),"I highly recommend
Listening interlocutor
Products offered to needs")</f>
        <v>I highly recommend
Listening interlocutor
Products offered to needs</v>
      </c>
    </row>
    <row r="358" ht="15.75" customHeight="1">
      <c r="A358" s="2">
        <v>1.0</v>
      </c>
      <c r="B358" s="2" t="s">
        <v>1123</v>
      </c>
      <c r="C358" s="2" t="s">
        <v>1124</v>
      </c>
      <c r="D358" s="2" t="s">
        <v>83</v>
      </c>
      <c r="E358" s="2" t="s">
        <v>14</v>
      </c>
      <c r="F358" s="2" t="s">
        <v>15</v>
      </c>
      <c r="G358" s="2" t="s">
        <v>1125</v>
      </c>
      <c r="H358" s="2" t="s">
        <v>211</v>
      </c>
      <c r="I358" s="3" t="str">
        <f>IFERROR(__xludf.DUMMYFUNCTION("GOOGLETRANSLATE(C358,""fr"",""en"")"),"Very bad guaranteed assurance all my reimbursing anything, promises a lot but have seen nothing happening")</f>
        <v>Very bad guaranteed assurance all my reimbursing anything, promises a lot but have seen nothing happening</v>
      </c>
    </row>
    <row r="359" ht="15.75" customHeight="1">
      <c r="A359" s="2">
        <v>5.0</v>
      </c>
      <c r="B359" s="2" t="s">
        <v>1126</v>
      </c>
      <c r="C359" s="2" t="s">
        <v>1127</v>
      </c>
      <c r="D359" s="2" t="s">
        <v>48</v>
      </c>
      <c r="E359" s="2" t="s">
        <v>14</v>
      </c>
      <c r="F359" s="2" t="s">
        <v>15</v>
      </c>
      <c r="G359" s="2" t="s">
        <v>1128</v>
      </c>
      <c r="H359" s="2" t="s">
        <v>29</v>
      </c>
      <c r="I359" s="3" t="str">
        <f>IFERROR(__xludf.DUMMYFUNCTION("GOOGLETRANSLATE(C359,""fr"",""en"")"),"Perfect for the moment. We will see during a possible auto dispute. If every time it goes well in the future I will recommend direct insurance to my loved ones.")</f>
        <v>Perfect for the moment. We will see during a possible auto dispute. If every time it goes well in the future I will recommend direct insurance to my loved ones.</v>
      </c>
    </row>
    <row r="360" ht="15.75" customHeight="1">
      <c r="A360" s="2">
        <v>1.0</v>
      </c>
      <c r="B360" s="2" t="s">
        <v>1129</v>
      </c>
      <c r="C360" s="2" t="s">
        <v>1130</v>
      </c>
      <c r="D360" s="2" t="s">
        <v>48</v>
      </c>
      <c r="E360" s="2" t="s">
        <v>14</v>
      </c>
      <c r="F360" s="2" t="s">
        <v>15</v>
      </c>
      <c r="G360" s="2" t="s">
        <v>1131</v>
      </c>
      <c r="H360" s="2" t="s">
        <v>612</v>
      </c>
      <c r="I360" s="3" t="str">
        <f>IFERROR(__xludf.DUMMYFUNCTION("GOOGLETRANSLATE(C360,""fr"",""en"")"),"I made a subscription on their site for auto insurance, by refusing myself that my spouse (which has a foreign driving license, no possibility of the exchange because it exceeded 1 year in France). My file is validated for a provisional month, after just "&amp;"2 days, it was I who called them to find out if it was taking into account the foreign permits for Jouted my wife as 2nd Cond), the lady told me that c 'is not possible and the worst it rejected my contract, because I do not meet their conditions, they we"&amp;"re automatically the spouses as secondary drivers, result the reason for the termination is aggravation of the risk, in addition my file became Fichié Agira, a sanction that will pay me dearly because I was honest with them. In addition I had not asked th"&amp;"at my spouse was a secondary driver, she has no valid permit. They would have had to be attached to the amicable, because it is their problem of putting the wife as 2nd driver, but if the applicant already asks, I am not asked. You have penalized me, I ha"&amp;"ve no more advantages, for other insurers, I became assured terminated! I live the nightmare because of you.")</f>
        <v>I made a subscription on their site for auto insurance, by refusing myself that my spouse (which has a foreign driving license, no possibility of the exchange because it exceeded 1 year in France). My file is validated for a provisional month, after just 2 days, it was I who called them to find out if it was taking into account the foreign permits for Jouted my wife as 2nd Cond), the lady told me that c 'is not possible and the worst it rejected my contract, because I do not meet their conditions, they were automatically the spouses as secondary drivers, result the reason for the termination is aggravation of the risk, in addition my file became Fichié Agira, a sanction that will pay me dearly because I was honest with them. In addition I had not asked that my spouse was a secondary driver, she has no valid permit. They would have had to be attached to the amicable, because it is their problem of putting the wife as 2nd driver, but if the applicant already asks, I am not asked. You have penalized me, I have no more advantages, for other insurers, I became assured terminated! I live the nightmare because of you.</v>
      </c>
    </row>
    <row r="361" ht="15.75" customHeight="1">
      <c r="A361" s="2">
        <v>5.0</v>
      </c>
      <c r="B361" s="2" t="s">
        <v>1132</v>
      </c>
      <c r="C361" s="2" t="s">
        <v>1133</v>
      </c>
      <c r="D361" s="2" t="s">
        <v>13</v>
      </c>
      <c r="E361" s="2" t="s">
        <v>14</v>
      </c>
      <c r="F361" s="2" t="s">
        <v>15</v>
      </c>
      <c r="G361" s="2" t="s">
        <v>509</v>
      </c>
      <c r="H361" s="2" t="s">
        <v>89</v>
      </c>
      <c r="I361" s="3" t="str">
        <f>IFERROR(__xludf.DUMMYFUNCTION("GOOGLETRANSLATE(C361,""fr"",""en"")"),"After analysis and comparison, very good exchange with the customer advisor.
Practical and intuitive user interface.
Well -explained document submission.
Not bad at all !
I recommend.")</f>
        <v>After analysis and comparison, very good exchange with the customer advisor.
Practical and intuitive user interface.
Well -explained document submission.
Not bad at all !
I recommend.</v>
      </c>
    </row>
    <row r="362" ht="15.75" customHeight="1">
      <c r="A362" s="2">
        <v>1.0</v>
      </c>
      <c r="B362" s="2" t="s">
        <v>1134</v>
      </c>
      <c r="C362" s="2" t="s">
        <v>1135</v>
      </c>
      <c r="D362" s="2" t="s">
        <v>319</v>
      </c>
      <c r="E362" s="2" t="s">
        <v>242</v>
      </c>
      <c r="F362" s="2" t="s">
        <v>15</v>
      </c>
      <c r="G362" s="2" t="s">
        <v>1136</v>
      </c>
      <c r="H362" s="2" t="s">
        <v>60</v>
      </c>
      <c r="I362" s="3" t="str">
        <f>IFERROR(__xludf.DUMMYFUNCTION("GOOGLETRANSLATE(C362,""fr"",""en"")"),"Frankly very much on the mutual credit when I bought our house in 2010 I thought I took all the guarantee to be sheltered from all the incidents of everyday life but it gives birth to nothing to be insured my I have been wrong because When you get sick th"&amp;"is insurance does not take care of being in invaliditer 2 nd category since March 2019 he does not take my loan in charge because their expert my only estimate at 15 % functional and in their scale he false to be more than 15 % on the other hand he well e"&amp;"stimate me at 90 % of incapacity to work so it is or the logic it is not my functional which will pay you the borrows but my capacity to work when we have made us guaranteed to be very good Ensure in the event of damage or illness ..... but when you arriv"&amp;"e in the situation is no longer any case for my part I would not be able to do I consider that the expert doctor who sees us are not worthy of judge be sick because he sees us 5 minutes in his life and he judges a subject that can break this life anyway I"&amp;" would go so far even if he false that I leave my health but at least I would leave my children at a young age shelter
I do not recommend it is insurance if I had been able I would not have put this insurance in the assurance does not deserve all")</f>
        <v>Frankly very much on the mutual credit when I bought our house in 2010 I thought I took all the guarantee to be sheltered from all the incidents of everyday life but it gives birth to nothing to be insured my I have been wrong because When you get sick this insurance does not take care of being in invaliditer 2 nd category since March 2019 he does not take my loan in charge because their expert my only estimate at 15 % functional and in their scale he false to be more than 15 % on the other hand he well estimate me at 90 % of incapacity to work so it is or the logic it is not my functional which will pay you the borrows but my capacity to work when we have made us guaranteed to be very good Ensure in the event of damage or illness ..... but when you arrive in the situation is no longer any case for my part I would not be able to do I consider that the expert doctor who sees us are not worthy of judge be sick because he sees us 5 minutes in his life and he judges a subject that can break this life anyway I would go so far even if he false that I leave my health but at least I would leave my children at a young age shelter
I do not recommend it is insurance if I had been able I would not have put this insurance in the assurance does not deserve all</v>
      </c>
    </row>
    <row r="363" ht="15.75" customHeight="1">
      <c r="A363" s="2">
        <v>3.0</v>
      </c>
      <c r="B363" s="2" t="s">
        <v>1137</v>
      </c>
      <c r="C363" s="2" t="s">
        <v>1138</v>
      </c>
      <c r="D363" s="2" t="s">
        <v>330</v>
      </c>
      <c r="E363" s="2" t="s">
        <v>44</v>
      </c>
      <c r="F363" s="2" t="s">
        <v>15</v>
      </c>
      <c r="G363" s="2" t="s">
        <v>1139</v>
      </c>
      <c r="H363" s="2" t="s">
        <v>185</v>
      </c>
      <c r="I363" s="3" t="str">
        <f>IFERROR(__xludf.DUMMYFUNCTION("GOOGLETRANSLATE(C363,""fr"",""en"")"),"Very good telephone reception
Listening to membership requests
Quick response from your services
 The service is very satisfied
 Suitable value for money")</f>
        <v>Very good telephone reception
Listening to membership requests
Quick response from your services
 The service is very satisfied
 Suitable value for money</v>
      </c>
    </row>
    <row r="364" ht="15.75" customHeight="1">
      <c r="A364" s="2">
        <v>2.0</v>
      </c>
      <c r="B364" s="2" t="s">
        <v>1140</v>
      </c>
      <c r="C364" s="2" t="s">
        <v>1141</v>
      </c>
      <c r="D364" s="2" t="s">
        <v>296</v>
      </c>
      <c r="E364" s="2" t="s">
        <v>14</v>
      </c>
      <c r="F364" s="2" t="s">
        <v>15</v>
      </c>
      <c r="G364" s="2" t="s">
        <v>1142</v>
      </c>
      <c r="H364" s="2" t="s">
        <v>17</v>
      </c>
      <c r="I364" s="3" t="str">
        <f>IFERROR(__xludf.DUMMYFUNCTION("GOOGLETRANSLATE(C364,""fr"",""en"")"),"Hello I have been insured for several years at Eurofil and I had an accident 4 months ago I am in any risk since my incident I had no return from them or any compensation, to avoid")</f>
        <v>Hello I have been insured for several years at Eurofil and I had an accident 4 months ago I am in any risk since my incident I had no return from them or any compensation, to avoid</v>
      </c>
    </row>
    <row r="365" ht="15.75" customHeight="1">
      <c r="A365" s="2">
        <v>1.0</v>
      </c>
      <c r="B365" s="2" t="s">
        <v>1143</v>
      </c>
      <c r="C365" s="2" t="s">
        <v>1144</v>
      </c>
      <c r="D365" s="2" t="s">
        <v>214</v>
      </c>
      <c r="E365" s="2" t="s">
        <v>215</v>
      </c>
      <c r="F365" s="2" t="s">
        <v>15</v>
      </c>
      <c r="G365" s="2" t="s">
        <v>1145</v>
      </c>
      <c r="H365" s="2" t="s">
        <v>21</v>
      </c>
      <c r="I365" s="3" t="str">
        <f>IFERROR(__xludf.DUMMYFUNCTION("GOOGLETRANSLATE(C365,""fr"",""en"")"),"You pay 45 € per month for your animal and he does not reimburse your dog has made an epilepsy attack (the 1st) consultation not reimbursed. Blood test not reimbursed. Medication not reimbursed my invoice amounts to 101 € replied that the epilepsy crisis "&amp;"not taken into account !!! Flee this insurance")</f>
        <v>You pay 45 € per month for your animal and he does not reimburse your dog has made an epilepsy attack (the 1st) consultation not reimbursed. Blood test not reimbursed. Medication not reimbursed my invoice amounts to 101 € replied that the epilepsy crisis not taken into account !!! Flee this insurance</v>
      </c>
    </row>
    <row r="366" ht="15.75" customHeight="1">
      <c r="A366" s="2">
        <v>3.0</v>
      </c>
      <c r="B366" s="2" t="s">
        <v>1146</v>
      </c>
      <c r="C366" s="2" t="s">
        <v>1147</v>
      </c>
      <c r="D366" s="2" t="s">
        <v>48</v>
      </c>
      <c r="E366" s="2" t="s">
        <v>14</v>
      </c>
      <c r="F366" s="2" t="s">
        <v>15</v>
      </c>
      <c r="G366" s="2" t="s">
        <v>1148</v>
      </c>
      <c r="H366" s="2" t="s">
        <v>67</v>
      </c>
      <c r="I366" s="3" t="str">
        <f>IFERROR(__xludf.DUMMYFUNCTION("GOOGLETRANSLATE(C366,""fr"",""en"")"),"Service to be confirmed in the future I am absolutely not satisfied with the service. I pay extremely expensive for little service. I wish to make immediate change in which case I would be obliged to change my insurance service.")</f>
        <v>Service to be confirmed in the future I am absolutely not satisfied with the service. I pay extremely expensive for little service. I wish to make immediate change in which case I would be obliged to change my insurance service.</v>
      </c>
    </row>
    <row r="367" ht="15.75" customHeight="1">
      <c r="A367" s="2">
        <v>3.0</v>
      </c>
      <c r="B367" s="2" t="s">
        <v>1149</v>
      </c>
      <c r="C367" s="2" t="s">
        <v>1150</v>
      </c>
      <c r="D367" s="2" t="s">
        <v>228</v>
      </c>
      <c r="E367" s="2" t="s">
        <v>14</v>
      </c>
      <c r="F367" s="2" t="s">
        <v>15</v>
      </c>
      <c r="G367" s="2" t="s">
        <v>413</v>
      </c>
      <c r="H367" s="2" t="s">
        <v>85</v>
      </c>
      <c r="I367" s="3" t="str">
        <f>IFERROR(__xludf.DUMMYFUNCTION("GOOGLETRANSLATE(C367,""fr"",""en"")"),"Very shocked to see AXA offer new customers attractive prices that are not accessible to a loyal customer for over 30 years for 3 cars and 2 houses, +++. This policy has just been prohibited in England when in France?
Otherwise good performance and servi"&amp;"ce but I am now determined to change the course of things.")</f>
        <v>Very shocked to see AXA offer new customers attractive prices that are not accessible to a loyal customer for over 30 years for 3 cars and 2 houses, +++. This policy has just been prohibited in England when in France?
Otherwise good performance and service but I am now determined to change the course of things.</v>
      </c>
    </row>
    <row r="368" ht="15.75" customHeight="1">
      <c r="A368" s="2">
        <v>1.0</v>
      </c>
      <c r="B368" s="2" t="s">
        <v>1151</v>
      </c>
      <c r="C368" s="2" t="s">
        <v>1152</v>
      </c>
      <c r="D368" s="2" t="s">
        <v>372</v>
      </c>
      <c r="E368" s="2" t="s">
        <v>127</v>
      </c>
      <c r="F368" s="2" t="s">
        <v>15</v>
      </c>
      <c r="G368" s="2" t="s">
        <v>1153</v>
      </c>
      <c r="H368" s="2" t="s">
        <v>589</v>
      </c>
      <c r="I368" s="3" t="str">
        <f>IFERROR(__xludf.DUMMYFUNCTION("GOOGLETRANSLATE(C368,""fr"",""en"")"),"Insurance that I do not recommend, I subscribed an insurance contract for a scooter 125. 25 01 2020.
Request for cancellation of the contract on 31 01 2020, (Chatel law). I have received a letter attesting to taking into account my cancellation but, no r"&amp;"efund to date 3 months of insurance paid for an amount of 176 euros 40 By transfer during my subscription, reason for termination: no shipment of the green card,
I do not recommend this insurer.")</f>
        <v>Insurance that I do not recommend, I subscribed an insurance contract for a scooter 125. 25 01 2020.
Request for cancellation of the contract on 31 01 2020, (Chatel law). I have received a letter attesting to taking into account my cancellation but, no refund to date 3 months of insurance paid for an amount of 176 euros 40 By transfer during my subscription, reason for termination: no shipment of the green card,
I do not recommend this insurer.</v>
      </c>
    </row>
    <row r="369" ht="15.75" customHeight="1">
      <c r="A369" s="2">
        <v>4.0</v>
      </c>
      <c r="B369" s="2" t="s">
        <v>1154</v>
      </c>
      <c r="C369" s="2" t="s">
        <v>1155</v>
      </c>
      <c r="D369" s="2" t="s">
        <v>155</v>
      </c>
      <c r="E369" s="2" t="s">
        <v>14</v>
      </c>
      <c r="F369" s="2" t="s">
        <v>15</v>
      </c>
      <c r="G369" s="2" t="s">
        <v>1156</v>
      </c>
      <c r="H369" s="2" t="s">
        <v>164</v>
      </c>
      <c r="I369" s="3" t="str">
        <f>IFERROR(__xludf.DUMMYFUNCTION("GOOGLETRANSLATE(C369,""fr"",""en"")"),"A lot of professionalism and responsiveness. Personalized and very smiling welcome. I recommend the Mauguio agency especially where we have always found a listening and understanding of our requests for various insurance and an excellent welcome")</f>
        <v>A lot of professionalism and responsiveness. Personalized and very smiling welcome. I recommend the Mauguio agency especially where we have always found a listening and understanding of our requests for various insurance and an excellent welcome</v>
      </c>
    </row>
    <row r="370" ht="15.75" customHeight="1">
      <c r="A370" s="2">
        <v>4.0</v>
      </c>
      <c r="B370" s="2" t="s">
        <v>1157</v>
      </c>
      <c r="C370" s="2" t="s">
        <v>1158</v>
      </c>
      <c r="D370" s="2" t="s">
        <v>13</v>
      </c>
      <c r="E370" s="2" t="s">
        <v>14</v>
      </c>
      <c r="F370" s="2" t="s">
        <v>15</v>
      </c>
      <c r="G370" s="2" t="s">
        <v>1159</v>
      </c>
      <c r="H370" s="2" t="s">
        <v>29</v>
      </c>
      <c r="I370" s="3" t="str">
        <f>IFERROR(__xludf.DUMMYFUNCTION("GOOGLETRANSLATE(C370,""fr"",""en"")"),"I am very satisfied and a very nice telephone reception. Interlocutor without reproach.
The explanations are very clear. I highly recommend.")</f>
        <v>I am very satisfied and a very nice telephone reception. Interlocutor without reproach.
The explanations are very clear. I highly recommend.</v>
      </c>
    </row>
    <row r="371" ht="15.75" customHeight="1">
      <c r="A371" s="2">
        <v>1.0</v>
      </c>
      <c r="B371" s="2" t="s">
        <v>1160</v>
      </c>
      <c r="C371" s="2" t="s">
        <v>1161</v>
      </c>
      <c r="D371" s="2" t="s">
        <v>43</v>
      </c>
      <c r="E371" s="2" t="s">
        <v>44</v>
      </c>
      <c r="F371" s="2" t="s">
        <v>15</v>
      </c>
      <c r="G371" s="2" t="s">
        <v>1162</v>
      </c>
      <c r="H371" s="2" t="s">
        <v>784</v>
      </c>
      <c r="I371" s="3" t="str">
        <f>IFERROR(__xludf.DUMMYFUNCTION("GOOGLETRANSLATE(C371,""fr"",""en"")"),"Impossible to reach the Cegema services, and now impossible to connect to their site. No more link.
Sent them an email, no answer.
Request for visits to a general practitioner, while we have high -end insurance, reimbursements more and more logs, or eve"&amp;"n several months
")</f>
        <v>Impossible to reach the Cegema services, and now impossible to connect to their site. No more link.
Sent them an email, no answer.
Request for visits to a general practitioner, while we have high -end insurance, reimbursements more and more logs, or even several months
</v>
      </c>
    </row>
    <row r="372" ht="15.75" customHeight="1">
      <c r="A372" s="2">
        <v>1.0</v>
      </c>
      <c r="B372" s="2" t="s">
        <v>1163</v>
      </c>
      <c r="C372" s="2" t="s">
        <v>1164</v>
      </c>
      <c r="D372" s="2" t="s">
        <v>58</v>
      </c>
      <c r="E372" s="2" t="s">
        <v>44</v>
      </c>
      <c r="F372" s="2" t="s">
        <v>15</v>
      </c>
      <c r="G372" s="2" t="s">
        <v>1165</v>
      </c>
      <c r="H372" s="2" t="s">
        <v>80</v>
      </c>
      <c r="I372" s="3" t="str">
        <f>IFERROR(__xludf.DUMMYFUNCTION("GOOGLETRANSLATE(C372,""fr"",""en"")"),"Internet server and mobile application (Android) absolutely zero, does not work, developed by apprentices or notorious incompetent.
Claim is useless, the problem persists")</f>
        <v>Internet server and mobile application (Android) absolutely zero, does not work, developed by apprentices or notorious incompetent.
Claim is useless, the problem persists</v>
      </c>
    </row>
    <row r="373" ht="15.75" customHeight="1">
      <c r="A373" s="2">
        <v>1.0</v>
      </c>
      <c r="B373" s="2" t="s">
        <v>1166</v>
      </c>
      <c r="C373" s="2" t="s">
        <v>1167</v>
      </c>
      <c r="D373" s="2" t="s">
        <v>228</v>
      </c>
      <c r="E373" s="2" t="s">
        <v>33</v>
      </c>
      <c r="F373" s="2" t="s">
        <v>15</v>
      </c>
      <c r="G373" s="2" t="s">
        <v>287</v>
      </c>
      <c r="H373" s="2" t="s">
        <v>287</v>
      </c>
      <c r="I373" s="3" t="str">
        <f>IFERROR(__xludf.DUMMYFUNCTION("GOOGLETRANSLATE(C373,""fr"",""en"")"),"Following the death of my father, the amount of life insurance is re -employed for new life insurance for my mother. Unfortunately the amount is reduced by 1,000 euros.
Not too normal, no ????")</f>
        <v>Following the death of my father, the amount of life insurance is re -employed for new life insurance for my mother. Unfortunately the amount is reduced by 1,000 euros.
Not too normal, no ????</v>
      </c>
    </row>
    <row r="374" ht="15.75" customHeight="1">
      <c r="A374" s="2">
        <v>4.0</v>
      </c>
      <c r="B374" s="2" t="s">
        <v>1168</v>
      </c>
      <c r="C374" s="2" t="s">
        <v>1169</v>
      </c>
      <c r="D374" s="2" t="s">
        <v>13</v>
      </c>
      <c r="E374" s="2" t="s">
        <v>14</v>
      </c>
      <c r="F374" s="2" t="s">
        <v>15</v>
      </c>
      <c r="G374" s="2" t="s">
        <v>487</v>
      </c>
      <c r="H374" s="2" t="s">
        <v>29</v>
      </c>
      <c r="I374" s="3" t="str">
        <f>IFERROR(__xludf.DUMMYFUNCTION("GOOGLETRANSLATE(C374,""fr"",""en"")"),"Contract subscribed online (some missing information on the site). You have to go through an advisor for finalized otherwise have faced a bug on the site.
Advise well listening and gives all the information advancing the signing of the contract")</f>
        <v>Contract subscribed online (some missing information on the site). You have to go through an advisor for finalized otherwise have faced a bug on the site.
Advise well listening and gives all the information advancing the signing of the contract</v>
      </c>
    </row>
    <row r="375" ht="15.75" customHeight="1">
      <c r="A375" s="2">
        <v>4.0</v>
      </c>
      <c r="B375" s="2" t="s">
        <v>1170</v>
      </c>
      <c r="C375" s="2" t="s">
        <v>1171</v>
      </c>
      <c r="D375" s="2" t="s">
        <v>53</v>
      </c>
      <c r="E375" s="2" t="s">
        <v>44</v>
      </c>
      <c r="F375" s="2" t="s">
        <v>15</v>
      </c>
      <c r="G375" s="2" t="s">
        <v>111</v>
      </c>
      <c r="H375" s="2" t="s">
        <v>185</v>
      </c>
      <c r="I375" s="3" t="str">
        <f>IFERROR(__xludf.DUMMYFUNCTION("GOOGLETRANSLATE(C375,""fr"",""en"")"),"Hello. For a problem with my mutual I contacted you by such I was informed by a person named Rawanequi did his job very well. The problem is that I receive today u message from you telling me that my contract has been delivered into force I do not see why"&amp;" since I terminated it on 01 10 2021 The termination will therefore end on 31 12 21. D 'Other part can you tell me or are the concerns with the cardio prescriptions that I ask to be reimbursed thank you. Mmebaesa")</f>
        <v>Hello. For a problem with my mutual I contacted you by such I was informed by a person named Rawanequi did his job very well. The problem is that I receive today u message from you telling me that my contract has been delivered into force I do not see why since I terminated it on 01 10 2021 The termination will therefore end on 31 12 21. D 'Other part can you tell me or are the concerns with the cardio prescriptions that I ask to be reimbursed thank you. Mmebaesa</v>
      </c>
    </row>
    <row r="376" ht="15.75" customHeight="1">
      <c r="A376" s="2">
        <v>2.0</v>
      </c>
      <c r="B376" s="2" t="s">
        <v>1172</v>
      </c>
      <c r="C376" s="2" t="s">
        <v>1173</v>
      </c>
      <c r="D376" s="2" t="s">
        <v>97</v>
      </c>
      <c r="E376" s="2" t="s">
        <v>242</v>
      </c>
      <c r="F376" s="2" t="s">
        <v>15</v>
      </c>
      <c r="G376" s="2" t="s">
        <v>1174</v>
      </c>
      <c r="H376" s="2" t="s">
        <v>60</v>
      </c>
      <c r="I376" s="3" t="str">
        <f>IFERROR(__xludf.DUMMYFUNCTION("GOOGLETRANSLATE(C376,""fr"",""en"")"),"My contract concerns Generali via Multiimpact:
My husband has been on work stoppage since August 2019, we have filed via Multi Impact which is our only contact and manager of the file A claim for a claim in January 2019, 90 days after the initial work st"&amp;"oppage. We have returned all the multiple documents, my husband has gone through expertise and to date ... still nothing !!!!
We are still waiting for a response from a possible care I admit my misunderstanding. I realize that I am not in this case and n"&amp;"o longer know what to do. Always this expectation, but I wonder about insurance to all the powers? Yes you have to believe it not sure that the insurance in question would accept a postponement of contributions ....
So I don't recommend Generali")</f>
        <v>My contract concerns Generali via Multiimpact:
My husband has been on work stoppage since August 2019, we have filed via Multi Impact which is our only contact and manager of the file A claim for a claim in January 2019, 90 days after the initial work stoppage. We have returned all the multiple documents, my husband has gone through expertise and to date ... still nothing !!!!
We are still waiting for a response from a possible care I admit my misunderstanding. I realize that I am not in this case and no longer know what to do. Always this expectation, but I wonder about insurance to all the powers? Yes you have to believe it not sure that the insurance in question would accept a postponement of contributions ....
So I don't recommend Generali</v>
      </c>
    </row>
    <row r="377" ht="15.75" customHeight="1">
      <c r="A377" s="2">
        <v>1.0</v>
      </c>
      <c r="B377" s="2" t="s">
        <v>1175</v>
      </c>
      <c r="C377" s="2" t="s">
        <v>1176</v>
      </c>
      <c r="D377" s="2" t="s">
        <v>139</v>
      </c>
      <c r="E377" s="2" t="s">
        <v>127</v>
      </c>
      <c r="F377" s="2" t="s">
        <v>15</v>
      </c>
      <c r="G377" s="2" t="s">
        <v>1177</v>
      </c>
      <c r="H377" s="2" t="s">
        <v>149</v>
      </c>
      <c r="I377" s="3" t="str">
        <f>IFERROR(__xludf.DUMMYFUNCTION("GOOGLETRANSLATE(C377,""fr"",""en"")"),"Very dangerous insurer, no one on the phone, insurer to flee do not fall into the trap. After subscribing to the contract, you have no possibility of joining them, my file is being processed one year after a sinister.
I found myself in dangerous situatio"&amp;"ns with this insurer.
")</f>
        <v>Very dangerous insurer, no one on the phone, insurer to flee do not fall into the trap. After subscribing to the contract, you have no possibility of joining them, my file is being processed one year after a sinister.
I found myself in dangerous situations with this insurer.
</v>
      </c>
    </row>
    <row r="378" ht="15.75" customHeight="1">
      <c r="A378" s="2">
        <v>1.0</v>
      </c>
      <c r="B378" s="2" t="s">
        <v>1178</v>
      </c>
      <c r="C378" s="2" t="s">
        <v>1179</v>
      </c>
      <c r="D378" s="2" t="s">
        <v>228</v>
      </c>
      <c r="E378" s="2" t="s">
        <v>14</v>
      </c>
      <c r="F378" s="2" t="s">
        <v>15</v>
      </c>
      <c r="G378" s="2" t="s">
        <v>1180</v>
      </c>
      <c r="H378" s="2" t="s">
        <v>287</v>
      </c>
      <c r="I378" s="3" t="str">
        <f>IFERROR(__xludf.DUMMYFUNCTION("GOOGLETRANSLATE(C378,""fr"",""en"")"),"It's been 4 years now that I have been at home without a single hanging. My starting subscription was 86 euros/month, I currently pay 102 euros or 1225 euros per year, with a 20% bonus! Do you understand something? Not me. I had no information and I could"&amp;"n't find it.
Customer service that literally does not care about your face on the phone. The quotes of all other insurers are cheaper by 400 euros/year minimum. But for them it was ""impossible for us to make such an offer to you"".
First time that I gi"&amp;"ve an opinion online: flee this dehumanized insurance to the marrow, all that they want: you spit the slightest penny.")</f>
        <v>It's been 4 years now that I have been at home without a single hanging. My starting subscription was 86 euros/month, I currently pay 102 euros or 1225 euros per year, with a 20% bonus! Do you understand something? Not me. I had no information and I couldn't find it.
Customer service that literally does not care about your face on the phone. The quotes of all other insurers are cheaper by 400 euros/year minimum. But for them it was "impossible for us to make such an offer to you".
First time that I give an opinion online: flee this dehumanized insurance to the marrow, all that they want: you spit the slightest penny.</v>
      </c>
    </row>
    <row r="379" ht="15.75" customHeight="1">
      <c r="A379" s="2">
        <v>3.0</v>
      </c>
      <c r="B379" s="2" t="s">
        <v>1181</v>
      </c>
      <c r="C379" s="2" t="s">
        <v>1182</v>
      </c>
      <c r="D379" s="2" t="s">
        <v>48</v>
      </c>
      <c r="E379" s="2" t="s">
        <v>14</v>
      </c>
      <c r="F379" s="2" t="s">
        <v>15</v>
      </c>
      <c r="G379" s="2" t="s">
        <v>66</v>
      </c>
      <c r="H379" s="2" t="s">
        <v>67</v>
      </c>
      <c r="I379" s="3" t="str">
        <f>IFERROR(__xludf.DUMMYFUNCTION("GOOGLETRANSLATE(C379,""fr"",""en"")"),"Nothing special to say, the prices are not that low, but it's practical, why force people to write this type of comment, it's not normal")</f>
        <v>Nothing special to say, the prices are not that low, but it's practical, why force people to write this type of comment, it's not normal</v>
      </c>
    </row>
    <row r="380" ht="15.75" customHeight="1">
      <c r="A380" s="2">
        <v>3.0</v>
      </c>
      <c r="B380" s="2" t="s">
        <v>1183</v>
      </c>
      <c r="C380" s="2" t="s">
        <v>1184</v>
      </c>
      <c r="D380" s="2" t="s">
        <v>48</v>
      </c>
      <c r="E380" s="2" t="s">
        <v>14</v>
      </c>
      <c r="F380" s="2" t="s">
        <v>15</v>
      </c>
      <c r="G380" s="2" t="s">
        <v>1185</v>
      </c>
      <c r="H380" s="2" t="s">
        <v>25</v>
      </c>
      <c r="I380" s="3" t="str">
        <f>IFERROR(__xludf.DUMMYFUNCTION("GOOGLETRANSLATE(C380,""fr"",""en"")"),"I am not very satisfied, this Anne Memme in Ganhant of Bonus I pay a little more dear my insurance and I hope that in the date Échance that it does not continue to increase, while knowing that I have not made a statement until today")</f>
        <v>I am not very satisfied, this Anne Memme in Ganhant of Bonus I pay a little more dear my insurance and I hope that in the date Échance that it does not continue to increase, while knowing that I have not made a statement until today</v>
      </c>
    </row>
    <row r="381" ht="15.75" customHeight="1">
      <c r="A381" s="2">
        <v>5.0</v>
      </c>
      <c r="B381" s="2" t="s">
        <v>1186</v>
      </c>
      <c r="C381" s="2" t="s">
        <v>1187</v>
      </c>
      <c r="D381" s="2" t="s">
        <v>13</v>
      </c>
      <c r="E381" s="2" t="s">
        <v>14</v>
      </c>
      <c r="F381" s="2" t="s">
        <v>15</v>
      </c>
      <c r="G381" s="2" t="s">
        <v>66</v>
      </c>
      <c r="H381" s="2" t="s">
        <v>67</v>
      </c>
      <c r="I381" s="3" t="str">
        <f>IFERROR(__xludf.DUMMYFUNCTION("GOOGLETRANSLATE(C381,""fr"",""en"")"),"For 1 year that I have been at Olivier assurance the prices are very interesting and I recommend them, it is true that I am initially, assures for.")</f>
        <v>For 1 year that I have been at Olivier assurance the prices are very interesting and I recommend them, it is true that I am initially, assures for.</v>
      </c>
    </row>
    <row r="382" ht="15.75" customHeight="1">
      <c r="A382" s="2">
        <v>3.0</v>
      </c>
      <c r="B382" s="2" t="s">
        <v>1188</v>
      </c>
      <c r="C382" s="2" t="s">
        <v>1189</v>
      </c>
      <c r="D382" s="2" t="s">
        <v>48</v>
      </c>
      <c r="E382" s="2" t="s">
        <v>14</v>
      </c>
      <c r="F382" s="2" t="s">
        <v>15</v>
      </c>
      <c r="G382" s="2" t="s">
        <v>1190</v>
      </c>
      <c r="H382" s="2" t="s">
        <v>261</v>
      </c>
      <c r="I382" s="3" t="str">
        <f>IFERROR(__xludf.DUMMYFUNCTION("GOOGLETRANSLATE(C382,""fr"",""en"")"),"1st year of correct price insurance, 2nd year already 11% increase without possible discussion with the excuse that repairs prices have increased in the North.
Classic argument!")</f>
        <v>1st year of correct price insurance, 2nd year already 11% increase without possible discussion with the excuse that repairs prices have increased in the North.
Classic argument!</v>
      </c>
    </row>
    <row r="383" ht="15.75" customHeight="1">
      <c r="A383" s="2">
        <v>3.0</v>
      </c>
      <c r="B383" s="2" t="s">
        <v>1191</v>
      </c>
      <c r="C383" s="2" t="s">
        <v>1192</v>
      </c>
      <c r="D383" s="2" t="s">
        <v>48</v>
      </c>
      <c r="E383" s="2" t="s">
        <v>14</v>
      </c>
      <c r="F383" s="2" t="s">
        <v>15</v>
      </c>
      <c r="G383" s="2" t="s">
        <v>1193</v>
      </c>
      <c r="H383" s="2" t="s">
        <v>67</v>
      </c>
      <c r="I383" s="3" t="str">
        <f>IFERROR(__xludf.DUMMYFUNCTION("GOOGLETRANSLATE(C383,""fr"",""en"")"),"Attractive price the first year, and then every year increased contribution despite the bonus of 50%, not too satisfied we will take stock in a year.")</f>
        <v>Attractive price the first year, and then every year increased contribution despite the bonus of 50%, not too satisfied we will take stock in a year.</v>
      </c>
    </row>
    <row r="384" ht="15.75" customHeight="1">
      <c r="A384" s="2">
        <v>4.0</v>
      </c>
      <c r="B384" s="2" t="s">
        <v>1194</v>
      </c>
      <c r="C384" s="2" t="s">
        <v>1195</v>
      </c>
      <c r="D384" s="2" t="s">
        <v>126</v>
      </c>
      <c r="E384" s="2" t="s">
        <v>127</v>
      </c>
      <c r="F384" s="2" t="s">
        <v>15</v>
      </c>
      <c r="G384" s="2" t="s">
        <v>1196</v>
      </c>
      <c r="H384" s="2" t="s">
        <v>17</v>
      </c>
      <c r="I384" s="3" t="str">
        <f>IFERROR(__xludf.DUMMYFUNCTION("GOOGLETRANSLATE(C384,""fr"",""en"")"),"Obtaining rapid insurance quotes, as is the desired insurance subscription. The number of insurance presented allows you to choose from them.")</f>
        <v>Obtaining rapid insurance quotes, as is the desired insurance subscription. The number of insurance presented allows you to choose from them.</v>
      </c>
    </row>
    <row r="385" ht="15.75" customHeight="1">
      <c r="A385" s="2">
        <v>1.0</v>
      </c>
      <c r="B385" s="2" t="s">
        <v>1197</v>
      </c>
      <c r="C385" s="2" t="s">
        <v>1198</v>
      </c>
      <c r="D385" s="2" t="s">
        <v>390</v>
      </c>
      <c r="E385" s="2" t="s">
        <v>33</v>
      </c>
      <c r="F385" s="2" t="s">
        <v>15</v>
      </c>
      <c r="G385" s="2" t="s">
        <v>1199</v>
      </c>
      <c r="H385" s="2" t="s">
        <v>784</v>
      </c>
      <c r="I385" s="3" t="str">
        <f>IFERROR(__xludf.DUMMYFUNCTION("GOOGLETRANSLATE(C385,""fr"",""en"")"),"Notice to amateurs
Liberal profession I had subscribed 2 perm to their BNP partner that I had left in 2013 for also degraded relational reasons. To follow the evolution of my 2 perm and their cardif subscription did not make any of my wishes by sending l"&amp;"etters to old professional addresses, losing letter in AR, to tell you about professional conscience of this BNP branch. However, my Creil agency wanted to appease this situation, and I following a law of modification which appeared in 10/2020 I wanted to"&amp;" make a transfer of my 2 perm to a much more judicious permaner in terms of placement because it is not More necessarily in the form of an annuity that you perceive your capital but you have the possibility of making funds to a certain extent and the capi"&amp;"tal transmitted to the beneficiaries is no longer in the form of an interest -free annuity but in the form of capital. So via my BNP agency The subscription of this PER is done via their Cardif subsidiary, located at 8 rue du Port in Nanterre where my 2 p"&amp;"erm were referenced, therefore internal transfer and modification, I subscribe in early December the idea take appointment BNP agency, choose my options for supports and wishes a monthly subscription as quickly as possible because the payments are deducti"&amp;"ble according to a ceiling as for the Madelin. Opening of a new PRO account at the BNP, subscribing and requesting 1% internal transfer on my assets nearly € 800 which is still excessive but negotiated at 0.3% for opening costs. We are on 19/11 or 11 mont"&amp;"hs after my request opening of the account since March, choice of media etc ..., I still do not have the official documents for the opening of my PER and its monthly subscription from Cardif. In the end I could not transfer my perm to BNP supports to my o"&amp;"ther pro bank, but to absolutely avoid this company to the calamitous management of their members' contracts. What does the ACPR do with this company? !!!!. It is wearing to see that they get engaged on your back by managing your contracts, but in the end"&amp;" they have nothing to shake from you.")</f>
        <v>Notice to amateurs
Liberal profession I had subscribed 2 perm to their BNP partner that I had left in 2013 for also degraded relational reasons. To follow the evolution of my 2 perm and their cardif subscription did not make any of my wishes by sending letters to old professional addresses, losing letter in AR, to tell you about professional conscience of this BNP branch. However, my Creil agency wanted to appease this situation, and I following a law of modification which appeared in 10/2020 I wanted to make a transfer of my 2 perm to a much more judicious permaner in terms of placement because it is not More necessarily in the form of an annuity that you perceive your capital but you have the possibility of making funds to a certain extent and the capital transmitted to the beneficiaries is no longer in the form of an interest -free annuity but in the form of capital. So via my BNP agency The subscription of this PER is done via their Cardif subsidiary, located at 8 rue du Port in Nanterre where my 2 perm were referenced, therefore internal transfer and modification, I subscribe in early December the idea take appointment BNP agency, choose my options for supports and wishes a monthly subscription as quickly as possible because the payments are deductible according to a ceiling as for the Madelin. Opening of a new PRO account at the BNP, subscribing and requesting 1% internal transfer on my assets nearly € 800 which is still excessive but negotiated at 0.3% for opening costs. We are on 19/11 or 11 months after my request opening of the account since March, choice of media etc ..., I still do not have the official documents for the opening of my PER and its monthly subscription from Cardif. In the end I could not transfer my perm to BNP supports to my other pro bank, but to absolutely avoid this company to the calamitous management of their members' contracts. What does the ACPR do with this company? !!!!. It is wearing to see that they get engaged on your back by managing your contracts, but in the end they have nothing to shake from you.</v>
      </c>
    </row>
    <row r="386" ht="15.75" customHeight="1">
      <c r="A386" s="2">
        <v>5.0</v>
      </c>
      <c r="B386" s="2" t="s">
        <v>1200</v>
      </c>
      <c r="C386" s="2" t="s">
        <v>1201</v>
      </c>
      <c r="D386" s="2" t="s">
        <v>126</v>
      </c>
      <c r="E386" s="2" t="s">
        <v>127</v>
      </c>
      <c r="F386" s="2" t="s">
        <v>15</v>
      </c>
      <c r="G386" s="2" t="s">
        <v>1202</v>
      </c>
      <c r="H386" s="2" t="s">
        <v>50</v>
      </c>
      <c r="I386" s="3" t="str">
        <f>IFERROR(__xludf.DUMMYFUNCTION("GOOGLETRANSLATE(C386,""fr"",""en"")"),"Super fast and practical 'efficient,
Top insurance
I am very very very satisfied by the clarity of the explanations.
Bravo, a biker not disappointed,")</f>
        <v>Super fast and practical 'efficient,
Top insurance
I am very very very satisfied by the clarity of the explanations.
Bravo, a biker not disappointed,</v>
      </c>
    </row>
    <row r="387" ht="15.75" customHeight="1">
      <c r="A387" s="2">
        <v>1.0</v>
      </c>
      <c r="B387" s="2" t="s">
        <v>1203</v>
      </c>
      <c r="C387" s="2" t="s">
        <v>1204</v>
      </c>
      <c r="D387" s="2" t="s">
        <v>53</v>
      </c>
      <c r="E387" s="2" t="s">
        <v>44</v>
      </c>
      <c r="F387" s="2" t="s">
        <v>15</v>
      </c>
      <c r="G387" s="2" t="s">
        <v>832</v>
      </c>
      <c r="H387" s="2" t="s">
        <v>21</v>
      </c>
      <c r="I387" s="3" t="str">
        <f>IFERROR(__xludf.DUMMYFUNCTION("GOOGLETRANSLATE(C387,""fr"",""en"")"),"I regret not having read the opinions before letting myself be nodded by a broker who contacted me following my search on a price comparison. This mutual insurance company is constantly asking me for the invoices paid for consultations with specialists wi"&amp;"th exceeding fees with the social security statements while they receive them directly !! Hence delays in reimbursements. I bitterly regret my old mutual with whom I have never had any problems like this! I had to provide invoices only when it was acts no"&amp;"t supported by the CPAM, for example for osteopathy sessions. I will ask for termination at the end of the year, for sure and certain.")</f>
        <v>I regret not having read the opinions before letting myself be nodded by a broker who contacted me following my search on a price comparison. This mutual insurance company is constantly asking me for the invoices paid for consultations with specialists with exceeding fees with the social security statements while they receive them directly !! Hence delays in reimbursements. I bitterly regret my old mutual with whom I have never had any problems like this! I had to provide invoices only when it was acts not supported by the CPAM, for example for osteopathy sessions. I will ask for termination at the end of the year, for sure and certain.</v>
      </c>
    </row>
    <row r="388" ht="15.75" customHeight="1">
      <c r="A388" s="2">
        <v>2.0</v>
      </c>
      <c r="B388" s="2" t="s">
        <v>1205</v>
      </c>
      <c r="C388" s="2" t="s">
        <v>1206</v>
      </c>
      <c r="D388" s="2" t="s">
        <v>48</v>
      </c>
      <c r="E388" s="2" t="s">
        <v>14</v>
      </c>
      <c r="F388" s="2" t="s">
        <v>15</v>
      </c>
      <c r="G388" s="2" t="s">
        <v>1207</v>
      </c>
      <c r="H388" s="2" t="s">
        <v>29</v>
      </c>
      <c r="I388" s="3" t="str">
        <f>IFERROR(__xludf.DUMMYFUNCTION("GOOGLETRANSLATE(C388,""fr"",""en"")"),"Yes very fast and very correct jsui very happy for my car I recommend this insurance that I have been advised and very abrassable on prices for each clientele")</f>
        <v>Yes very fast and very correct jsui very happy for my car I recommend this insurance that I have been advised and very abrassable on prices for each clientele</v>
      </c>
    </row>
    <row r="389" ht="15.75" customHeight="1">
      <c r="A389" s="2">
        <v>2.0</v>
      </c>
      <c r="B389" s="2" t="s">
        <v>1208</v>
      </c>
      <c r="C389" s="2" t="s">
        <v>1209</v>
      </c>
      <c r="D389" s="2" t="s">
        <v>13</v>
      </c>
      <c r="E389" s="2" t="s">
        <v>14</v>
      </c>
      <c r="F389" s="2" t="s">
        <v>15</v>
      </c>
      <c r="G389" s="2" t="s">
        <v>801</v>
      </c>
      <c r="H389" s="2" t="s">
        <v>336</v>
      </c>
      <c r="I389" s="3" t="str">
        <f>IFERROR(__xludf.DUMMYFUNCTION("GOOGLETRANSLATE(C389,""fr"",""en"")"),"Be careful not to make a comparison before otherwise you lose all the advantages of sponsorship is at the limit of false advertising. Very fast to collect the amount of you give them bank details, they do not even offer monthly payment")</f>
        <v>Be careful not to make a comparison before otherwise you lose all the advantages of sponsorship is at the limit of false advertising. Very fast to collect the amount of you give them bank details, they do not even offer monthly payment</v>
      </c>
    </row>
    <row r="390" ht="15.75" customHeight="1">
      <c r="A390" s="2">
        <v>5.0</v>
      </c>
      <c r="B390" s="2" t="s">
        <v>1210</v>
      </c>
      <c r="C390" s="2" t="s">
        <v>1211</v>
      </c>
      <c r="D390" s="2" t="s">
        <v>48</v>
      </c>
      <c r="E390" s="2" t="s">
        <v>14</v>
      </c>
      <c r="F390" s="2" t="s">
        <v>15</v>
      </c>
      <c r="G390" s="2" t="s">
        <v>1021</v>
      </c>
      <c r="H390" s="2" t="s">
        <v>89</v>
      </c>
      <c r="I390" s="3" t="str">
        <f>IFERROR(__xludf.DUMMYFUNCTION("GOOGLETRANSLATE(C390,""fr"",""en"")"),"Subscription facilitating? Very student price, facilitates the use of the customer area. Varied insurance proposals allowing you to choose your level of guarantee in a very clear way")</f>
        <v>Subscription facilitating? Very student price, facilitates the use of the customer area. Varied insurance proposals allowing you to choose your level of guarantee in a very clear way</v>
      </c>
    </row>
    <row r="391" ht="15.75" customHeight="1">
      <c r="A391" s="2">
        <v>1.0</v>
      </c>
      <c r="B391" s="2" t="s">
        <v>1212</v>
      </c>
      <c r="C391" s="2" t="s">
        <v>1213</v>
      </c>
      <c r="D391" s="2" t="s">
        <v>83</v>
      </c>
      <c r="E391" s="2" t="s">
        <v>14</v>
      </c>
      <c r="F391" s="2" t="s">
        <v>15</v>
      </c>
      <c r="G391" s="2" t="s">
        <v>442</v>
      </c>
      <c r="H391" s="2" t="s">
        <v>261</v>
      </c>
      <c r="I391" s="3" t="str">
        <f>IFERROR(__xludf.DUMMYFUNCTION("GOOGLETRANSLATE(C391,""fr"",""en"")"),"To flee
Home insurance and car
Even if the price is correct it does not correspond to the refund at all when you have a glitch.
My file is a novel I strongly advise against this insurance they make you run in Bourique. Starting with the installer"&amp;" who is forcing to put anything and not the equivalent ...")</f>
        <v>To flee
Home insurance and car
Even if the price is correct it does not correspond to the refund at all when you have a glitch.
My file is a novel I strongly advise against this insurance they make you run in Bourique. Starting with the installer who is forcing to put anything and not the equivalent ...</v>
      </c>
    </row>
    <row r="392" ht="15.75" customHeight="1">
      <c r="A392" s="2">
        <v>5.0</v>
      </c>
      <c r="B392" s="2" t="s">
        <v>1214</v>
      </c>
      <c r="C392" s="2" t="s">
        <v>1215</v>
      </c>
      <c r="D392" s="2" t="s">
        <v>241</v>
      </c>
      <c r="E392" s="2" t="s">
        <v>242</v>
      </c>
      <c r="F392" s="2" t="s">
        <v>15</v>
      </c>
      <c r="G392" s="2" t="s">
        <v>1216</v>
      </c>
      <c r="H392" s="2" t="s">
        <v>164</v>
      </c>
      <c r="I392" s="3" t="str">
        <f>IFERROR(__xludf.DUMMYFUNCTION("GOOGLETRANSLATE(C392,""fr"",""en"")"),"Completely satisfied, whether price, reception and information.
thank you for everything
I really recommend this insurance compared to others that I have prospected.")</f>
        <v>Completely satisfied, whether price, reception and information.
thank you for everything
I really recommend this insurance compared to others that I have prospected.</v>
      </c>
    </row>
    <row r="393" ht="15.75" customHeight="1">
      <c r="A393" s="2">
        <v>2.0</v>
      </c>
      <c r="B393" s="2" t="s">
        <v>1217</v>
      </c>
      <c r="C393" s="2" t="s">
        <v>1218</v>
      </c>
      <c r="D393" s="2" t="s">
        <v>176</v>
      </c>
      <c r="E393" s="2" t="s">
        <v>285</v>
      </c>
      <c r="F393" s="2" t="s">
        <v>15</v>
      </c>
      <c r="G393" s="2" t="s">
        <v>1219</v>
      </c>
      <c r="H393" s="2" t="s">
        <v>287</v>
      </c>
      <c r="I393" s="3" t="str">
        <f>IFERROR(__xludf.DUMMYFUNCTION("GOOGLETRANSLATE(C393,""fr"",""en"")"),"More and more disappointed by the management of claims
We plan to terminate everything
Customers are not respected")</f>
        <v>More and more disappointed by the management of claims
We plan to terminate everything
Customers are not respected</v>
      </c>
    </row>
    <row r="394" ht="15.75" customHeight="1">
      <c r="A394" s="2">
        <v>2.0</v>
      </c>
      <c r="B394" s="2" t="s">
        <v>1220</v>
      </c>
      <c r="C394" s="2" t="s">
        <v>1221</v>
      </c>
      <c r="D394" s="2" t="s">
        <v>92</v>
      </c>
      <c r="E394" s="2" t="s">
        <v>44</v>
      </c>
      <c r="F394" s="2" t="s">
        <v>15</v>
      </c>
      <c r="G394" s="2" t="s">
        <v>1222</v>
      </c>
      <c r="H394" s="2" t="s">
        <v>173</v>
      </c>
      <c r="I394" s="3" t="str">
        <f>IFERROR(__xludf.DUMMYFUNCTION("GOOGLETRANSLATE(C394,""fr"",""en"")"),"Worse and worse ! This morning I see by going to the agency that the timetables displayed are different from those of the Mgen site, I am answered: 'Give your vital card first, we will see after the hours!'. I came to know my level of reimbursement with m"&amp;"y quote for glasses, they must send it to their optical center which must answer me within 10 days. They returned me in June a medical analysis laboratory bill that I had sent to them in November 2019, because invoice non-compliant it seems. I ask them wh"&amp;"ere the error is they do not know! And they present me no excuse for having taken 7 months to process the request for reimbursement, which is still not processed! Very unpleasant staff in addition.
And they have values ​​???")</f>
        <v>Worse and worse ! This morning I see by going to the agency that the timetables displayed are different from those of the Mgen site, I am answered: 'Give your vital card first, we will see after the hours!'. I came to know my level of reimbursement with my quote for glasses, they must send it to their optical center which must answer me within 10 days. They returned me in June a medical analysis laboratory bill that I had sent to them in November 2019, because invoice non-compliant it seems. I ask them where the error is they do not know! And they present me no excuse for having taken 7 months to process the request for reimbursement, which is still not processed! Very unpleasant staff in addition.
And they have values ​​???</v>
      </c>
    </row>
    <row r="395" ht="15.75" customHeight="1">
      <c r="A395" s="2">
        <v>2.0</v>
      </c>
      <c r="B395" s="2" t="s">
        <v>1223</v>
      </c>
      <c r="C395" s="2" t="s">
        <v>1224</v>
      </c>
      <c r="D395" s="2" t="s">
        <v>53</v>
      </c>
      <c r="E395" s="2" t="s">
        <v>44</v>
      </c>
      <c r="F395" s="2" t="s">
        <v>15</v>
      </c>
      <c r="G395" s="2" t="s">
        <v>1225</v>
      </c>
      <c r="H395" s="2" t="s">
        <v>729</v>
      </c>
      <c r="I395" s="3" t="str">
        <f>IFERROR(__xludf.DUMMYFUNCTION("GOOGLETRANSLATE(C395,""fr"",""en"")"),"laborious customer service, no monitoring of requests, reimbursements. I wanted to change the formula, I cannot, terminate, I cannot, I trapped these incompetent, no more no less. I strongly advise against")</f>
        <v>laborious customer service, no monitoring of requests, reimbursements. I wanted to change the formula, I cannot, terminate, I cannot, I trapped these incompetent, no more no less. I strongly advise against</v>
      </c>
    </row>
    <row r="396" ht="15.75" customHeight="1">
      <c r="A396" s="2">
        <v>2.0</v>
      </c>
      <c r="B396" s="2" t="s">
        <v>1226</v>
      </c>
      <c r="C396" s="2" t="s">
        <v>1227</v>
      </c>
      <c r="D396" s="2" t="s">
        <v>102</v>
      </c>
      <c r="E396" s="2" t="s">
        <v>14</v>
      </c>
      <c r="F396" s="2" t="s">
        <v>15</v>
      </c>
      <c r="G396" s="2" t="s">
        <v>140</v>
      </c>
      <c r="H396" s="2" t="s">
        <v>85</v>
      </c>
      <c r="I396" s="3" t="str">
        <f>IFERROR(__xludf.DUMMYFUNCTION("GOOGLETRANSLATE(C396,""fr"",""en"")"),"Hello.
I have been at the MAAF for 22 years, for my car insurance.
4 vehicles.
I have absolutely never had a problem.
No declaration of a claim.
Still in the same agency from the start ""Maaf Tasdon in La Rochelle"".
In July me, unfortunately, I was"&amp;" robbed of my 2001 Audi A6. An old car, maintained and clean. They did not want to operate the insurance, because lack of confidence !!! Surely.
The gendarmerie concluded well after investigation.
Flight insurance ???? for what to do?
For nothing.
We "&amp;"are very much on it.
Avoid the maaf. Cordially
")</f>
        <v>Hello.
I have been at the MAAF for 22 years, for my car insurance.
4 vehicles.
I have absolutely never had a problem.
No declaration of a claim.
Still in the same agency from the start "Maaf Tasdon in La Rochelle".
In July me, unfortunately, I was robbed of my 2001 Audi A6. An old car, maintained and clean. They did not want to operate the insurance, because lack of confidence !!! Surely.
The gendarmerie concluded well after investigation.
Flight insurance ???? for what to do?
For nothing.
We are very much on it.
Avoid the maaf. Cordially
</v>
      </c>
    </row>
    <row r="397" ht="15.75" customHeight="1">
      <c r="A397" s="2">
        <v>2.0</v>
      </c>
      <c r="B397" s="2" t="s">
        <v>1228</v>
      </c>
      <c r="C397" s="2" t="s">
        <v>1229</v>
      </c>
      <c r="D397" s="2" t="s">
        <v>228</v>
      </c>
      <c r="E397" s="2" t="s">
        <v>14</v>
      </c>
      <c r="F397" s="2" t="s">
        <v>15</v>
      </c>
      <c r="G397" s="2" t="s">
        <v>1230</v>
      </c>
      <c r="H397" s="2" t="s">
        <v>247</v>
      </c>
      <c r="I397" s="3" t="str">
        <f>IFERROR(__xludf.DUMMYFUNCTION("GOOGLETRANSLATE(C397,""fr"",""en"")"),"AXA customer service is a disaster in the example I will relate here.
Contract management is just a joke (!!!).
For example, you change your contact details following a move, on your customer area and you confirm this by mail at the headquarters ... and"&amp;" you never receive the green card (!!!). Yes, because the green card of the ""Clic and Go"" contract can only be published at the previous address ... explains you (!!).
If you want to receive your green card, we explain that you have to change your offe"&amp;"r, and take ""my car"". But it is managed in an agency, more by internet.
Meanwhile, without the up -to -date insurance coupon, take a fine of 35.00 euros.
Also, you try to find a solution, and take your pain in patience.
Forced to find the outcome by "&amp;"agreeing to change your contract, decide to recall customer service. They always refuse to send you the green card, although you have perfectly paid your annual membership ... and we explain that as a business manager, you will have the privilege of havin"&amp;"g to go to the agency, that the You can't do anything for you on the phone. There is something to lose all mastery !!
I paid, I take fines and still have no solution.
Service at Axa is a shame, it's sadly bad! AXA is to avoid!
I expect the call of a ma"&amp;"nager, without conviction.")</f>
        <v>AXA customer service is a disaster in the example I will relate here.
Contract management is just a joke (!!!).
For example, you change your contact details following a move, on your customer area and you confirm this by mail at the headquarters ... and you never receive the green card (!!!). Yes, because the green card of the "Clic and Go" contract can only be published at the previous address ... explains you (!!).
If you want to receive your green card, we explain that you have to change your offer, and take "my car". But it is managed in an agency, more by internet.
Meanwhile, without the up -to -date insurance coupon, take a fine of 35.00 euros.
Also, you try to find a solution, and take your pain in patience.
Forced to find the outcome by agreeing to change your contract, decide to recall customer service. They always refuse to send you the green card, although you have perfectly paid your annual membership ... and we explain that as a business manager, you will have the privilege of having to go to the agency, that the You can't do anything for you on the phone. There is something to lose all mastery !!
I paid, I take fines and still have no solution.
Service at Axa is a shame, it's sadly bad! AXA is to avoid!
I expect the call of a manager, without conviction.</v>
      </c>
    </row>
    <row r="398" ht="15.75" customHeight="1">
      <c r="A398" s="2">
        <v>4.0</v>
      </c>
      <c r="B398" s="2" t="s">
        <v>1231</v>
      </c>
      <c r="C398" s="2" t="s">
        <v>1232</v>
      </c>
      <c r="D398" s="2" t="s">
        <v>48</v>
      </c>
      <c r="E398" s="2" t="s">
        <v>14</v>
      </c>
      <c r="F398" s="2" t="s">
        <v>15</v>
      </c>
      <c r="G398" s="2" t="s">
        <v>598</v>
      </c>
      <c r="H398" s="2" t="s">
        <v>99</v>
      </c>
      <c r="I398" s="3" t="str">
        <f>IFERROR(__xludf.DUMMYFUNCTION("GOOGLETRANSLATE(C398,""fr"",""en"")"),"Good value for money at the service level.
I am satisfied at the moment, since I have not had claims. So everything went well.
Cordially
Luis Antunes")</f>
        <v>Good value for money at the service level.
I am satisfied at the moment, since I have not had claims. So everything went well.
Cordially
Luis Antunes</v>
      </c>
    </row>
    <row r="399" ht="15.75" customHeight="1">
      <c r="A399" s="2">
        <v>3.0</v>
      </c>
      <c r="B399" s="2" t="s">
        <v>1233</v>
      </c>
      <c r="C399" s="2" t="s">
        <v>1234</v>
      </c>
      <c r="D399" s="2" t="s">
        <v>53</v>
      </c>
      <c r="E399" s="2" t="s">
        <v>44</v>
      </c>
      <c r="F399" s="2" t="s">
        <v>15</v>
      </c>
      <c r="G399" s="2" t="s">
        <v>1235</v>
      </c>
      <c r="H399" s="2" t="s">
        <v>85</v>
      </c>
      <c r="I399" s="3" t="str">
        <f>IFERROR(__xludf.DUMMYFUNCTION("GOOGLETRANSLATE(C399,""fr"",""en"")"),"Registered since 2011 to this mutual insurance company having moved in 2019 for a change of department I am asked for two months of evidence (telephone or EDF only sent in October 2019 with evidence including one of my parents -in -law and one of my compa"&amp;"ny (not taken into account) ) and the worst has therefore arrived for my 2020 card, I had the right to two provisional cards (from February to March and July to August) (and again you have to set up the sound of the voice to have it) and For my final card"&amp;" I finally received it Saturday September 5, 2020 when asking in January ...... for the year 2020 .....
I do not know what to say about this mutual, advice run away if you count to move (on the other hand the levy are always made on the right date ......"&amp;".. !!!!) !!!!")</f>
        <v>Registered since 2011 to this mutual insurance company having moved in 2019 for a change of department I am asked for two months of evidence (telephone or EDF only sent in October 2019 with evidence including one of my parents -in -law and one of my company (not taken into account) ) and the worst has therefore arrived for my 2020 card, I had the right to two provisional cards (from February to March and July to August) (and again you have to set up the sound of the voice to have it) and For my final card I finally received it Saturday September 5, 2020 when asking in January ...... for the year 2020 .....
I do not know what to say about this mutual, advice run away if you count to move (on the other hand the levy are always made on the right date ........ !!!!) !!!!</v>
      </c>
    </row>
    <row r="400" ht="15.75" customHeight="1">
      <c r="A400" s="2">
        <v>4.0</v>
      </c>
      <c r="B400" s="2" t="s">
        <v>1236</v>
      </c>
      <c r="C400" s="2" t="s">
        <v>1237</v>
      </c>
      <c r="D400" s="2" t="s">
        <v>13</v>
      </c>
      <c r="E400" s="2" t="s">
        <v>14</v>
      </c>
      <c r="F400" s="2" t="s">
        <v>15</v>
      </c>
      <c r="G400" s="2" t="s">
        <v>1238</v>
      </c>
      <c r="H400" s="2" t="s">
        <v>99</v>
      </c>
      <c r="I400" s="3" t="str">
        <f>IFERROR(__xludf.DUMMYFUNCTION("GOOGLETRANSLATE(C400,""fr"",""en"")"),"Very correct price, very pleasant customer service and the advisor I had in such was very clear in his explanations, I was able to take advantage of a sponsorship offer")</f>
        <v>Very correct price, very pleasant customer service and the advisor I had in such was very clear in his explanations, I was able to take advantage of a sponsorship offer</v>
      </c>
    </row>
    <row r="401" ht="15.75" customHeight="1">
      <c r="A401" s="2">
        <v>4.0</v>
      </c>
      <c r="B401" s="2" t="s">
        <v>1239</v>
      </c>
      <c r="C401" s="2" t="s">
        <v>1240</v>
      </c>
      <c r="D401" s="2" t="s">
        <v>48</v>
      </c>
      <c r="E401" s="2" t="s">
        <v>14</v>
      </c>
      <c r="F401" s="2" t="s">
        <v>15</v>
      </c>
      <c r="G401" s="2" t="s">
        <v>1241</v>
      </c>
      <c r="H401" s="2" t="s">
        <v>50</v>
      </c>
      <c r="I401" s="3" t="str">
        <f>IFERROR(__xludf.DUMMYFUNCTION("GOOGLETRANSLATE(C401,""fr"",""en"")"),"Effective insurance with listening fairly easy to use. I am still awaiting a refund for a terminated contract or I am a refund")</f>
        <v>Effective insurance with listening fairly easy to use. I am still awaiting a refund for a terminated contract or I am a refund</v>
      </c>
    </row>
    <row r="402" ht="15.75" customHeight="1">
      <c r="A402" s="2">
        <v>3.0</v>
      </c>
      <c r="B402" s="2" t="s">
        <v>1242</v>
      </c>
      <c r="C402" s="2" t="s">
        <v>1243</v>
      </c>
      <c r="D402" s="2" t="s">
        <v>48</v>
      </c>
      <c r="E402" s="2" t="s">
        <v>14</v>
      </c>
      <c r="F402" s="2" t="s">
        <v>15</v>
      </c>
      <c r="G402" s="2" t="s">
        <v>1244</v>
      </c>
      <c r="H402" s="2" t="s">
        <v>29</v>
      </c>
      <c r="I402" s="3" t="str">
        <f>IFERROR(__xludf.DUMMYFUNCTION("GOOGLETRANSLATE(C402,""fr"",""en"")"),"Top navigation and ease of the service of use.
A little expensive price for a third party insured but correct compared to those of competitors. satisfied overall
")</f>
        <v>Top navigation and ease of the service of use.
A little expensive price for a third party insured but correct compared to those of competitors. satisfied overall
</v>
      </c>
    </row>
    <row r="403" ht="15.75" customHeight="1">
      <c r="A403" s="2">
        <v>4.0</v>
      </c>
      <c r="B403" s="2" t="s">
        <v>1245</v>
      </c>
      <c r="C403" s="2" t="s">
        <v>1246</v>
      </c>
      <c r="D403" s="2" t="s">
        <v>126</v>
      </c>
      <c r="E403" s="2" t="s">
        <v>127</v>
      </c>
      <c r="F403" s="2" t="s">
        <v>15</v>
      </c>
      <c r="G403" s="2" t="s">
        <v>369</v>
      </c>
      <c r="H403" s="2" t="s">
        <v>50</v>
      </c>
      <c r="I403" s="3" t="str">
        <f>IFERROR(__xludf.DUMMYFUNCTION("GOOGLETRANSLATE(C403,""fr"",""en"")"),"Fast and practical service, fairly advantageous price. To see in time and 3n case of incident but I trust the reputation of the insurer. Satisfied for the moment")</f>
        <v>Fast and practical service, fairly advantageous price. To see in time and 3n case of incident but I trust the reputation of the insurer. Satisfied for the moment</v>
      </c>
    </row>
    <row r="404" ht="15.75" customHeight="1">
      <c r="A404" s="2">
        <v>4.0</v>
      </c>
      <c r="B404" s="2" t="s">
        <v>1247</v>
      </c>
      <c r="C404" s="2" t="s">
        <v>1248</v>
      </c>
      <c r="D404" s="2" t="s">
        <v>48</v>
      </c>
      <c r="E404" s="2" t="s">
        <v>14</v>
      </c>
      <c r="F404" s="2" t="s">
        <v>15</v>
      </c>
      <c r="G404" s="2" t="s">
        <v>20</v>
      </c>
      <c r="H404" s="2" t="s">
        <v>21</v>
      </c>
      <c r="I404" s="3" t="str">
        <f>IFERROR(__xludf.DUMMYFUNCTION("GOOGLETRANSLATE(C404,""fr"",""en"")"),"I am satisfied with the reception price service that was done to change my contract
The person who answered was very clear and very nice
I recommend")</f>
        <v>I am satisfied with the reception price service that was done to change my contract
The person who answered was very clear and very nice
I recommend</v>
      </c>
    </row>
    <row r="405" ht="15.75" customHeight="1">
      <c r="A405" s="2">
        <v>2.0</v>
      </c>
      <c r="B405" s="2" t="s">
        <v>1249</v>
      </c>
      <c r="C405" s="2" t="s">
        <v>1250</v>
      </c>
      <c r="D405" s="2" t="s">
        <v>176</v>
      </c>
      <c r="E405" s="2" t="s">
        <v>285</v>
      </c>
      <c r="F405" s="2" t="s">
        <v>15</v>
      </c>
      <c r="G405" s="2" t="s">
        <v>542</v>
      </c>
      <c r="H405" s="2" t="s">
        <v>89</v>
      </c>
      <c r="I405" s="3" t="str">
        <f>IFERROR(__xludf.DUMMYFUNCTION("GOOGLETRANSLATE(C405,""fr"",""en"")"),"I have almost all my contracts at the Macif. I wanted to take stock with an employee of Brignoles Mme Para not kind at all and in addition know nothing about the contracts.
I ask him for the amount of the consequence package in the event of a water leak "&amp;"because if you do not after the repairs are not reimbursed just the damage !! She was forced to call the seat!
Regarding Saretec everything was refused lightning no. Not even looked at the case whose electronic card was burnt.
")</f>
        <v>I have almost all my contracts at the Macif. I wanted to take stock with an employee of Brignoles Mme Para not kind at all and in addition know nothing about the contracts.
I ask him for the amount of the consequence package in the event of a water leak because if you do not after the repairs are not reimbursed just the damage !! She was forced to call the seat!
Regarding Saretec everything was refused lightning no. Not even looked at the case whose electronic card was burnt.
</v>
      </c>
    </row>
    <row r="406" ht="15.75" customHeight="1">
      <c r="A406" s="2">
        <v>4.0</v>
      </c>
      <c r="B406" s="2" t="s">
        <v>1251</v>
      </c>
      <c r="C406" s="2" t="s">
        <v>1252</v>
      </c>
      <c r="D406" s="2" t="s">
        <v>28</v>
      </c>
      <c r="E406" s="2" t="s">
        <v>14</v>
      </c>
      <c r="F406" s="2" t="s">
        <v>15</v>
      </c>
      <c r="G406" s="2" t="s">
        <v>1253</v>
      </c>
      <c r="H406" s="2" t="s">
        <v>99</v>
      </c>
      <c r="I406" s="3" t="str">
        <f>IFERROR(__xludf.DUMMYFUNCTION("GOOGLETRANSLATE(C406,""fr"",""en"")"),"I always really appreciate telephone contacts with your services. People are always very kind, clear in their explanations and never take advantage of it to push for the purchase.")</f>
        <v>I always really appreciate telephone contacts with your services. People are always very kind, clear in their explanations and never take advantage of it to push for the purchase.</v>
      </c>
    </row>
    <row r="407" ht="15.75" customHeight="1">
      <c r="A407" s="2">
        <v>1.0</v>
      </c>
      <c r="B407" s="2" t="s">
        <v>1254</v>
      </c>
      <c r="C407" s="2" t="s">
        <v>1255</v>
      </c>
      <c r="D407" s="2" t="s">
        <v>167</v>
      </c>
      <c r="E407" s="2" t="s">
        <v>33</v>
      </c>
      <c r="F407" s="2" t="s">
        <v>15</v>
      </c>
      <c r="G407" s="2" t="s">
        <v>1256</v>
      </c>
      <c r="H407" s="2" t="s">
        <v>60</v>
      </c>
      <c r="I407" s="3" t="str">
        <f>IFERROR(__xludf.DUMMYFUNCTION("GOOGLETRANSLATE(C407,""fr"",""en"")"),"Retirement by capitalization subscribed to them. After request for total redemption for category 2 disability, they block to keep the money and continue the samples! 190 euros per month, while I am in trouble! They are silent, pretend not to have received"&amp;" my recommended with A.R. this bears a name in 3 letters which begins with a ""V"". To flee at all costs!")</f>
        <v>Retirement by capitalization subscribed to them. After request for total redemption for category 2 disability, they block to keep the money and continue the samples! 190 euros per month, while I am in trouble! They are silent, pretend not to have received my recommended with A.R. this bears a name in 3 letters which begins with a "V". To flee at all costs!</v>
      </c>
    </row>
    <row r="408" ht="15.75" customHeight="1">
      <c r="A408" s="2">
        <v>1.0</v>
      </c>
      <c r="B408" s="2" t="s">
        <v>1257</v>
      </c>
      <c r="C408" s="2" t="s">
        <v>1258</v>
      </c>
      <c r="D408" s="2" t="s">
        <v>53</v>
      </c>
      <c r="E408" s="2" t="s">
        <v>44</v>
      </c>
      <c r="F408" s="2" t="s">
        <v>15</v>
      </c>
      <c r="G408" s="2" t="s">
        <v>1259</v>
      </c>
      <c r="H408" s="2" t="s">
        <v>612</v>
      </c>
      <c r="I408" s="3" t="str">
        <f>IFERROR(__xludf.DUMMYFUNCTION("GOOGLETRANSLATE(C408,""fr"",""en"")"),"Do not respond to the online request and by such, since the start of the subscription to have the reimbursement statement by mail. I have never received anything ...")</f>
        <v>Do not respond to the online request and by such, since the start of the subscription to have the reimbursement statement by mail. I have never received anything ...</v>
      </c>
    </row>
    <row r="409" ht="15.75" customHeight="1">
      <c r="A409" s="2">
        <v>1.0</v>
      </c>
      <c r="B409" s="2" t="s">
        <v>1260</v>
      </c>
      <c r="C409" s="2" t="s">
        <v>1261</v>
      </c>
      <c r="D409" s="2" t="s">
        <v>48</v>
      </c>
      <c r="E409" s="2" t="s">
        <v>14</v>
      </c>
      <c r="F409" s="2" t="s">
        <v>15</v>
      </c>
      <c r="G409" s="2" t="s">
        <v>1262</v>
      </c>
      <c r="H409" s="2" t="s">
        <v>535</v>
      </c>
      <c r="I409" s="3" t="str">
        <f>IFERROR(__xludf.DUMMYFUNCTION("GOOGLETRANSLATE(C409,""fr"",""en"")"),"An excessive increase this year, for no reason and without any claim in 2016! So more than 250 euros !!!")</f>
        <v>An excessive increase this year, for no reason and without any claim in 2016! So more than 250 euros !!!</v>
      </c>
    </row>
    <row r="410" ht="15.75" customHeight="1">
      <c r="A410" s="2">
        <v>2.0</v>
      </c>
      <c r="B410" s="2" t="s">
        <v>1263</v>
      </c>
      <c r="C410" s="2" t="s">
        <v>1264</v>
      </c>
      <c r="D410" s="2" t="s">
        <v>48</v>
      </c>
      <c r="E410" s="2" t="s">
        <v>14</v>
      </c>
      <c r="F410" s="2" t="s">
        <v>15</v>
      </c>
      <c r="G410" s="2" t="s">
        <v>1265</v>
      </c>
      <c r="H410" s="2" t="s">
        <v>173</v>
      </c>
      <c r="I410" s="3" t="str">
        <f>IFERROR(__xludf.DUMMYFUNCTION("GOOGLETRANSLATE(C410,""fr"",""en"")"),"At market price, but not the best price found on the net.
For a second vehicle, the offer should take into account the customer's seniority and fidelite. Otherwise it leads to considering changing insurer every year and for each contract.
")</f>
        <v>At market price, but not the best price found on the net.
For a second vehicle, the offer should take into account the customer's seniority and fidelite. Otherwise it leads to considering changing insurer every year and for each contract.
</v>
      </c>
    </row>
    <row r="411" ht="15.75" customHeight="1">
      <c r="A411" s="2">
        <v>5.0</v>
      </c>
      <c r="B411" s="2" t="s">
        <v>1266</v>
      </c>
      <c r="C411" s="2" t="s">
        <v>1267</v>
      </c>
      <c r="D411" s="2" t="s">
        <v>48</v>
      </c>
      <c r="E411" s="2" t="s">
        <v>14</v>
      </c>
      <c r="F411" s="2" t="s">
        <v>15</v>
      </c>
      <c r="G411" s="2" t="s">
        <v>1268</v>
      </c>
      <c r="H411" s="2" t="s">
        <v>50</v>
      </c>
      <c r="I411" s="3" t="str">
        <f>IFERROR(__xludf.DUMMYFUNCTION("GOOGLETRANSLATE(C411,""fr"",""en"")"),"Very well the transaction everything went well thank you very much. The people were very pleasant and friendly on the phone
I recommend everyone to this insurance")</f>
        <v>Very well the transaction everything went well thank you very much. The people were very pleasant and friendly on the phone
I recommend everyone to this insurance</v>
      </c>
    </row>
    <row r="412" ht="15.75" customHeight="1">
      <c r="A412" s="2">
        <v>1.0</v>
      </c>
      <c r="B412" s="2" t="s">
        <v>1269</v>
      </c>
      <c r="C412" s="2" t="s">
        <v>1270</v>
      </c>
      <c r="D412" s="2" t="s">
        <v>787</v>
      </c>
      <c r="E412" s="2" t="s">
        <v>44</v>
      </c>
      <c r="F412" s="2" t="s">
        <v>15</v>
      </c>
      <c r="G412" s="2" t="s">
        <v>1271</v>
      </c>
      <c r="H412" s="2" t="s">
        <v>118</v>
      </c>
      <c r="I412" s="3" t="str">
        <f>IFERROR(__xludf.DUMMYFUNCTION("GOOGLETRANSLATE(C412,""fr"",""en"")"),"A shame. It's been almost a year since I was no longer affiliated with Mercer but like this I have not been insufficient my new mutual insurance
I am luxury of service in service.
To send people to surcharged numbers you are champions but in the meantim"&amp;"e my problem has still not been solved and for a year.
")</f>
        <v>A shame. It's been almost a year since I was no longer affiliated with Mercer but like this I have not been insufficient my new mutual insurance
I am luxury of service in service.
To send people to surcharged numbers you are champions but in the meantime my problem has still not been solved and for a year.
</v>
      </c>
    </row>
    <row r="413" ht="15.75" customHeight="1">
      <c r="A413" s="2">
        <v>4.0</v>
      </c>
      <c r="B413" s="2" t="s">
        <v>1272</v>
      </c>
      <c r="C413" s="2" t="s">
        <v>1273</v>
      </c>
      <c r="D413" s="2" t="s">
        <v>13</v>
      </c>
      <c r="E413" s="2" t="s">
        <v>14</v>
      </c>
      <c r="F413" s="2" t="s">
        <v>15</v>
      </c>
      <c r="G413" s="2" t="s">
        <v>698</v>
      </c>
      <c r="H413" s="2" t="s">
        <v>21</v>
      </c>
      <c r="I413" s="3" t="str">
        <f>IFERROR(__xludf.DUMMYFUNCTION("GOOGLETRANSLATE(C413,""fr"",""en"")"),"The first internet contact was simple and quick, the telephone contact with the advisor was fast efficient and very friendly and professional")</f>
        <v>The first internet contact was simple and quick, the telephone contact with the advisor was fast efficient and very friendly and professional</v>
      </c>
    </row>
    <row r="414" ht="15.75" customHeight="1">
      <c r="A414" s="2">
        <v>5.0</v>
      </c>
      <c r="B414" s="2" t="s">
        <v>1274</v>
      </c>
      <c r="C414" s="2" t="s">
        <v>1275</v>
      </c>
      <c r="D414" s="2" t="s">
        <v>13</v>
      </c>
      <c r="E414" s="2" t="s">
        <v>14</v>
      </c>
      <c r="F414" s="2" t="s">
        <v>15</v>
      </c>
      <c r="G414" s="2" t="s">
        <v>73</v>
      </c>
      <c r="H414" s="2" t="s">
        <v>25</v>
      </c>
      <c r="I414" s="3" t="str">
        <f>IFERROR(__xludf.DUMMYFUNCTION("GOOGLETRANSLATE(C414,""fr"",""en"")"),"Very satisfied with the entire contract thank you for your welcome and fast and efficient management. I will recommend your insurance to my loved ones")</f>
        <v>Very satisfied with the entire contract thank you for your welcome and fast and efficient management. I will recommend your insurance to my loved ones</v>
      </c>
    </row>
    <row r="415" ht="15.75" customHeight="1">
      <c r="A415" s="2">
        <v>4.0</v>
      </c>
      <c r="B415" s="2" t="s">
        <v>1276</v>
      </c>
      <c r="C415" s="2" t="s">
        <v>1277</v>
      </c>
      <c r="D415" s="2" t="s">
        <v>176</v>
      </c>
      <c r="E415" s="2" t="s">
        <v>14</v>
      </c>
      <c r="F415" s="2" t="s">
        <v>15</v>
      </c>
      <c r="G415" s="2" t="s">
        <v>1278</v>
      </c>
      <c r="H415" s="2" t="s">
        <v>173</v>
      </c>
      <c r="I415" s="3" t="str">
        <f>IFERROR(__xludf.DUMMYFUNCTION("GOOGLETRANSLATE(C415,""fr"",""en"")"),"First insured for my car since 1968, I have over the years added all my contracts and in particular the multi -risk housing.
I am fully satisfied and especially for the speed of the regulation of claims.
Only the MAAF gave me a more interesting proposal"&amp;", but I remain faithful to the Macif.")</f>
        <v>First insured for my car since 1968, I have over the years added all my contracts and in particular the multi -risk housing.
I am fully satisfied and especially for the speed of the regulation of claims.
Only the MAAF gave me a more interesting proposal, but I remain faithful to the Macif.</v>
      </c>
    </row>
    <row r="416" ht="15.75" customHeight="1">
      <c r="A416" s="2">
        <v>4.0</v>
      </c>
      <c r="B416" s="2" t="s">
        <v>1279</v>
      </c>
      <c r="C416" s="2" t="s">
        <v>1280</v>
      </c>
      <c r="D416" s="2" t="s">
        <v>48</v>
      </c>
      <c r="E416" s="2" t="s">
        <v>14</v>
      </c>
      <c r="F416" s="2" t="s">
        <v>15</v>
      </c>
      <c r="G416" s="2" t="s">
        <v>1281</v>
      </c>
      <c r="H416" s="2" t="s">
        <v>67</v>
      </c>
      <c r="I416" s="3" t="str">
        <f>IFERROR(__xludf.DUMMYFUNCTION("GOOGLETRANSLATE(C416,""fr"",""en"")"),"I am satisfied with the good quality /price service service
Quick response to our requests all to satisfy our concerns
You put yourself in four for us all requests is processed immediately")</f>
        <v>I am satisfied with the good quality /price service service
Quick response to our requests all to satisfy our concerns
You put yourself in four for us all requests is processed immediately</v>
      </c>
    </row>
    <row r="417" ht="15.75" customHeight="1">
      <c r="A417" s="2">
        <v>4.0</v>
      </c>
      <c r="B417" s="2" t="s">
        <v>1282</v>
      </c>
      <c r="C417" s="2" t="s">
        <v>1283</v>
      </c>
      <c r="D417" s="2" t="s">
        <v>48</v>
      </c>
      <c r="E417" s="2" t="s">
        <v>14</v>
      </c>
      <c r="F417" s="2" t="s">
        <v>15</v>
      </c>
      <c r="G417" s="2" t="s">
        <v>1202</v>
      </c>
      <c r="H417" s="2" t="s">
        <v>50</v>
      </c>
      <c r="I417" s="3" t="str">
        <f>IFERROR(__xludf.DUMMYFUNCTION("GOOGLETRANSLATE(C417,""fr"",""en"")"),"very easy. To recommend without problem
Nice sponsorship that encourages to subscribe
I'm waiting for the rest to be sure of my opinion
Nothing to report particular")</f>
        <v>very easy. To recommend without problem
Nice sponsorship that encourages to subscribe
I'm waiting for the rest to be sure of my opinion
Nothing to report particular</v>
      </c>
    </row>
    <row r="418" ht="15.75" customHeight="1">
      <c r="A418" s="2">
        <v>2.0</v>
      </c>
      <c r="B418" s="2" t="s">
        <v>1284</v>
      </c>
      <c r="C418" s="2" t="s">
        <v>1285</v>
      </c>
      <c r="D418" s="2" t="s">
        <v>83</v>
      </c>
      <c r="E418" s="2" t="s">
        <v>285</v>
      </c>
      <c r="F418" s="2" t="s">
        <v>15</v>
      </c>
      <c r="G418" s="2" t="s">
        <v>467</v>
      </c>
      <c r="H418" s="2" t="s">
        <v>468</v>
      </c>
      <c r="I418" s="3" t="str">
        <f>IFERROR(__xludf.DUMMYFUNCTION("GOOGLETRANSLATE(C418,""fr"",""en"")"),"We have been insured for 25 years at the Matmut, we are very disappointed with this insurance, we have recently had a fireplace following a lack of upgrading of the pellet stove, it has deposited The results two years ago and to top it all he had no insur"&amp;"ance. Insurance today makes us understand that suddenly all costs will be our responsibility. The house has not burned (fortunately fortunately for us as humans ...) so we had to turn on legal protection, except that this protection absolutely reimburses "&amp;"anything that they make us understand. We had to manage to find a professional to ask for a damage quote, they even asked us to arrange us possibly amicable with the said concerned but which is no longer to this day !! they do not even have Taken up to of"&amp;"fer us companies !!! And even better to bring an expert to really know where the problem came from! We feared until this day when we are told bein no it will be up to you. They know how to collect our contributions every month but when it comes to helping"&amp;" the insurer financially that is another matter !!! It is shameful, we are disgusted with this insurance that do everything to discourage us so as not to be compensated. What are the guarantee funds for then? La Matmut She says says advertising, she assur"&amp;"es nothing at all yes !!!!")</f>
        <v>We have been insured for 25 years at the Matmut, we are very disappointed with this insurance, we have recently had a fireplace following a lack of upgrading of the pellet stove, it has deposited The results two years ago and to top it all he had no insurance. Insurance today makes us understand that suddenly all costs will be our responsibility. The house has not burned (fortunately fortunately for us as humans ...) so we had to turn on legal protection, except that this protection absolutely reimburses anything that they make us understand. We had to manage to find a professional to ask for a damage quote, they even asked us to arrange us possibly amicable with the said concerned but which is no longer to this day !! they do not even have Taken up to offer us companies !!! And even better to bring an expert to really know where the problem came from! We feared until this day when we are told bein no it will be up to you. They know how to collect our contributions every month but when it comes to helping the insurer financially that is another matter !!! It is shameful, we are disgusted with this insurance that do everything to discourage us so as not to be compensated. What are the guarantee funds for then? La Matmut She says says advertising, she assures nothing at all yes !!!!</v>
      </c>
    </row>
    <row r="419" ht="15.75" customHeight="1">
      <c r="A419" s="2">
        <v>2.0</v>
      </c>
      <c r="B419" s="2" t="s">
        <v>1286</v>
      </c>
      <c r="C419" s="2" t="s">
        <v>1287</v>
      </c>
      <c r="D419" s="2" t="s">
        <v>284</v>
      </c>
      <c r="E419" s="2" t="s">
        <v>285</v>
      </c>
      <c r="F419" s="2" t="s">
        <v>15</v>
      </c>
      <c r="G419" s="2" t="s">
        <v>1288</v>
      </c>
      <c r="H419" s="2" t="s">
        <v>589</v>
      </c>
      <c r="I419" s="3" t="str">
        <f>IFERROR(__xludf.DUMMYFUNCTION("GOOGLETRANSLATE(C419,""fr"",""en"")"),"SOGESSUR has resilled my contract on the grounds that the risk was inadequate to the company's policy. This without any disaster exists but only a security perimeter which must be lifted after the current containment and despite the proposed documents.")</f>
        <v>SOGESSUR has resilled my contract on the grounds that the risk was inadequate to the company's policy. This without any disaster exists but only a security perimeter which must be lifted after the current containment and despite the proposed documents.</v>
      </c>
    </row>
    <row r="420" ht="15.75" customHeight="1">
      <c r="A420" s="2">
        <v>4.0</v>
      </c>
      <c r="B420" s="2" t="s">
        <v>1289</v>
      </c>
      <c r="C420" s="2" t="s">
        <v>1290</v>
      </c>
      <c r="D420" s="2" t="s">
        <v>330</v>
      </c>
      <c r="E420" s="2" t="s">
        <v>38</v>
      </c>
      <c r="F420" s="2" t="s">
        <v>15</v>
      </c>
      <c r="G420" s="2" t="s">
        <v>848</v>
      </c>
      <c r="H420" s="2" t="s">
        <v>67</v>
      </c>
      <c r="I420" s="3" t="str">
        <f>IFERROR(__xludf.DUMMYFUNCTION("GOOGLETRANSLATE(C420,""fr"",""en"")"),"First of all, you have to understand that this is a mutual. But still the subscription is a bit expensive. I have been affiliated with this mutual since 1972, I have never had any problems. I always had an answer to my questions with kind staff")</f>
        <v>First of all, you have to understand that this is a mutual. But still the subscription is a bit expensive. I have been affiliated with this mutual since 1972, I have never had any problems. I always had an answer to my questions with kind staff</v>
      </c>
    </row>
    <row r="421" ht="15.75" customHeight="1">
      <c r="A421" s="2">
        <v>1.0</v>
      </c>
      <c r="B421" s="2" t="s">
        <v>1291</v>
      </c>
      <c r="C421" s="2" t="s">
        <v>1292</v>
      </c>
      <c r="D421" s="2" t="s">
        <v>296</v>
      </c>
      <c r="E421" s="2" t="s">
        <v>14</v>
      </c>
      <c r="F421" s="2" t="s">
        <v>15</v>
      </c>
      <c r="G421" s="2" t="s">
        <v>967</v>
      </c>
      <c r="H421" s="2" t="s">
        <v>477</v>
      </c>
      <c r="I421" s="3" t="str">
        <f>IFERROR(__xludf.DUMMYFUNCTION("GOOGLETRANSLATE(C421,""fr"",""en"")"),"Insured all risks Max for 1 year by receiving my invoice I see 5% more while if you ask for a new quote for the same warranty is it cheaper?")</f>
        <v>Insured all risks Max for 1 year by receiving my invoice I see 5% more while if you ask for a new quote for the same warranty is it cheaper?</v>
      </c>
    </row>
    <row r="422" ht="15.75" customHeight="1">
      <c r="A422" s="2">
        <v>5.0</v>
      </c>
      <c r="B422" s="2" t="s">
        <v>1293</v>
      </c>
      <c r="C422" s="2" t="s">
        <v>1294</v>
      </c>
      <c r="D422" s="2" t="s">
        <v>372</v>
      </c>
      <c r="E422" s="2" t="s">
        <v>127</v>
      </c>
      <c r="F422" s="2" t="s">
        <v>15</v>
      </c>
      <c r="G422" s="2" t="s">
        <v>1295</v>
      </c>
      <c r="H422" s="2" t="s">
        <v>89</v>
      </c>
      <c r="I422" s="3" t="str">
        <f>IFERROR(__xludf.DUMMYFUNCTION("GOOGLETRANSLATE(C422,""fr"",""en"")"),"We are very happy to have chosen this insurance. The signing of contracts is easy. Customer service available. The prices are correct")</f>
        <v>We are very happy to have chosen this insurance. The signing of contracts is easy. Customer service available. The prices are correct</v>
      </c>
    </row>
    <row r="423" ht="15.75" customHeight="1">
      <c r="A423" s="2">
        <v>3.0</v>
      </c>
      <c r="B423" s="2" t="s">
        <v>1296</v>
      </c>
      <c r="C423" s="2" t="s">
        <v>1297</v>
      </c>
      <c r="D423" s="2" t="s">
        <v>121</v>
      </c>
      <c r="E423" s="2" t="s">
        <v>14</v>
      </c>
      <c r="F423" s="2" t="s">
        <v>15</v>
      </c>
      <c r="G423" s="2" t="s">
        <v>1298</v>
      </c>
      <c r="H423" s="2" t="s">
        <v>472</v>
      </c>
      <c r="I423" s="3" t="str">
        <f>IFERROR(__xludf.DUMMYFUNCTION("GOOGLETRANSLATE(C423,""fr"",""en"")"),"For the moment nothing to say excellent assurance. Fast and helpful listening out peer.")</f>
        <v>For the moment nothing to say excellent assurance. Fast and helpful listening out peer.</v>
      </c>
    </row>
    <row r="424" ht="15.75" customHeight="1">
      <c r="A424" s="2">
        <v>4.0</v>
      </c>
      <c r="B424" s="2" t="s">
        <v>1299</v>
      </c>
      <c r="C424" s="2" t="s">
        <v>1300</v>
      </c>
      <c r="D424" s="2" t="s">
        <v>48</v>
      </c>
      <c r="E424" s="2" t="s">
        <v>14</v>
      </c>
      <c r="F424" s="2" t="s">
        <v>15</v>
      </c>
      <c r="G424" s="2" t="s">
        <v>89</v>
      </c>
      <c r="H424" s="2" t="s">
        <v>89</v>
      </c>
      <c r="I424" s="3" t="str">
        <f>IFERROR(__xludf.DUMMYFUNCTION("GOOGLETRANSLATE(C424,""fr"",""en"")"),"I am very satisfied with your services. Bonne support for my file. I recommend your insurance to my loved ones. I wish you a good day")</f>
        <v>I am very satisfied with your services. Bonne support for my file. I recommend your insurance to my loved ones. I wish you a good day</v>
      </c>
    </row>
    <row r="425" ht="15.75" customHeight="1">
      <c r="A425" s="2">
        <v>1.0</v>
      </c>
      <c r="B425" s="2" t="s">
        <v>1301</v>
      </c>
      <c r="C425" s="2" t="s">
        <v>1302</v>
      </c>
      <c r="D425" s="2" t="s">
        <v>155</v>
      </c>
      <c r="E425" s="2" t="s">
        <v>14</v>
      </c>
      <c r="F425" s="2" t="s">
        <v>15</v>
      </c>
      <c r="G425" s="2" t="s">
        <v>1156</v>
      </c>
      <c r="H425" s="2" t="s">
        <v>164</v>
      </c>
      <c r="I425" s="3" t="str">
        <f>IFERROR(__xludf.DUMMYFUNCTION("GOOGLETRANSLATE(C425,""fr"",""en"")"),"Auto sinister occurring on 07/30/2020 not faulty still not paid by Allianz insurance to flee after dozens of calls we walk from one manager to another it is really not top.")</f>
        <v>Auto sinister occurring on 07/30/2020 not faulty still not paid by Allianz insurance to flee after dozens of calls we walk from one manager to another it is really not top.</v>
      </c>
    </row>
    <row r="426" ht="15.75" customHeight="1">
      <c r="A426" s="2">
        <v>5.0</v>
      </c>
      <c r="B426" s="2" t="s">
        <v>1303</v>
      </c>
      <c r="C426" s="2" t="s">
        <v>1304</v>
      </c>
      <c r="D426" s="2" t="s">
        <v>48</v>
      </c>
      <c r="E426" s="2" t="s">
        <v>14</v>
      </c>
      <c r="F426" s="2" t="s">
        <v>15</v>
      </c>
      <c r="G426" s="2" t="s">
        <v>857</v>
      </c>
      <c r="H426" s="2" t="s">
        <v>50</v>
      </c>
      <c r="I426" s="3" t="str">
        <f>IFERROR(__xludf.DUMMYFUNCTION("GOOGLETRANSLATE(C426,""fr"",""en"")"),"Very very nice thank you very much for your responsiveness and your efficiency I am happy for the quality of your customer service which gave me complete satisfaction
")</f>
        <v>Very very nice thank you very much for your responsiveness and your efficiency I am happy for the quality of your customer service which gave me complete satisfaction
</v>
      </c>
    </row>
    <row r="427" ht="15.75" customHeight="1">
      <c r="A427" s="2">
        <v>4.0</v>
      </c>
      <c r="B427" s="2" t="s">
        <v>1305</v>
      </c>
      <c r="C427" s="2" t="s">
        <v>1306</v>
      </c>
      <c r="D427" s="2" t="s">
        <v>372</v>
      </c>
      <c r="E427" s="2" t="s">
        <v>127</v>
      </c>
      <c r="F427" s="2" t="s">
        <v>15</v>
      </c>
      <c r="G427" s="2" t="s">
        <v>1307</v>
      </c>
      <c r="H427" s="2" t="s">
        <v>50</v>
      </c>
      <c r="I427" s="3" t="str">
        <f>IFERROR(__xludf.DUMMYFUNCTION("GOOGLETRANSLATE(C427,""fr"",""en"")"),"This is what we are looking for in this world .... simplicity.
Thanks to the whole team for responsiveness and efficiency.
I recommend AMV without any other.")</f>
        <v>This is what we are looking for in this world .... simplicity.
Thanks to the whole team for responsiveness and efficiency.
I recommend AMV without any other.</v>
      </c>
    </row>
    <row r="428" ht="15.75" customHeight="1">
      <c r="A428" s="2">
        <v>1.0</v>
      </c>
      <c r="B428" s="2" t="s">
        <v>1308</v>
      </c>
      <c r="C428" s="2" t="s">
        <v>1309</v>
      </c>
      <c r="D428" s="2" t="s">
        <v>58</v>
      </c>
      <c r="E428" s="2" t="s">
        <v>44</v>
      </c>
      <c r="F428" s="2" t="s">
        <v>15</v>
      </c>
      <c r="G428" s="2" t="s">
        <v>933</v>
      </c>
      <c r="H428" s="2" t="s">
        <v>99</v>
      </c>
      <c r="I428" s="3" t="str">
        <f>IFERROR(__xludf.DUMMYFUNCTION("GOOGLETRANSLATE(C428,""fr"",""en"")"),"Incredible: despite the tel on the mutualist member's card, it is impossible to obtain an interlocutor via number 0 980 980 880 where the message indicates to contact the tel number carried on this card.
It's a bit boring for a person with reduced mobi"&amp;"lity who cannot go to one of the 4 Parisian agencies!
It is much easier for mutual harmony to stop only at the levy of contributions.
An unreachable mutual is rather annoying from a commercial point of view!
")</f>
        <v>Incredible: despite the tel on the mutualist member's card, it is impossible to obtain an interlocutor via number 0 980 980 880 where the message indicates to contact the tel number carried on this card.
It's a bit boring for a person with reduced mobility who cannot go to one of the 4 Parisian agencies!
It is much easier for mutual harmony to stop only at the levy of contributions.
An unreachable mutual is rather annoying from a commercial point of view!
</v>
      </c>
    </row>
    <row r="429" ht="15.75" customHeight="1">
      <c r="A429" s="2">
        <v>1.0</v>
      </c>
      <c r="B429" s="2" t="s">
        <v>1310</v>
      </c>
      <c r="C429" s="2" t="s">
        <v>1311</v>
      </c>
      <c r="D429" s="2" t="s">
        <v>43</v>
      </c>
      <c r="E429" s="2" t="s">
        <v>44</v>
      </c>
      <c r="F429" s="2" t="s">
        <v>15</v>
      </c>
      <c r="G429" s="2" t="s">
        <v>1096</v>
      </c>
      <c r="H429" s="2" t="s">
        <v>25</v>
      </c>
      <c r="I429" s="3" t="str">
        <f>IFERROR(__xludf.DUMMYFUNCTION("GOOGLETRANSLATE(C429,""fr"",""en"")"),"Mutual to flee !!! Do not subscribe !!! Loss of time and money insured without talking about your nerves. As saying the previous comments impossible to reach QQ1 The number of my advisor no longer exists ?? Optical quote Send for 2 months always no answer"&amp;" I end up paying for my pocket. Subscribed in December 2020 I can't wait to terminate. A shame of incompetence and their website is in their images it is useless !!!")</f>
        <v>Mutual to flee !!! Do not subscribe !!! Loss of time and money insured without talking about your nerves. As saying the previous comments impossible to reach QQ1 The number of my advisor no longer exists ?? Optical quote Send for 2 months always no answer I end up paying for my pocket. Subscribed in December 2020 I can't wait to terminate. A shame of incompetence and their website is in their images it is useless !!!</v>
      </c>
    </row>
    <row r="430" ht="15.75" customHeight="1">
      <c r="A430" s="2">
        <v>1.0</v>
      </c>
      <c r="B430" s="2" t="s">
        <v>1312</v>
      </c>
      <c r="C430" s="2" t="s">
        <v>1313</v>
      </c>
      <c r="D430" s="2" t="s">
        <v>58</v>
      </c>
      <c r="E430" s="2" t="s">
        <v>44</v>
      </c>
      <c r="F430" s="2" t="s">
        <v>15</v>
      </c>
      <c r="G430" s="2" t="s">
        <v>1314</v>
      </c>
      <c r="H430" s="2" t="s">
        <v>635</v>
      </c>
      <c r="I430" s="3" t="str">
        <f>IFERROR(__xludf.DUMMYFUNCTION("GOOGLETRANSLATE(C430,""fr"",""en"")"),"Two and a half years and still no full refund of what they owe us. This mutual is the worst that exists on the walk. Even their conciliator does not intervene !!! Stay the court !!!")</f>
        <v>Two and a half years and still no full refund of what they owe us. This mutual is the worst that exists on the walk. Even their conciliator does not intervene !!! Stay the court !!!</v>
      </c>
    </row>
    <row r="431" ht="15.75" customHeight="1">
      <c r="A431" s="2">
        <v>1.0</v>
      </c>
      <c r="B431" s="2" t="s">
        <v>1315</v>
      </c>
      <c r="C431" s="2" t="s">
        <v>1316</v>
      </c>
      <c r="D431" s="2" t="s">
        <v>214</v>
      </c>
      <c r="E431" s="2" t="s">
        <v>215</v>
      </c>
      <c r="F431" s="2" t="s">
        <v>15</v>
      </c>
      <c r="G431" s="2" t="s">
        <v>1268</v>
      </c>
      <c r="H431" s="2" t="s">
        <v>50</v>
      </c>
      <c r="I431" s="3" t="str">
        <f>IFERROR(__xludf.DUMMYFUNCTION("GOOGLETRANSLATE(C431,""fr"",""en"")"),"Liars .... I signed a health insurance contract for my dog ​​in which an annual refund of 25 euros for vaccinations is planned. I sent the refund request to the company. By 3 times I contacted them by email and I did not get any answers. On the other hand"&amp;" by consulting my customer area, I realize that the refund application file was closed by the company without making a refund .... I am only at the start of the contract but I intend to intend to suspend the next 2 contributions ....")</f>
        <v>Liars .... I signed a health insurance contract for my dog ​​in which an annual refund of 25 euros for vaccinations is planned. I sent the refund request to the company. By 3 times I contacted them by email and I did not get any answers. On the other hand by consulting my customer area, I realize that the refund application file was closed by the company without making a refund .... I am only at the start of the contract but I intend to intend to suspend the next 2 contributions ....</v>
      </c>
    </row>
    <row r="432" ht="15.75" customHeight="1">
      <c r="A432" s="2">
        <v>4.0</v>
      </c>
      <c r="B432" s="2" t="s">
        <v>1317</v>
      </c>
      <c r="C432" s="2" t="s">
        <v>1318</v>
      </c>
      <c r="D432" s="2" t="s">
        <v>13</v>
      </c>
      <c r="E432" s="2" t="s">
        <v>14</v>
      </c>
      <c r="F432" s="2" t="s">
        <v>15</v>
      </c>
      <c r="G432" s="2" t="s">
        <v>17</v>
      </c>
      <c r="H432" s="2" t="s">
        <v>17</v>
      </c>
      <c r="I432" s="3" t="str">
        <f>IFERROR(__xludf.DUMMYFUNCTION("GOOGLETRANSLATE(C432,""fr"",""en"")"),"My interlocutor was clear, precise and courteous. Completely professional. It's appreciated. The prices are attractive and the possibility of ensuring my son as a young driver, within 1 year, decided to get involved with the olive tree.")</f>
        <v>My interlocutor was clear, precise and courteous. Completely professional. It's appreciated. The prices are attractive and the possibility of ensuring my son as a young driver, within 1 year, decided to get involved with the olive tree.</v>
      </c>
    </row>
    <row r="433" ht="15.75" customHeight="1">
      <c r="A433" s="2">
        <v>2.0</v>
      </c>
      <c r="B433" s="2" t="s">
        <v>1319</v>
      </c>
      <c r="C433" s="2" t="s">
        <v>1320</v>
      </c>
      <c r="D433" s="2" t="s">
        <v>228</v>
      </c>
      <c r="E433" s="2" t="s">
        <v>285</v>
      </c>
      <c r="F433" s="2" t="s">
        <v>15</v>
      </c>
      <c r="G433" s="2" t="s">
        <v>1321</v>
      </c>
      <c r="H433" s="2" t="s">
        <v>477</v>
      </c>
      <c r="I433" s="3" t="str">
        <f>IFERROR(__xludf.DUMMYFUNCTION("GOOGLETRANSLATE(C433,""fr"",""en"")"),"I try to terminate my contract following a demented with my parents for 3 months and it is impossible: I continue to pay the insurance of a room or I am there: I sent 4 emails, I I sent a reccompected letter and I had them on the phone. It's no use.")</f>
        <v>I try to terminate my contract following a demented with my parents for 3 months and it is impossible: I continue to pay the insurance of a room or I am there: I sent 4 emails, I I sent a reccompected letter and I had them on the phone. It's no use.</v>
      </c>
    </row>
    <row r="434" ht="15.75" customHeight="1">
      <c r="A434" s="2">
        <v>1.0</v>
      </c>
      <c r="B434" s="2" t="s">
        <v>1322</v>
      </c>
      <c r="C434" s="2" t="s">
        <v>1323</v>
      </c>
      <c r="D434" s="2" t="s">
        <v>155</v>
      </c>
      <c r="E434" s="2" t="s">
        <v>33</v>
      </c>
      <c r="F434" s="2" t="s">
        <v>15</v>
      </c>
      <c r="G434" s="2" t="s">
        <v>1324</v>
      </c>
      <c r="H434" s="2" t="s">
        <v>25</v>
      </c>
      <c r="I434" s="3" t="str">
        <f>IFERROR(__xludf.DUMMYFUNCTION("GOOGLETRANSLATE(C434,""fr"",""en"")"),"My deceased mother had taken out life insurance contracts with Allianz Life: 2424.39 euros and 400 euros had to be paid after her death. I live abroad with my wife who bears my name and local Couriers such as electricity receipt are sent to him. Pretendin"&amp;"g that among other things neither the address of less than 6 months on my passport (certified by the consul) nor my family book (residence with my wife) could not prove my address, Allianz Life dragged for a long time to finally accept that the documents "&amp;"May be considered complete to go to payment. Still not seeing the amount on my account in early April, I contacted them and I received this response from an Employee from Allianz Life at the end of March, without any copy of the document that would indica"&amp;"te the transfer:
""I have only one settlement number: 9245725. I have no other reference because it is a specific service for transfers abroad. We had a return on 18/03 on their part telling us that the necessary would be done soon for your payment. "" W"&amp;"hat to do ?")</f>
        <v>My deceased mother had taken out life insurance contracts with Allianz Life: 2424.39 euros and 400 euros had to be paid after her death. I live abroad with my wife who bears my name and local Couriers such as electricity receipt are sent to him. Pretending that among other things neither the address of less than 6 months on my passport (certified by the consul) nor my family book (residence with my wife) could not prove my address, Allianz Life dragged for a long time to finally accept that the documents May be considered complete to go to payment. Still not seeing the amount on my account in early April, I contacted them and I received this response from an Employee from Allianz Life at the end of March, without any copy of the document that would indicate the transfer:
"I have only one settlement number: 9245725. I have no other reference because it is a specific service for transfers abroad. We had a return on 18/03 on their part telling us that the necessary would be done soon for your payment. " What to do ?</v>
      </c>
    </row>
    <row r="435" ht="15.75" customHeight="1">
      <c r="A435" s="2">
        <v>1.0</v>
      </c>
      <c r="B435" s="2" t="s">
        <v>1325</v>
      </c>
      <c r="C435" s="2" t="s">
        <v>1326</v>
      </c>
      <c r="D435" s="2" t="s">
        <v>121</v>
      </c>
      <c r="E435" s="2" t="s">
        <v>14</v>
      </c>
      <c r="F435" s="2" t="s">
        <v>15</v>
      </c>
      <c r="G435" s="2" t="s">
        <v>939</v>
      </c>
      <c r="H435" s="2" t="s">
        <v>204</v>
      </c>
      <c r="I435" s="3" t="str">
        <f>IFERROR(__xludf.DUMMYFUNCTION("GOOGLETRANSLATE(C435,""fr"",""en"")"),"MAIF invents us to be wrong and of course the penalty that goes with it! And when you ask them for information about this alleged disaster they have threw everything! Not the slightest trace! Neither the circumstances, nor even the name of the person with"&amp;" whom it said had an accident or the damage! And it only 7 years later!")</f>
        <v>MAIF invents us to be wrong and of course the penalty that goes with it! And when you ask them for information about this alleged disaster they have threw everything! Not the slightest trace! Neither the circumstances, nor even the name of the person with whom it said had an accident or the damage! And it only 7 years later!</v>
      </c>
    </row>
    <row r="436" ht="15.75" customHeight="1">
      <c r="A436" s="2">
        <v>3.0</v>
      </c>
      <c r="B436" s="2" t="s">
        <v>1327</v>
      </c>
      <c r="C436" s="2" t="s">
        <v>1328</v>
      </c>
      <c r="D436" s="2" t="s">
        <v>48</v>
      </c>
      <c r="E436" s="2" t="s">
        <v>14</v>
      </c>
      <c r="F436" s="2" t="s">
        <v>15</v>
      </c>
      <c r="G436" s="2" t="s">
        <v>1329</v>
      </c>
      <c r="H436" s="2" t="s">
        <v>67</v>
      </c>
      <c r="I436" s="3" t="str">
        <f>IFERROR(__xludf.DUMMYFUNCTION("GOOGLETRANSLATE(C436,""fr"",""en"")"),"Hello
I just registered. I do not yet have an opinion on the quality of your services. But the prices are correct.
I wish you a good day.
Daniel")</f>
        <v>Hello
I just registered. I do not yet have an opinion on the quality of your services. But the prices are correct.
I wish you a good day.
Daniel</v>
      </c>
    </row>
    <row r="437" ht="15.75" customHeight="1">
      <c r="A437" s="2">
        <v>5.0</v>
      </c>
      <c r="B437" s="2" t="s">
        <v>1330</v>
      </c>
      <c r="C437" s="2" t="s">
        <v>1331</v>
      </c>
      <c r="D437" s="2" t="s">
        <v>48</v>
      </c>
      <c r="E437" s="2" t="s">
        <v>14</v>
      </c>
      <c r="F437" s="2" t="s">
        <v>15</v>
      </c>
      <c r="G437" s="2" t="s">
        <v>160</v>
      </c>
      <c r="H437" s="2" t="s">
        <v>50</v>
      </c>
      <c r="I437" s="3" t="str">
        <f>IFERROR(__xludf.DUMMYFUNCTION("GOOGLETRANSLATE(C437,""fr"",""en"")"),"Very good fast and efficient insurance, rapid information intake
Very good advisor on the phone inside an hour
To recommend for all services")</f>
        <v>Very good fast and efficient insurance, rapid information intake
Very good advisor on the phone inside an hour
To recommend for all services</v>
      </c>
    </row>
    <row r="438" ht="15.75" customHeight="1">
      <c r="A438" s="2">
        <v>5.0</v>
      </c>
      <c r="B438" s="2" t="s">
        <v>1332</v>
      </c>
      <c r="C438" s="2" t="s">
        <v>1333</v>
      </c>
      <c r="D438" s="2" t="s">
        <v>296</v>
      </c>
      <c r="E438" s="2" t="s">
        <v>14</v>
      </c>
      <c r="F438" s="2" t="s">
        <v>15</v>
      </c>
      <c r="G438" s="2" t="s">
        <v>281</v>
      </c>
      <c r="H438" s="2" t="s">
        <v>67</v>
      </c>
      <c r="I438" s="3" t="str">
        <f>IFERROR(__xludf.DUMMYFUNCTION("GOOGLETRANSLATE(C438,""fr"",""en"")"),"price level, can do better. A little expensive, compared to the number of km made, without accident, could be inspired by other colleagues who manage to decrease the monthly premium.
So far I am satisfied.
")</f>
        <v>price level, can do better. A little expensive, compared to the number of km made, without accident, could be inspired by other colleagues who manage to decrease the monthly premium.
So far I am satisfied.
</v>
      </c>
    </row>
    <row r="439" ht="15.75" customHeight="1">
      <c r="A439" s="2">
        <v>2.0</v>
      </c>
      <c r="B439" s="2" t="s">
        <v>1334</v>
      </c>
      <c r="C439" s="2" t="s">
        <v>1335</v>
      </c>
      <c r="D439" s="2" t="s">
        <v>1336</v>
      </c>
      <c r="E439" s="2" t="s">
        <v>242</v>
      </c>
      <c r="F439" s="2" t="s">
        <v>15</v>
      </c>
      <c r="G439" s="2" t="s">
        <v>1337</v>
      </c>
      <c r="H439" s="2" t="s">
        <v>497</v>
      </c>
      <c r="I439" s="3" t="str">
        <f>IFERROR(__xludf.DUMMYFUNCTION("GOOGLETRANSLATE(C439,""fr"",""en"")"),"Unapposed contracts, insured problems. Skills to review. Never the same answer. Management and account separate entities hence problems and recovery.")</f>
        <v>Unapposed contracts, insured problems. Skills to review. Never the same answer. Management and account separate entities hence problems and recovery.</v>
      </c>
    </row>
    <row r="440" ht="15.75" customHeight="1">
      <c r="A440" s="2">
        <v>2.0</v>
      </c>
      <c r="B440" s="2" t="s">
        <v>1338</v>
      </c>
      <c r="C440" s="2" t="s">
        <v>1339</v>
      </c>
      <c r="D440" s="2" t="s">
        <v>105</v>
      </c>
      <c r="E440" s="2" t="s">
        <v>44</v>
      </c>
      <c r="F440" s="2" t="s">
        <v>15</v>
      </c>
      <c r="G440" s="2" t="s">
        <v>1340</v>
      </c>
      <c r="H440" s="2" t="s">
        <v>123</v>
      </c>
      <c r="I440" s="3" t="str">
        <f>IFERROR(__xludf.DUMMYFUNCTION("GOOGLETRANSLATE(C440,""fr"",""en"")"),"Retired since December 2017, I ask to benefit from the Evin law for the Mutual Health in AG2R La Mondiale for 4 months in writing and by telephone. Always the same answer: your file will be processed! Since December I have no more coverage.")</f>
        <v>Retired since December 2017, I ask to benefit from the Evin law for the Mutual Health in AG2R La Mondiale for 4 months in writing and by telephone. Always the same answer: your file will be processed! Since December I have no more coverage.</v>
      </c>
    </row>
    <row r="441" ht="15.75" customHeight="1">
      <c r="A441" s="2">
        <v>4.0</v>
      </c>
      <c r="B441" s="2" t="s">
        <v>1341</v>
      </c>
      <c r="C441" s="2" t="s">
        <v>1342</v>
      </c>
      <c r="D441" s="2" t="s">
        <v>13</v>
      </c>
      <c r="E441" s="2" t="s">
        <v>14</v>
      </c>
      <c r="F441" s="2" t="s">
        <v>15</v>
      </c>
      <c r="G441" s="2" t="s">
        <v>1343</v>
      </c>
      <c r="H441" s="2" t="s">
        <v>21</v>
      </c>
      <c r="I441" s="3" t="str">
        <f>IFERROR(__xludf.DUMMYFUNCTION("GOOGLETRANSLATE(C441,""fr"",""en"")"),"Very friendly and listening staff, interesting prices. They offer solutions adapted to my needs. I can reach them very easily on the phone, I therefore recommend this insurance company
")</f>
        <v>Very friendly and listening staff, interesting prices. They offer solutions adapted to my needs. I can reach them very easily on the phone, I therefore recommend this insurance company
</v>
      </c>
    </row>
    <row r="442" ht="15.75" customHeight="1">
      <c r="A442" s="2">
        <v>2.0</v>
      </c>
      <c r="B442" s="2" t="s">
        <v>1344</v>
      </c>
      <c r="C442" s="2" t="s">
        <v>1345</v>
      </c>
      <c r="D442" s="2" t="s">
        <v>48</v>
      </c>
      <c r="E442" s="2" t="s">
        <v>14</v>
      </c>
      <c r="F442" s="2" t="s">
        <v>15</v>
      </c>
      <c r="G442" s="2" t="s">
        <v>930</v>
      </c>
      <c r="H442" s="2" t="s">
        <v>173</v>
      </c>
      <c r="I442" s="3" t="str">
        <f>IFERROR(__xludf.DUMMYFUNCTION("GOOGLETRANSLATE(C442,""fr"",""en"")"),"Simple quote to do, price in the fork of the walk, a. Gold has the use of insurance, downside for young drivers The prices are unfortunately high")</f>
        <v>Simple quote to do, price in the fork of the walk, a. Gold has the use of insurance, downside for young drivers The prices are unfortunately high</v>
      </c>
    </row>
    <row r="443" ht="15.75" customHeight="1">
      <c r="A443" s="2">
        <v>5.0</v>
      </c>
      <c r="B443" s="2" t="s">
        <v>1346</v>
      </c>
      <c r="C443" s="2" t="s">
        <v>1347</v>
      </c>
      <c r="D443" s="2" t="s">
        <v>126</v>
      </c>
      <c r="E443" s="2" t="s">
        <v>127</v>
      </c>
      <c r="F443" s="2" t="s">
        <v>15</v>
      </c>
      <c r="G443" s="2" t="s">
        <v>1348</v>
      </c>
      <c r="H443" s="2" t="s">
        <v>99</v>
      </c>
      <c r="I443" s="3" t="str">
        <f>IFERROR(__xludf.DUMMYFUNCTION("GOOGLETRANSLATE(C443,""fr"",""en"")"),"Good price everything is good we will see later on the care but the prices and the ease of subscription suit me very very fast")</f>
        <v>Good price everything is good we will see later on the care but the prices and the ease of subscription suit me very very fast</v>
      </c>
    </row>
    <row r="444" ht="15.75" customHeight="1">
      <c r="A444" s="2">
        <v>1.0</v>
      </c>
      <c r="B444" s="2" t="s">
        <v>1349</v>
      </c>
      <c r="C444" s="2" t="s">
        <v>1350</v>
      </c>
      <c r="D444" s="2" t="s">
        <v>228</v>
      </c>
      <c r="E444" s="2" t="s">
        <v>14</v>
      </c>
      <c r="F444" s="2" t="s">
        <v>15</v>
      </c>
      <c r="G444" s="2" t="s">
        <v>1351</v>
      </c>
      <c r="H444" s="2" t="s">
        <v>261</v>
      </c>
      <c r="I444" s="3" t="str">
        <f>IFERROR(__xludf.DUMMYFUNCTION("GOOGLETRANSLATE(C444,""fr"",""en"")"),"A little expensive compared to the little coverage, at the third party minimum for 63 euros per month it is a little big, I would like a much cheaper insurance and which covers me for the breakage of ice")</f>
        <v>A little expensive compared to the little coverage, at the third party minimum for 63 euros per month it is a little big, I would like a much cheaper insurance and which covers me for the breakage of ice</v>
      </c>
    </row>
    <row r="445" ht="15.75" customHeight="1">
      <c r="A445" s="2">
        <v>2.0</v>
      </c>
      <c r="B445" s="2" t="s">
        <v>1352</v>
      </c>
      <c r="C445" s="2" t="s">
        <v>1353</v>
      </c>
      <c r="D445" s="2" t="s">
        <v>48</v>
      </c>
      <c r="E445" s="2" t="s">
        <v>14</v>
      </c>
      <c r="F445" s="2" t="s">
        <v>15</v>
      </c>
      <c r="G445" s="2" t="s">
        <v>1354</v>
      </c>
      <c r="H445" s="2" t="s">
        <v>67</v>
      </c>
      <c r="I445" s="3" t="str">
        <f>IFERROR(__xludf.DUMMYFUNCTION("GOOGLETRANSLATE(C445,""fr"",""en"")"),"No, for the most part the other insurances, we obtain a statement of info directly by online request. In addition, I made an online quote, and you were not able to give me a price. Indeed, you have to telephone, or constantly occupied phone. Thank you for"&amp;" being quick . By online quote that suits me very well.")</f>
        <v>No, for the most part the other insurances, we obtain a statement of info directly by online request. In addition, I made an online quote, and you were not able to give me a price. Indeed, you have to telephone, or constantly occupied phone. Thank you for being quick . By online quote that suits me very well.</v>
      </c>
    </row>
    <row r="446" ht="15.75" customHeight="1">
      <c r="A446" s="2">
        <v>1.0</v>
      </c>
      <c r="B446" s="2" t="s">
        <v>1355</v>
      </c>
      <c r="C446" s="2" t="s">
        <v>1356</v>
      </c>
      <c r="D446" s="2" t="s">
        <v>787</v>
      </c>
      <c r="E446" s="2" t="s">
        <v>44</v>
      </c>
      <c r="F446" s="2" t="s">
        <v>15</v>
      </c>
      <c r="G446" s="2" t="s">
        <v>1357</v>
      </c>
      <c r="H446" s="2" t="s">
        <v>67</v>
      </c>
      <c r="I446" s="3" t="str">
        <f>IFERROR(__xludf.DUMMYFUNCTION("GOOGLETRANSLATE(C446,""fr"",""en"")"),"I await a reimbursement of the month of December, still nothing just an email, to tell me we come back to you ... change the mutual or do not fall ill ... I do not recommend it ... a big zero zero")</f>
        <v>I await a reimbursement of the month of December, still nothing just an email, to tell me we come back to you ... change the mutual or do not fall ill ... I do not recommend it ... a big zero zero</v>
      </c>
    </row>
    <row r="447" ht="15.75" customHeight="1">
      <c r="A447" s="2">
        <v>5.0</v>
      </c>
      <c r="B447" s="2" t="s">
        <v>1358</v>
      </c>
      <c r="C447" s="2" t="s">
        <v>1359</v>
      </c>
      <c r="D447" s="2" t="s">
        <v>13</v>
      </c>
      <c r="E447" s="2" t="s">
        <v>14</v>
      </c>
      <c r="F447" s="2" t="s">
        <v>15</v>
      </c>
      <c r="G447" s="2" t="s">
        <v>487</v>
      </c>
      <c r="H447" s="2" t="s">
        <v>29</v>
      </c>
      <c r="I447" s="3" t="str">
        <f>IFERROR(__xludf.DUMMYFUNCTION("GOOGLETRANSLATE(C447,""fr"",""en"")"),"The price for my auto insurance suits me and good contact when I request the quote that explains very well.
I would recommend those around me.")</f>
        <v>The price for my auto insurance suits me and good contact when I request the quote that explains very well.
I would recommend those around me.</v>
      </c>
    </row>
    <row r="448" ht="15.75" customHeight="1">
      <c r="A448" s="2">
        <v>1.0</v>
      </c>
      <c r="B448" s="2" t="s">
        <v>1360</v>
      </c>
      <c r="C448" s="2" t="s">
        <v>1361</v>
      </c>
      <c r="D448" s="2" t="s">
        <v>155</v>
      </c>
      <c r="E448" s="2" t="s">
        <v>14</v>
      </c>
      <c r="F448" s="2" t="s">
        <v>15</v>
      </c>
      <c r="G448" s="2" t="s">
        <v>156</v>
      </c>
      <c r="H448" s="2" t="s">
        <v>157</v>
      </c>
      <c r="I448" s="3" t="str">
        <f>IFERROR(__xludf.DUMMYFUNCTION("GOOGLETRANSLATE(C448,""fr"",""en"")"),"WARNING ! We have taken out an Allianz auto contract on the web, under the Eallianz service, their price offered via the Le Lynx price comparator made their offer accessible. Only here, once you send the papers, your rate increases passing in our case fro"&amp;"m 900 euros per year to 1200 euros. The explanation? A better bonus (I registered 0.66 instead of 0.64) and an old loss in parking, not responsible, with identified third parties. For the latter ok, I want, but 300 euros more? Almost impossible to have cu"&amp;"stomer service on the phone, more than 30 minutes of waiting, and on the phone the person is not surprised. Not when I tell him that I redid a simulation on the lynx with my bonus and this forgotten loss and that I was at the price that the initial offer "&amp;"(around 900 euros). I am disgusted. Real wolves. Still worse, at the beginning we tried to make me believe that once the contract signed, it was finished, we should accept without flinching this increase. Except that it is prohibited, you just have to ref"&amp;"use the amendment! Now I'm going to have to fight to recover my 236 euros first payment ...")</f>
        <v>WARNING ! We have taken out an Allianz auto contract on the web, under the Eallianz service, their price offered via the Le Lynx price comparator made their offer accessible. Only here, once you send the papers, your rate increases passing in our case from 900 euros per year to 1200 euros. The explanation? A better bonus (I registered 0.66 instead of 0.64) and an old loss in parking, not responsible, with identified third parties. For the latter ok, I want, but 300 euros more? Almost impossible to have customer service on the phone, more than 30 minutes of waiting, and on the phone the person is not surprised. Not when I tell him that I redid a simulation on the lynx with my bonus and this forgotten loss and that I was at the price that the initial offer (around 900 euros). I am disgusted. Real wolves. Still worse, at the beginning we tried to make me believe that once the contract signed, it was finished, we should accept without flinching this increase. Except that it is prohibited, you just have to refuse the amendment! Now I'm going to have to fight to recover my 236 euros first payment ...</v>
      </c>
    </row>
    <row r="449" ht="15.75" customHeight="1">
      <c r="A449" s="2">
        <v>2.0</v>
      </c>
      <c r="B449" s="2" t="s">
        <v>1362</v>
      </c>
      <c r="C449" s="2" t="s">
        <v>1363</v>
      </c>
      <c r="D449" s="2" t="s">
        <v>121</v>
      </c>
      <c r="E449" s="2" t="s">
        <v>14</v>
      </c>
      <c r="F449" s="2" t="s">
        <v>15</v>
      </c>
      <c r="G449" s="2" t="s">
        <v>434</v>
      </c>
      <c r="H449" s="2" t="s">
        <v>118</v>
      </c>
      <c r="I449" s="3" t="str">
        <f>IFERROR(__xludf.DUMMYFUNCTION("GOOGLETRANSLATE(C449,""fr"",""en"")"),"Ensures for 20 years at the Maif recently we received a letter to end all the Auto Apartment contracts
For reason degraded relationships no contacts or prior letters")</f>
        <v>Ensures for 20 years at the Maif recently we received a letter to end all the Auto Apartment contracts
For reason degraded relationships no contacts or prior letters</v>
      </c>
    </row>
    <row r="450" ht="15.75" customHeight="1">
      <c r="A450" s="2">
        <v>3.0</v>
      </c>
      <c r="B450" s="2" t="s">
        <v>1364</v>
      </c>
      <c r="C450" s="2" t="s">
        <v>1365</v>
      </c>
      <c r="D450" s="2" t="s">
        <v>28</v>
      </c>
      <c r="E450" s="2" t="s">
        <v>14</v>
      </c>
      <c r="F450" s="2" t="s">
        <v>15</v>
      </c>
      <c r="G450" s="2" t="s">
        <v>1366</v>
      </c>
      <c r="H450" s="2" t="s">
        <v>123</v>
      </c>
      <c r="I450" s="3" t="str">
        <f>IFERROR(__xludf.DUMMYFUNCTION("GOOGLETRANSLATE(C450,""fr"",""en"")"),"It is insurance that is planned for people who do not drive. This insurance wants to provide people who leave their car in the garage and take the bus. As soon as you have the slightest claim, it ejects you despite your non -responsibility. In my case, I "&amp;"unfortunately had three claims. Including 2 not responsible and one in whole (but due to poor information from the observation) despite this this insurance resilled me for a twisted observation. I find it extremely unfair. Attention Avoid ASSOCTION (excep"&amp;"t if you leave your car in the garage !!!!!!)
And ciaciao")</f>
        <v>It is insurance that is planned for people who do not drive. This insurance wants to provide people who leave their car in the garage and take the bus. As soon as you have the slightest claim, it ejects you despite your non -responsibility. In my case, I unfortunately had three claims. Including 2 not responsible and one in whole (but due to poor information from the observation) despite this this insurance resilled me for a twisted observation. I find it extremely unfair. Attention Avoid ASSOCTION (except if you leave your car in the garage !!!!!!)
And ciaciao</v>
      </c>
    </row>
    <row r="451" ht="15.75" customHeight="1">
      <c r="A451" s="2">
        <v>5.0</v>
      </c>
      <c r="B451" s="2" t="s">
        <v>1367</v>
      </c>
      <c r="C451" s="2" t="s">
        <v>1368</v>
      </c>
      <c r="D451" s="2" t="s">
        <v>126</v>
      </c>
      <c r="E451" s="2" t="s">
        <v>127</v>
      </c>
      <c r="F451" s="2" t="s">
        <v>15</v>
      </c>
      <c r="G451" s="2" t="s">
        <v>21</v>
      </c>
      <c r="H451" s="2" t="s">
        <v>21</v>
      </c>
      <c r="I451" s="3" t="str">
        <f>IFERROR(__xludf.DUMMYFUNCTION("GOOGLETRANSLATE(C451,""fr"",""en"")"),"Perfect as a price. Quote made on the lynx thank you to you I will be able to drive directly by being insured! AMV was much more expensive than you")</f>
        <v>Perfect as a price. Quote made on the lynx thank you to you I will be able to drive directly by being insured! AMV was much more expensive than you</v>
      </c>
    </row>
    <row r="452" ht="15.75" customHeight="1">
      <c r="A452" s="2">
        <v>5.0</v>
      </c>
      <c r="B452" s="2" t="s">
        <v>1369</v>
      </c>
      <c r="C452" s="2" t="s">
        <v>1370</v>
      </c>
      <c r="D452" s="2" t="s">
        <v>83</v>
      </c>
      <c r="E452" s="2" t="s">
        <v>14</v>
      </c>
      <c r="F452" s="2" t="s">
        <v>15</v>
      </c>
      <c r="G452" s="2" t="s">
        <v>958</v>
      </c>
      <c r="H452" s="2" t="s">
        <v>17</v>
      </c>
      <c r="I452" s="3" t="str">
        <f>IFERROR(__xludf.DUMMYFUNCTION("GOOGLETRANSLATE(C452,""fr"",""en"")"),"CONCRATAT TELEPHONE A NANCY CHARMANTE AMABLE AND PROFESSIONAL THAT HAPPENY Thank you I recommend this insurance I have been a customer for years")</f>
        <v>CONCRATAT TELEPHONE A NANCY CHARMANTE AMABLE AND PROFESSIONAL THAT HAPPENY Thank you I recommend this insurance I have been a customer for years</v>
      </c>
    </row>
    <row r="453" ht="15.75" customHeight="1">
      <c r="A453" s="2">
        <v>4.0</v>
      </c>
      <c r="B453" s="2" t="s">
        <v>1371</v>
      </c>
      <c r="C453" s="2" t="s">
        <v>1372</v>
      </c>
      <c r="D453" s="2" t="s">
        <v>13</v>
      </c>
      <c r="E453" s="2" t="s">
        <v>14</v>
      </c>
      <c r="F453" s="2" t="s">
        <v>15</v>
      </c>
      <c r="G453" s="2" t="s">
        <v>1373</v>
      </c>
      <c r="H453" s="2" t="s">
        <v>29</v>
      </c>
      <c r="I453" s="3" t="str">
        <f>IFERROR(__xludf.DUMMYFUNCTION("GOOGLETRANSLATE(C453,""fr"",""en"")"),"I do not yet know if I am satisfied having not yet finished my subscription and still not needing to call the insurance I cannot know the quality of the service")</f>
        <v>I do not yet know if I am satisfied having not yet finished my subscription and still not needing to call the insurance I cannot know the quality of the service</v>
      </c>
    </row>
    <row r="454" ht="15.75" customHeight="1">
      <c r="A454" s="2">
        <v>2.0</v>
      </c>
      <c r="B454" s="2" t="s">
        <v>1374</v>
      </c>
      <c r="C454" s="2" t="s">
        <v>1375</v>
      </c>
      <c r="D454" s="2" t="s">
        <v>135</v>
      </c>
      <c r="E454" s="2" t="s">
        <v>44</v>
      </c>
      <c r="F454" s="2" t="s">
        <v>15</v>
      </c>
      <c r="G454" s="2" t="s">
        <v>1376</v>
      </c>
      <c r="H454" s="2" t="s">
        <v>477</v>
      </c>
      <c r="I454" s="3" t="str">
        <f>IFERROR(__xludf.DUMMYFUNCTION("GOOGLETRANSLATE(C454,""fr"",""en"")"),"I had the misfortune when I was looking for a new mutual to be contacted by Santiane. After a beautiful well -offed speech, I decided to take out a contract. Very badly took me, I have never encountered as much concerns both on monitoring the file as and "&amp;"on taking my requests into account. The month of taking into account my radiation, they have not forgotten to take the last deadline but on the other hand they just forgot to settle the pharmacy. In summary, a real horror. I advise against everyone this b"&amp;"roker broker and I am comforted in this process by the pharmacy which pointed out to me that I was not the only one in this situation")</f>
        <v>I had the misfortune when I was looking for a new mutual to be contacted by Santiane. After a beautiful well -offed speech, I decided to take out a contract. Very badly took me, I have never encountered as much concerns both on monitoring the file as and on taking my requests into account. The month of taking into account my radiation, they have not forgotten to take the last deadline but on the other hand they just forgot to settle the pharmacy. In summary, a real horror. I advise against everyone this broker broker and I am comforted in this process by the pharmacy which pointed out to me that I was not the only one in this situation</v>
      </c>
    </row>
    <row r="455" ht="15.75" customHeight="1">
      <c r="A455" s="2">
        <v>4.0</v>
      </c>
      <c r="B455" s="2" t="s">
        <v>1377</v>
      </c>
      <c r="C455" s="2" t="s">
        <v>1378</v>
      </c>
      <c r="D455" s="2" t="s">
        <v>48</v>
      </c>
      <c r="E455" s="2" t="s">
        <v>14</v>
      </c>
      <c r="F455" s="2" t="s">
        <v>15</v>
      </c>
      <c r="G455" s="2" t="s">
        <v>1379</v>
      </c>
      <c r="H455" s="2" t="s">
        <v>21</v>
      </c>
      <c r="I455" s="3" t="str">
        <f>IFERROR(__xludf.DUMMYFUNCTION("GOOGLETRANSLATE(C455,""fr"",""en"")"),"concerns at the site level to subscribe, this is the problem I have encountered.
The prices are correct, it remains to be seen if I have a claim one day ...")</f>
        <v>concerns at the site level to subscribe, this is the problem I have encountered.
The prices are correct, it remains to be seen if I have a claim one day ...</v>
      </c>
    </row>
    <row r="456" ht="15.75" customHeight="1">
      <c r="A456" s="2">
        <v>3.0</v>
      </c>
      <c r="B456" s="2" t="s">
        <v>1380</v>
      </c>
      <c r="C456" s="2" t="s">
        <v>1381</v>
      </c>
      <c r="D456" s="2" t="s">
        <v>400</v>
      </c>
      <c r="E456" s="2" t="s">
        <v>14</v>
      </c>
      <c r="F456" s="2" t="s">
        <v>15</v>
      </c>
      <c r="G456" s="2" t="s">
        <v>1382</v>
      </c>
      <c r="H456" s="2" t="s">
        <v>1383</v>
      </c>
      <c r="I456" s="3" t="str">
        <f>IFERROR(__xludf.DUMMYFUNCTION("GOOGLETRANSLATE(C456,""fr"",""en"")"),"scandalous !!
Do not subscribe: excessive price, no internal coordination, carastrophic communication, slowness of treatments, ... etc ...")</f>
        <v>scandalous !!
Do not subscribe: excessive price, no internal coordination, carastrophic communication, slowness of treatments, ... etc ...</v>
      </c>
    </row>
    <row r="457" ht="15.75" customHeight="1">
      <c r="A457" s="2">
        <v>4.0</v>
      </c>
      <c r="B457" s="2" t="s">
        <v>1384</v>
      </c>
      <c r="C457" s="2" t="s">
        <v>1385</v>
      </c>
      <c r="D457" s="2" t="s">
        <v>48</v>
      </c>
      <c r="E457" s="2" t="s">
        <v>14</v>
      </c>
      <c r="F457" s="2" t="s">
        <v>15</v>
      </c>
      <c r="G457" s="2" t="s">
        <v>25</v>
      </c>
      <c r="H457" s="2" t="s">
        <v>25</v>
      </c>
      <c r="I457" s="3" t="str">
        <f>IFERROR(__xludf.DUMMYFUNCTION("GOOGLETRANSLATE(C457,""fr"",""en"")"),"Being already a member, I am satisfied with your services, which is why I am always faithful.
The price is always the thorny question, we must make a reason, being protected in full and avoiding all inconvenience that we could meet in life.")</f>
        <v>Being already a member, I am satisfied with your services, which is why I am always faithful.
The price is always the thorny question, we must make a reason, being protected in full and avoiding all inconvenience that we could meet in life.</v>
      </c>
    </row>
    <row r="458" ht="15.75" customHeight="1">
      <c r="A458" s="2">
        <v>1.0</v>
      </c>
      <c r="B458" s="2" t="s">
        <v>1386</v>
      </c>
      <c r="C458" s="2" t="s">
        <v>1387</v>
      </c>
      <c r="D458" s="2" t="s">
        <v>1388</v>
      </c>
      <c r="E458" s="2" t="s">
        <v>38</v>
      </c>
      <c r="F458" s="2" t="s">
        <v>15</v>
      </c>
      <c r="G458" s="2" t="s">
        <v>373</v>
      </c>
      <c r="H458" s="2" t="s">
        <v>29</v>
      </c>
      <c r="I458" s="3" t="str">
        <f>IFERROR(__xludf.DUMMYFUNCTION("GOOGLETRANSLATE(C458,""fr"",""en"")"),"Funeral foresight which three months after the death of my sister still does not unlock the capital while the file is complete!
With each call to their services, a complaint is made but it never succeeds!
What to do ? A complaint in writing (2 months of"&amp;" waiting) to seize the mediator ... They have locked their contracts well so as not to honor their contracts!
It's just shocking so especially run away from this insurance")</f>
        <v>Funeral foresight which three months after the death of my sister still does not unlock the capital while the file is complete!
With each call to their services, a complaint is made but it never succeeds!
What to do ? A complaint in writing (2 months of waiting) to seize the mediator ... They have locked their contracts well so as not to honor their contracts!
It's just shocking so especially run away from this insurance</v>
      </c>
    </row>
    <row r="459" ht="15.75" customHeight="1">
      <c r="A459" s="2">
        <v>1.0</v>
      </c>
      <c r="B459" s="2" t="s">
        <v>1389</v>
      </c>
      <c r="C459" s="2" t="s">
        <v>1390</v>
      </c>
      <c r="D459" s="2" t="s">
        <v>105</v>
      </c>
      <c r="E459" s="2" t="s">
        <v>38</v>
      </c>
      <c r="F459" s="2" t="s">
        <v>15</v>
      </c>
      <c r="G459" s="2" t="s">
        <v>595</v>
      </c>
      <c r="H459" s="2" t="s">
        <v>25</v>
      </c>
      <c r="I459" s="3" t="str">
        <f>IFERROR(__xludf.DUMMYFUNCTION("GOOGLETRANSLATE(C459,""fr"",""en"")"),"I discovered on the account of my elderly mother a levy of € 328/month (in 2021)
I ask for explanations; I am sent a copy of the contract signed in 2001 for € 23.93 (in F at the time), a price multiplied by 13.7 in 20 years !!! No info on the warranty tr"&amp;"ansmitted to date !! On the phone, it's worse than the worst ... it's not me, it's the other ... another number of Tèl, which sometimes does not even exist ... The answer by email sends on a tèl who is not good !!!!
In summary, run away !!!!")</f>
        <v>I discovered on the account of my elderly mother a levy of € 328/month (in 2021)
I ask for explanations; I am sent a copy of the contract signed in 2001 for € 23.93 (in F at the time), a price multiplied by 13.7 in 20 years !!! No info on the warranty transmitted to date !! On the phone, it's worse than the worst ... it's not me, it's the other ... another number of Tèl, which sometimes does not even exist ... The answer by email sends on a tèl who is not good !!!!
In summary, run away !!!!</v>
      </c>
    </row>
    <row r="460" ht="15.75" customHeight="1">
      <c r="A460" s="2">
        <v>2.0</v>
      </c>
      <c r="B460" s="2" t="s">
        <v>1391</v>
      </c>
      <c r="C460" s="2" t="s">
        <v>1392</v>
      </c>
      <c r="D460" s="2" t="s">
        <v>13</v>
      </c>
      <c r="E460" s="2" t="s">
        <v>14</v>
      </c>
      <c r="F460" s="2" t="s">
        <v>15</v>
      </c>
      <c r="G460" s="2" t="s">
        <v>1393</v>
      </c>
      <c r="H460" s="2" t="s">
        <v>107</v>
      </c>
      <c r="I460" s="3" t="str">
        <f>IFERROR(__xludf.DUMMYFUNCTION("GOOGLETRANSLATE(C460,""fr"",""en"")"),"I changed my vehicle and after sending all the documents necessary for this change, I receive the deadline for my old vehicle with an additional rate increase !!!!! And sample of the total sum .....
For 3 weeks, I have been calling every day, patient up "&amp;"to 45 minutes and I am hung up on the nose. 5 so-called reachable issues quickly, after 1h03 I have 4 advisers who refer the file and the last end by telling me that they are victims of their success !!!!!!!
File to be completely redone because no bizarr"&amp;"e trace of my request ....... in short termination on the field and reimbursement within 1 month !!!!!
And no it's not a joke, they brought us with their beautiful speech and after radio silence.
Fortunately it was not for a disaster, they might have le"&amp;"ft me 30 days on the side of the road !!!!
WARNING......")</f>
        <v>I changed my vehicle and after sending all the documents necessary for this change, I receive the deadline for my old vehicle with an additional rate increase !!!!! And sample of the total sum .....
For 3 weeks, I have been calling every day, patient up to 45 minutes and I am hung up on the nose. 5 so-called reachable issues quickly, after 1h03 I have 4 advisers who refer the file and the last end by telling me that they are victims of their success !!!!!!!
File to be completely redone because no bizarre trace of my request ....... in short termination on the field and reimbursement within 1 month !!!!!
And no it's not a joke, they brought us with their beautiful speech and after radio silence.
Fortunately it was not for a disaster, they might have left me 30 days on the side of the road !!!!
WARNING......</v>
      </c>
    </row>
    <row r="461" ht="15.75" customHeight="1">
      <c r="A461" s="2">
        <v>2.0</v>
      </c>
      <c r="B461" s="2" t="s">
        <v>1394</v>
      </c>
      <c r="C461" s="2" t="s">
        <v>1395</v>
      </c>
      <c r="D461" s="2" t="s">
        <v>13</v>
      </c>
      <c r="E461" s="2" t="s">
        <v>14</v>
      </c>
      <c r="F461" s="2" t="s">
        <v>15</v>
      </c>
      <c r="G461" s="2" t="s">
        <v>1396</v>
      </c>
      <c r="H461" s="2" t="s">
        <v>635</v>
      </c>
      <c r="I461" s="3" t="str">
        <f>IFERROR(__xludf.DUMMYFUNCTION("GOOGLETRANSLATE(C461,""fr"",""en"")"),"Incompetent customer service! Not even informed of the endorsements whose content I do not know. I discovered by chance by connecting a request to send a new document. The Insurance Code seems foreign to them. To be continued, I think of canceling my cont"&amp;"ract.")</f>
        <v>Incompetent customer service! Not even informed of the endorsements whose content I do not know. I discovered by chance by connecting a request to send a new document. The Insurance Code seems foreign to them. To be continued, I think of canceling my contract.</v>
      </c>
    </row>
    <row r="462" ht="15.75" customHeight="1">
      <c r="A462" s="2">
        <v>3.0</v>
      </c>
      <c r="B462" s="2" t="s">
        <v>1397</v>
      </c>
      <c r="C462" s="2" t="s">
        <v>1398</v>
      </c>
      <c r="D462" s="2" t="s">
        <v>48</v>
      </c>
      <c r="E462" s="2" t="s">
        <v>14</v>
      </c>
      <c r="F462" s="2" t="s">
        <v>15</v>
      </c>
      <c r="G462" s="2" t="s">
        <v>24</v>
      </c>
      <c r="H462" s="2" t="s">
        <v>25</v>
      </c>
      <c r="I462" s="3" t="str">
        <f>IFERROR(__xludf.DUMMYFUNCTION("GOOGLETRANSLATE(C462,""fr"",""en"")"),"Practical and simple, the prices are affordable. New customer so to see ..... the only problem is to have a month of subscription for a day of coverage because Insurance starts on 04/30/2021")</f>
        <v>Practical and simple, the prices are affordable. New customer so to see ..... the only problem is to have a month of subscription for a day of coverage because Insurance starts on 04/30/2021</v>
      </c>
    </row>
    <row r="463" ht="15.75" customHeight="1">
      <c r="A463" s="2">
        <v>1.0</v>
      </c>
      <c r="B463" s="2" t="s">
        <v>1399</v>
      </c>
      <c r="C463" s="2" t="s">
        <v>1400</v>
      </c>
      <c r="D463" s="2" t="s">
        <v>53</v>
      </c>
      <c r="E463" s="2" t="s">
        <v>44</v>
      </c>
      <c r="F463" s="2" t="s">
        <v>15</v>
      </c>
      <c r="G463" s="2" t="s">
        <v>1401</v>
      </c>
      <c r="H463" s="2" t="s">
        <v>169</v>
      </c>
      <c r="I463" s="3" t="str">
        <f>IFERROR(__xludf.DUMMYFUNCTION("GOOGLETRANSLATE(C463,""fr"",""en"")"),"Totally bogus testimony, written by a CM2 student, of the level of teleoperators who pretend to be self -serving civil servants and invent compulsory coverage arising - invention - of the Marisol Touraine law (look well) of 2016 which obliges the insured "&amp;"to take a ""complementary"". Everything is false, no third -party third party at Néoliane, just a possible reimbursement of the surplus of medical expenses, this company should already have been prohibited to continue its activities, what does the DGCCRF "&amp;"do?")</f>
        <v>Totally bogus testimony, written by a CM2 student, of the level of teleoperators who pretend to be self -serving civil servants and invent compulsory coverage arising - invention - of the Marisol Touraine law (look well) of 2016 which obliges the insured to take a "complementary". Everything is false, no third -party third party at Néoliane, just a possible reimbursement of the surplus of medical expenses, this company should already have been prohibited to continue its activities, what does the DGCCRF do?</v>
      </c>
    </row>
    <row r="464" ht="15.75" customHeight="1">
      <c r="A464" s="2">
        <v>2.0</v>
      </c>
      <c r="B464" s="2" t="s">
        <v>1402</v>
      </c>
      <c r="C464" s="2" t="s">
        <v>1403</v>
      </c>
      <c r="D464" s="2" t="s">
        <v>319</v>
      </c>
      <c r="E464" s="2" t="s">
        <v>285</v>
      </c>
      <c r="F464" s="2" t="s">
        <v>15</v>
      </c>
      <c r="G464" s="2" t="s">
        <v>253</v>
      </c>
      <c r="H464" s="2" t="s">
        <v>254</v>
      </c>
      <c r="I464" s="3" t="str">
        <f>IFERROR(__xludf.DUMMYFUNCTION("GOOGLETRANSLATE(C464,""fr"",""en"")"),"To flee
Claim declared at the end of April for an accident portal
Return of the Insurance CIC ACM observant following the replacement quote because the repair will cost at least as dear expert in Strasbourg will contact via an appointment I suppose
Jha"&amp;"bitite Loan of Rouen in Normandy
It drags it only communicates by email
 I have the impression that if he could disgust you so as not to pay will be this method")</f>
        <v>To flee
Claim declared at the end of April for an accident portal
Return of the Insurance CIC ACM observant following the replacement quote because the repair will cost at least as dear expert in Strasbourg will contact via an appointment I suppose
Jhabitite Loan of Rouen in Normandy
It drags it only communicates by email
 I have the impression that if he could disgust you so as not to pay will be this method</v>
      </c>
    </row>
    <row r="465" ht="15.75" customHeight="1">
      <c r="A465" s="2">
        <v>5.0</v>
      </c>
      <c r="B465" s="2" t="s">
        <v>1404</v>
      </c>
      <c r="C465" s="2" t="s">
        <v>1405</v>
      </c>
      <c r="D465" s="2" t="s">
        <v>13</v>
      </c>
      <c r="E465" s="2" t="s">
        <v>14</v>
      </c>
      <c r="F465" s="2" t="s">
        <v>15</v>
      </c>
      <c r="G465" s="2" t="s">
        <v>1406</v>
      </c>
      <c r="H465" s="2" t="s">
        <v>900</v>
      </c>
      <c r="I465" s="3" t="str">
        <f>IFERROR(__xludf.DUMMYFUNCTION("GOOGLETRANSLATE(C465,""fr"",""en"")"),"Availability of customer advisers: frankly perfect I have nothing to say I and contact on Twitter in less than 5 minutes they did what I had asked them and it's great it is the only ones who are also accessible on contact I am really satisfied and it's th"&amp;"e same on all points I really recommend this insurance")</f>
        <v>Availability of customer advisers: frankly perfect I have nothing to say I and contact on Twitter in less than 5 minutes they did what I had asked them and it's great it is the only ones who are also accessible on contact I am really satisfied and it's the same on all points I really recommend this insurance</v>
      </c>
    </row>
    <row r="466" ht="15.75" customHeight="1">
      <c r="A466" s="2">
        <v>1.0</v>
      </c>
      <c r="B466" s="2" t="s">
        <v>1407</v>
      </c>
      <c r="C466" s="2" t="s">
        <v>1408</v>
      </c>
      <c r="D466" s="2" t="s">
        <v>102</v>
      </c>
      <c r="E466" s="2" t="s">
        <v>14</v>
      </c>
      <c r="F466" s="2" t="s">
        <v>15</v>
      </c>
      <c r="G466" s="2" t="s">
        <v>1409</v>
      </c>
      <c r="H466" s="2" t="s">
        <v>628</v>
      </c>
      <c r="I466" s="3" t="str">
        <f>IFERROR(__xludf.DUMMYFUNCTION("GOOGLETRANSLATE(C466,""fr"",""en"")")," 15 years ago the MAAF lived up to qualified people to ensure correctly young kids in the office in a correct way and young experts cause the value of what MAAF insurance,
In the beginning, the very important litigation was quickly settled very quickly t"&amp;"his is no longer the case today, I changed my insurance until Maaf finds the value of what it was.
I do not currently recommend this insurance. Cordially. AP")</f>
        <v> 15 years ago the MAAF lived up to qualified people to ensure correctly young kids in the office in a correct way and young experts cause the value of what MAAF insurance,
In the beginning, the very important litigation was quickly settled very quickly this is no longer the case today, I changed my insurance until Maaf finds the value of what it was.
I do not currently recommend this insurance. Cordially. AP</v>
      </c>
    </row>
    <row r="467" ht="15.75" customHeight="1">
      <c r="A467" s="2">
        <v>5.0</v>
      </c>
      <c r="B467" s="2" t="s">
        <v>1410</v>
      </c>
      <c r="C467" s="2" t="s">
        <v>1411</v>
      </c>
      <c r="D467" s="2" t="s">
        <v>13</v>
      </c>
      <c r="E467" s="2" t="s">
        <v>14</v>
      </c>
      <c r="F467" s="2" t="s">
        <v>15</v>
      </c>
      <c r="G467" s="2" t="s">
        <v>1412</v>
      </c>
      <c r="H467" s="2" t="s">
        <v>85</v>
      </c>
      <c r="I467" s="3" t="str">
        <f>IFERROR(__xludf.DUMMYFUNCTION("GOOGLETRANSLATE(C467,""fr"",""en"")"),"Listening insurer of his client, very professional. In the case of a dispute, the olive tree is very responsive, takes care of everything. I highly recommend the Olivier Assurance")</f>
        <v>Listening insurer of his client, very professional. In the case of a dispute, the olive tree is very responsive, takes care of everything. I highly recommend the Olivier Assurance</v>
      </c>
    </row>
    <row r="468" ht="15.75" customHeight="1">
      <c r="A468" s="2">
        <v>4.0</v>
      </c>
      <c r="B468" s="2" t="s">
        <v>1413</v>
      </c>
      <c r="C468" s="2" t="s">
        <v>1414</v>
      </c>
      <c r="D468" s="2" t="s">
        <v>53</v>
      </c>
      <c r="E468" s="2" t="s">
        <v>44</v>
      </c>
      <c r="F468" s="2" t="s">
        <v>15</v>
      </c>
      <c r="G468" s="2" t="s">
        <v>1415</v>
      </c>
      <c r="H468" s="2" t="s">
        <v>157</v>
      </c>
      <c r="I468" s="3" t="str">
        <f>IFERROR(__xludf.DUMMYFUNCTION("GOOGLETRANSLATE(C468,""fr"",""en"")"),"Client since the start of the year, I had to review the terms of my contract and adapt it according to my needs.")</f>
        <v>Client since the start of the year, I had to review the terms of my contract and adapt it according to my needs.</v>
      </c>
    </row>
    <row r="469" ht="15.75" customHeight="1">
      <c r="A469" s="2">
        <v>1.0</v>
      </c>
      <c r="B469" s="2" t="s">
        <v>1416</v>
      </c>
      <c r="C469" s="2" t="s">
        <v>1417</v>
      </c>
      <c r="D469" s="2" t="s">
        <v>58</v>
      </c>
      <c r="E469" s="2" t="s">
        <v>44</v>
      </c>
      <c r="F469" s="2" t="s">
        <v>15</v>
      </c>
      <c r="G469" s="2" t="s">
        <v>1177</v>
      </c>
      <c r="H469" s="2" t="s">
        <v>149</v>
      </c>
      <c r="I469" s="3" t="str">
        <f>IFERROR(__xludf.DUMMYFUNCTION("GOOGLETRANSLATE(C469,""fr"",""en"")"),"Shabby, non -existent customer service. Unpaid reimbursements, unable to have contact with customer service. Mutual subscribed by employer obligation within the framework of collective contracts, to flee !!!")</f>
        <v>Shabby, non -existent customer service. Unpaid reimbursements, unable to have contact with customer service. Mutual subscribed by employer obligation within the framework of collective contracts, to flee !!!</v>
      </c>
    </row>
    <row r="470" ht="15.75" customHeight="1">
      <c r="A470" s="2">
        <v>4.0</v>
      </c>
      <c r="B470" s="2" t="s">
        <v>1418</v>
      </c>
      <c r="C470" s="2" t="s">
        <v>1419</v>
      </c>
      <c r="D470" s="2" t="s">
        <v>48</v>
      </c>
      <c r="E470" s="2" t="s">
        <v>14</v>
      </c>
      <c r="F470" s="2" t="s">
        <v>15</v>
      </c>
      <c r="G470" s="2" t="s">
        <v>1420</v>
      </c>
      <c r="H470" s="2" t="s">
        <v>25</v>
      </c>
      <c r="I470" s="3" t="str">
        <f>IFERROR(__xludf.DUMMYFUNCTION("GOOGLETRANSLATE(C470,""fr"",""en"")"),"Simple and practical
Cheaper than other insurance as a young driver
Welcome to the phone, a rather easy website
Rather fast management in the event of a claim")</f>
        <v>Simple and practical
Cheaper than other insurance as a young driver
Welcome to the phone, a rather easy website
Rather fast management in the event of a claim</v>
      </c>
    </row>
    <row r="471" ht="15.75" customHeight="1">
      <c r="A471" s="2">
        <v>3.0</v>
      </c>
      <c r="B471" s="2" t="s">
        <v>1421</v>
      </c>
      <c r="C471" s="2" t="s">
        <v>1422</v>
      </c>
      <c r="D471" s="2" t="s">
        <v>48</v>
      </c>
      <c r="E471" s="2" t="s">
        <v>14</v>
      </c>
      <c r="F471" s="2" t="s">
        <v>15</v>
      </c>
      <c r="G471" s="2" t="s">
        <v>1039</v>
      </c>
      <c r="H471" s="2" t="s">
        <v>67</v>
      </c>
      <c r="I471" s="3" t="str">
        <f>IFERROR(__xludf.DUMMYFUNCTION("GOOGLETRANSLATE(C471,""fr"",""en"")"),"I will find out elsewhere when my daughter will have her license, a little expensive as a price for a Fiat 500
quote received different from the contract proposed and signed, 30 euros difference
")</f>
        <v>I will find out elsewhere when my daughter will have her license, a little expensive as a price for a Fiat 500
quote received different from the contract proposed and signed, 30 euros difference
</v>
      </c>
    </row>
    <row r="472" ht="15.75" customHeight="1">
      <c r="A472" s="2">
        <v>5.0</v>
      </c>
      <c r="B472" s="2" t="s">
        <v>1423</v>
      </c>
      <c r="C472" s="2" t="s">
        <v>1424</v>
      </c>
      <c r="D472" s="2" t="s">
        <v>13</v>
      </c>
      <c r="E472" s="2" t="s">
        <v>14</v>
      </c>
      <c r="F472" s="2" t="s">
        <v>15</v>
      </c>
      <c r="G472" s="2" t="s">
        <v>1425</v>
      </c>
      <c r="H472" s="2" t="s">
        <v>29</v>
      </c>
      <c r="I472" s="3" t="str">
        <f>IFERROR(__xludf.DUMMYFUNCTION("GOOGLETRANSLATE(C472,""fr"",""en"")"),"I am very satisfied with the olive assurance
Very easy to reach, very friendly, listening, reactive advisers.
Likewise for top assistance during my accident on Friday September 10
I recommend the 100% olive tree")</f>
        <v>I am very satisfied with the olive assurance
Very easy to reach, very friendly, listening, reactive advisers.
Likewise for top assistance during my accident on Friday September 10
I recommend the 100% olive tree</v>
      </c>
    </row>
    <row r="473" ht="15.75" customHeight="1">
      <c r="A473" s="2">
        <v>5.0</v>
      </c>
      <c r="B473" s="2" t="s">
        <v>1426</v>
      </c>
      <c r="C473" s="2" t="s">
        <v>1427</v>
      </c>
      <c r="D473" s="2" t="s">
        <v>13</v>
      </c>
      <c r="E473" s="2" t="s">
        <v>14</v>
      </c>
      <c r="F473" s="2" t="s">
        <v>15</v>
      </c>
      <c r="G473" s="2" t="s">
        <v>1253</v>
      </c>
      <c r="H473" s="2" t="s">
        <v>99</v>
      </c>
      <c r="I473" s="3" t="str">
        <f>IFERROR(__xludf.DUMMYFUNCTION("GOOGLETRANSLATE(C473,""fr"",""en"")"),"I am satisfied with the service, very good price in relation to other insurance, simple and fast, I had the insurance 200 euros cheaper than elsewhere.")</f>
        <v>I am satisfied with the service, very good price in relation to other insurance, simple and fast, I had the insurance 200 euros cheaper than elsewhere.</v>
      </c>
    </row>
    <row r="474" ht="15.75" customHeight="1">
      <c r="A474" s="2">
        <v>1.0</v>
      </c>
      <c r="B474" s="2" t="s">
        <v>1428</v>
      </c>
      <c r="C474" s="2" t="s">
        <v>1429</v>
      </c>
      <c r="D474" s="2" t="s">
        <v>92</v>
      </c>
      <c r="E474" s="2" t="s">
        <v>44</v>
      </c>
      <c r="F474" s="2" t="s">
        <v>15</v>
      </c>
      <c r="G474" s="2" t="s">
        <v>1430</v>
      </c>
      <c r="H474" s="2" t="s">
        <v>189</v>
      </c>
      <c r="I474" s="3" t="str">
        <f>IFERROR(__xludf.DUMMYFUNCTION("GOOGLETRANSLATE(C474,""fr"",""en"")"),"Very very complicated my partner is stopped for a happy event since January and despite a square file, it is necessary to revive systematically.
A neck there is no paper in their fax, a neck there is more ink we really have the impression that we are cau"&amp;"ght with us.")</f>
        <v>Very very complicated my partner is stopped for a happy event since January and despite a square file, it is necessary to revive systematically.
A neck there is no paper in their fax, a neck there is more ink we really have the impression that we are caught with us.</v>
      </c>
    </row>
    <row r="475" ht="15.75" customHeight="1">
      <c r="A475" s="2">
        <v>1.0</v>
      </c>
      <c r="B475" s="2" t="s">
        <v>1431</v>
      </c>
      <c r="C475" s="2" t="s">
        <v>1432</v>
      </c>
      <c r="D475" s="2" t="s">
        <v>105</v>
      </c>
      <c r="E475" s="2" t="s">
        <v>44</v>
      </c>
      <c r="F475" s="2" t="s">
        <v>15</v>
      </c>
      <c r="G475" s="2" t="s">
        <v>1433</v>
      </c>
      <c r="H475" s="2" t="s">
        <v>472</v>
      </c>
      <c r="I475" s="3" t="str">
        <f>IFERROR(__xludf.DUMMYFUNCTION("GOOGLETRANSLATE(C475,""fr"",""en"")"),"Customer for a few years I have never had the chance to see a dossier processed correctly, there are systematically problems and completely unacceptable processing times. An obvious lack of communication between services and no contact with customers. Get"&amp;"ting someone on the phone is just impossible and customer reminder on the phone does not work. Nothing that can allow you to recommend to anyone this company whose main activity seems to be to delay the payments as much as possible and by all means.")</f>
        <v>Customer for a few years I have never had the chance to see a dossier processed correctly, there are systematically problems and completely unacceptable processing times. An obvious lack of communication between services and no contact with customers. Getting someone on the phone is just impossible and customer reminder on the phone does not work. Nothing that can allow you to recommend to anyone this company whose main activity seems to be to delay the payments as much as possible and by all means.</v>
      </c>
    </row>
    <row r="476" ht="15.75" customHeight="1">
      <c r="A476" s="2">
        <v>2.0</v>
      </c>
      <c r="B476" s="2" t="s">
        <v>1434</v>
      </c>
      <c r="C476" s="2" t="s">
        <v>1435</v>
      </c>
      <c r="D476" s="2" t="s">
        <v>48</v>
      </c>
      <c r="E476" s="2" t="s">
        <v>14</v>
      </c>
      <c r="F476" s="2" t="s">
        <v>15</v>
      </c>
      <c r="G476" s="2" t="s">
        <v>1436</v>
      </c>
      <c r="H476" s="2" t="s">
        <v>305</v>
      </c>
      <c r="I476" s="3" t="str">
        <f>IFERROR(__xludf.DUMMYFUNCTION("GOOGLETRANSLATE(C476,""fr"",""en"")"),"I do not recommend the subscription to this insurance !!!!
I broke down 2 km from my home.
I obviously called the Direct Insurance assistance who assured me that, in the event of a breakdown, I had towing assistance more than 50 km from my home.
I coul"&amp;"d not benefit from any towing or vehicle loan. After having managed differently, I realized that I had opted for the ""Serenity Pack"", paying, guaranteeing the assistance 0 km in the event of a breakdown and the vehicle loan.
They did nothing for me whe"&amp;"n I paid all this time.
")</f>
        <v>I do not recommend the subscription to this insurance !!!!
I broke down 2 km from my home.
I obviously called the Direct Insurance assistance who assured me that, in the event of a breakdown, I had towing assistance more than 50 km from my home.
I could not benefit from any towing or vehicle loan. After having managed differently, I realized that I had opted for the "Serenity Pack", paying, guaranteeing the assistance 0 km in the event of a breakdown and the vehicle loan.
They did nothing for me when I paid all this time.
</v>
      </c>
    </row>
    <row r="477" ht="15.75" customHeight="1">
      <c r="A477" s="2">
        <v>5.0</v>
      </c>
      <c r="B477" s="2" t="s">
        <v>1437</v>
      </c>
      <c r="C477" s="2" t="s">
        <v>1438</v>
      </c>
      <c r="D477" s="2" t="s">
        <v>48</v>
      </c>
      <c r="E477" s="2" t="s">
        <v>14</v>
      </c>
      <c r="F477" s="2" t="s">
        <v>15</v>
      </c>
      <c r="G477" s="2" t="s">
        <v>1324</v>
      </c>
      <c r="H477" s="2" t="s">
        <v>25</v>
      </c>
      <c r="I477" s="3" t="str">
        <f>IFERROR(__xludf.DUMMYFUNCTION("GOOGLETRANSLATE(C477,""fr"",""en"")"),"I thank you and recommend you after my friends price level and speed level you are the insurance of the less expensive that I found and this is excellent news")</f>
        <v>I thank you and recommend you after my friends price level and speed level you are the insurance of the less expensive that I found and this is excellent news</v>
      </c>
    </row>
    <row r="478" ht="15.75" customHeight="1">
      <c r="A478" s="2">
        <v>3.0</v>
      </c>
      <c r="B478" s="2" t="s">
        <v>1439</v>
      </c>
      <c r="C478" s="2" t="s">
        <v>1440</v>
      </c>
      <c r="D478" s="2" t="s">
        <v>48</v>
      </c>
      <c r="E478" s="2" t="s">
        <v>14</v>
      </c>
      <c r="F478" s="2" t="s">
        <v>15</v>
      </c>
      <c r="G478" s="2" t="s">
        <v>1441</v>
      </c>
      <c r="H478" s="2" t="s">
        <v>89</v>
      </c>
      <c r="I478" s="3" t="str">
        <f>IFERROR(__xludf.DUMMYFUNCTION("GOOGLETRANSLATE(C478,""fr"",""en"")"),"Simple and practical and affordable in price nothing more to say to see in the future what it will give, having never been a client at home. thank you")</f>
        <v>Simple and practical and affordable in price nothing more to say to see in the future what it will give, having never been a client at home. thank you</v>
      </c>
    </row>
    <row r="479" ht="15.75" customHeight="1">
      <c r="A479" s="2">
        <v>5.0</v>
      </c>
      <c r="B479" s="2" t="s">
        <v>1442</v>
      </c>
      <c r="C479" s="2" t="s">
        <v>1443</v>
      </c>
      <c r="D479" s="2" t="s">
        <v>48</v>
      </c>
      <c r="E479" s="2" t="s">
        <v>14</v>
      </c>
      <c r="F479" s="2" t="s">
        <v>15</v>
      </c>
      <c r="G479" s="2" t="s">
        <v>50</v>
      </c>
      <c r="H479" s="2" t="s">
        <v>50</v>
      </c>
      <c r="I479" s="3" t="str">
        <f>IFERROR(__xludf.DUMMYFUNCTION("GOOGLETRANSLATE(C479,""fr"",""en"")"),"I am satisfied with the service and your insurance.
I hope to be able to make a long road with you.
Thank you for your quick refund of the first two months offered I wish it")</f>
        <v>I am satisfied with the service and your insurance.
I hope to be able to make a long road with you.
Thank you for your quick refund of the first two months offered I wish it</v>
      </c>
    </row>
    <row r="480" ht="15.75" customHeight="1">
      <c r="A480" s="2">
        <v>1.0</v>
      </c>
      <c r="B480" s="2" t="s">
        <v>1444</v>
      </c>
      <c r="C480" s="2" t="s">
        <v>1445</v>
      </c>
      <c r="D480" s="2" t="s">
        <v>102</v>
      </c>
      <c r="E480" s="2" t="s">
        <v>285</v>
      </c>
      <c r="F480" s="2" t="s">
        <v>15</v>
      </c>
      <c r="G480" s="2" t="s">
        <v>857</v>
      </c>
      <c r="H480" s="2" t="s">
        <v>50</v>
      </c>
      <c r="I480" s="3" t="str">
        <f>IFERROR(__xludf.DUMMYFUNCTION("GOOGLETRANSLATE(C480,""fr"",""en"")"),"Following a violent storm of Grele in the south of the Aisne classified as a natural disaster an expert and came to see in less minutes there was no costing my roof being tarpaulsed he could not see since it happened without warning
I sent him the quote "&amp;"from the roofer which amounts to € 38,000 the expert grants royal € 9,000
And in addition it took 1 month to answer
For infiltration still no news ??
I will mandate an insurance expert")</f>
        <v>Following a violent storm of Grele in the south of the Aisne classified as a natural disaster an expert and came to see in less minutes there was no costing my roof being tarpaulsed he could not see since it happened without warning
I sent him the quote from the roofer which amounts to € 38,000 the expert grants royal € 9,000
And in addition it took 1 month to answer
For infiltration still no news ??
I will mandate an insurance expert</v>
      </c>
    </row>
    <row r="481" ht="15.75" customHeight="1">
      <c r="A481" s="2">
        <v>3.0</v>
      </c>
      <c r="B481" s="2" t="s">
        <v>1446</v>
      </c>
      <c r="C481" s="2" t="s">
        <v>1447</v>
      </c>
      <c r="D481" s="2" t="s">
        <v>48</v>
      </c>
      <c r="E481" s="2" t="s">
        <v>14</v>
      </c>
      <c r="F481" s="2" t="s">
        <v>15</v>
      </c>
      <c r="G481" s="2" t="s">
        <v>1241</v>
      </c>
      <c r="H481" s="2" t="s">
        <v>50</v>
      </c>
      <c r="I481" s="3" t="str">
        <f>IFERROR(__xludf.DUMMYFUNCTION("GOOGLETRANSLATE(C481,""fr"",""en"")"),"More price difference on this model. I appreciate the speed of the transaction. I wanted to go through Poulpeo to take advantage of the cash back but without success.")</f>
        <v>More price difference on this model. I appreciate the speed of the transaction. I wanted to go through Poulpeo to take advantage of the cash back but without success.</v>
      </c>
    </row>
    <row r="482" ht="15.75" customHeight="1">
      <c r="A482" s="2">
        <v>1.0</v>
      </c>
      <c r="B482" s="2" t="s">
        <v>1448</v>
      </c>
      <c r="C482" s="2" t="s">
        <v>1449</v>
      </c>
      <c r="D482" s="2" t="s">
        <v>121</v>
      </c>
      <c r="E482" s="2" t="s">
        <v>14</v>
      </c>
      <c r="F482" s="2" t="s">
        <v>15</v>
      </c>
      <c r="G482" s="2" t="s">
        <v>1450</v>
      </c>
      <c r="H482" s="2" t="s">
        <v>123</v>
      </c>
      <c r="I482" s="3" t="str">
        <f>IFERROR(__xludf.DUMMYFUNCTION("GOOGLETRANSLATE(C482,""fr"",""en"")"),"I have been in Maif for 25 years without responsible accident except in the summer of 2017 with 2 responsible events. Since last summer I have been looking for insurance where we take into account the interest of the customer.")</f>
        <v>I have been in Maif for 25 years without responsible accident except in the summer of 2017 with 2 responsible events. Since last summer I have been looking for insurance where we take into account the interest of the customer.</v>
      </c>
    </row>
    <row r="483" ht="15.75" customHeight="1">
      <c r="A483" s="2">
        <v>1.0</v>
      </c>
      <c r="B483" s="2" t="s">
        <v>1451</v>
      </c>
      <c r="C483" s="2" t="s">
        <v>1452</v>
      </c>
      <c r="D483" s="2" t="s">
        <v>1453</v>
      </c>
      <c r="E483" s="2" t="s">
        <v>127</v>
      </c>
      <c r="F483" s="2" t="s">
        <v>15</v>
      </c>
      <c r="G483" s="2" t="s">
        <v>1454</v>
      </c>
      <c r="H483" s="2" t="s">
        <v>305</v>
      </c>
      <c r="I483" s="3" t="str">
        <f>IFERROR(__xludf.DUMMYFUNCTION("GOOGLETRANSLATE(C483,""fr"",""en"")"),"To flee, no professionalism. My companion's scooter was parked in the parking lot and there was an attempted theft and degradation. Expert report They must reimburse us 1520 euros because the value of the scooter on the day of the 1900 damage less the 20%"&amp;" deductible, we therefore sell the scooter bought 2000 euros. After 2 months of battle they want to reimburse us 114 euros !!! While the experts reconfirms us that no they must reimburse us 1520 because there has been a sale of the vehicle. Because no BSR"&amp;" or he was passing it and the scooter was parked! By cons to take it is the first! Insurance that crashes from his insured and the managers are never there, always busy bah yes we flee!")</f>
        <v>To flee, no professionalism. My companion's scooter was parked in the parking lot and there was an attempted theft and degradation. Expert report They must reimburse us 1520 euros because the value of the scooter on the day of the 1900 damage less the 20% deductible, we therefore sell the scooter bought 2000 euros. After 2 months of battle they want to reimburse us 114 euros !!! While the experts reconfirms us that no they must reimburse us 1520 because there has been a sale of the vehicle. Because no BSR or he was passing it and the scooter was parked! By cons to take it is the first! Insurance that crashes from his insured and the managers are never there, always busy bah yes we flee!</v>
      </c>
    </row>
    <row r="484" ht="15.75" customHeight="1">
      <c r="A484" s="2">
        <v>4.0</v>
      </c>
      <c r="B484" s="2" t="s">
        <v>1455</v>
      </c>
      <c r="C484" s="2" t="s">
        <v>1456</v>
      </c>
      <c r="D484" s="2" t="s">
        <v>13</v>
      </c>
      <c r="E484" s="2" t="s">
        <v>14</v>
      </c>
      <c r="F484" s="2" t="s">
        <v>15</v>
      </c>
      <c r="G484" s="2" t="s">
        <v>1307</v>
      </c>
      <c r="H484" s="2" t="s">
        <v>50</v>
      </c>
      <c r="I484" s="3" t="str">
        <f>IFERROR(__xludf.DUMMYFUNCTION("GOOGLETRANSLATE(C484,""fr"",""en"")"),"Satisfied with the cost and the possibility of modifying the amount of deductibles.
Electronic signature to improve (difficult to understand to go at the end of the document)
Overall very satisfied.
")</f>
        <v>Satisfied with the cost and the possibility of modifying the amount of deductibles.
Electronic signature to improve (difficult to understand to go at the end of the document)
Overall very satisfied.
</v>
      </c>
    </row>
    <row r="485" ht="15.75" customHeight="1">
      <c r="A485" s="2">
        <v>1.0</v>
      </c>
      <c r="B485" s="2" t="s">
        <v>1457</v>
      </c>
      <c r="C485" s="2" t="s">
        <v>1458</v>
      </c>
      <c r="D485" s="2" t="s">
        <v>155</v>
      </c>
      <c r="E485" s="2" t="s">
        <v>14</v>
      </c>
      <c r="F485" s="2" t="s">
        <v>15</v>
      </c>
      <c r="G485" s="2" t="s">
        <v>1459</v>
      </c>
      <c r="H485" s="2" t="s">
        <v>287</v>
      </c>
      <c r="I485" s="3" t="str">
        <f>IFERROR(__xludf.DUMMYFUNCTION("GOOGLETRANSLATE(C485,""fr"",""en"")"),"Eallianz, no consideration for the customer.")</f>
        <v>Eallianz, no consideration for the customer.</v>
      </c>
    </row>
    <row r="486" ht="15.75" customHeight="1">
      <c r="A486" s="2">
        <v>1.0</v>
      </c>
      <c r="B486" s="2" t="s">
        <v>1460</v>
      </c>
      <c r="C486" s="2" t="s">
        <v>1461</v>
      </c>
      <c r="D486" s="2" t="s">
        <v>176</v>
      </c>
      <c r="E486" s="2" t="s">
        <v>285</v>
      </c>
      <c r="F486" s="2" t="s">
        <v>15</v>
      </c>
      <c r="G486" s="2" t="s">
        <v>526</v>
      </c>
      <c r="H486" s="2" t="s">
        <v>60</v>
      </c>
      <c r="I486" s="3" t="str">
        <f>IFERROR(__xludf.DUMMYFUNCTION("GOOGLETRANSLATE(C486,""fr"",""en"")"),"Member for over 40 years I have undergone 2 claims during the past 3 years
The 1st my induction plaque toasted following a thunderstorm La Macif did not compensate me because it took the current price 320 euros and not the real price paid during my purch"&amp;"ase in 2010 600 euros to apply the veté rate that 'It would have been the reference price if the plate had cost more
2nd sinister November 2019 following the storm part of the wall of my home was collapsed The expert considered that the wind of more than"&amp;" 120kmh was not the cause of the disaster The Macif refused any compensation
Conclusion do not have a disaster at the Macif")</f>
        <v>Member for over 40 years I have undergone 2 claims during the past 3 years
The 1st my induction plaque toasted following a thunderstorm La Macif did not compensate me because it took the current price 320 euros and not the real price paid during my purchase in 2010 600 euros to apply the veté rate that 'It would have been the reference price if the plate had cost more
2nd sinister November 2019 following the storm part of the wall of my home was collapsed The expert considered that the wind of more than 120kmh was not the cause of the disaster The Macif refused any compensation
Conclusion do not have a disaster at the Macif</v>
      </c>
    </row>
    <row r="487" ht="15.75" customHeight="1">
      <c r="A487" s="2">
        <v>1.0</v>
      </c>
      <c r="B487" s="2" t="s">
        <v>1462</v>
      </c>
      <c r="C487" s="2" t="s">
        <v>1463</v>
      </c>
      <c r="D487" s="2" t="s">
        <v>400</v>
      </c>
      <c r="E487" s="2" t="s">
        <v>285</v>
      </c>
      <c r="F487" s="2" t="s">
        <v>15</v>
      </c>
      <c r="G487" s="2" t="s">
        <v>1464</v>
      </c>
      <c r="H487" s="2" t="s">
        <v>900</v>
      </c>
      <c r="I487" s="3" t="str">
        <f>IFERROR(__xludf.DUMMYFUNCTION("GOOGLETRANSLATE(C487,""fr"",""en"")"),"Assurance that does not respect its commitments, do not follow the files and do not respect its customers. No management of files, contradictions of advisers, and no charges, very long deadlines and do not return to customers")</f>
        <v>Assurance that does not respect its commitments, do not follow the files and do not respect its customers. No management of files, contradictions of advisers, and no charges, very long deadlines and do not return to customers</v>
      </c>
    </row>
    <row r="488" ht="15.75" customHeight="1">
      <c r="A488" s="2">
        <v>3.0</v>
      </c>
      <c r="B488" s="2" t="s">
        <v>1465</v>
      </c>
      <c r="C488" s="2" t="s">
        <v>1466</v>
      </c>
      <c r="D488" s="2" t="s">
        <v>372</v>
      </c>
      <c r="E488" s="2" t="s">
        <v>127</v>
      </c>
      <c r="F488" s="2" t="s">
        <v>15</v>
      </c>
      <c r="G488" s="2" t="s">
        <v>1467</v>
      </c>
      <c r="H488" s="2" t="s">
        <v>149</v>
      </c>
      <c r="I488" s="3" t="str">
        <f>IFERROR(__xludf.DUMMYFUNCTION("GOOGLETRANSLATE(C488,""fr"",""en"")"),"For prices it is attractive but you should know that there is no customer service by phone so it quickly becomes very complicated when you need something or change your contract ...
")</f>
        <v>For prices it is attractive but you should know that there is no customer service by phone so it quickly becomes very complicated when you need something or change your contract ...
</v>
      </c>
    </row>
    <row r="489" ht="15.75" customHeight="1">
      <c r="A489" s="2">
        <v>4.0</v>
      </c>
      <c r="B489" s="2" t="s">
        <v>1468</v>
      </c>
      <c r="C489" s="2" t="s">
        <v>1469</v>
      </c>
      <c r="D489" s="2" t="s">
        <v>372</v>
      </c>
      <c r="E489" s="2" t="s">
        <v>127</v>
      </c>
      <c r="F489" s="2" t="s">
        <v>15</v>
      </c>
      <c r="G489" s="2" t="s">
        <v>764</v>
      </c>
      <c r="H489" s="2" t="s">
        <v>231</v>
      </c>
      <c r="I489" s="3" t="str">
        <f>IFERROR(__xludf.DUMMYFUNCTION("GOOGLETRANSLATE(C489,""fr"",""en"")"),"Very responsive and involved staff when I requests, my file was processed quickly.
To see in the event of a claim, which did not happen to me in 6 years, hence only 4 stars.")</f>
        <v>Very responsive and involved staff when I requests, my file was processed quickly.
To see in the event of a claim, which did not happen to me in 6 years, hence only 4 stars.</v>
      </c>
    </row>
    <row r="490" ht="15.75" customHeight="1">
      <c r="A490" s="2">
        <v>3.0</v>
      </c>
      <c r="B490" s="2" t="s">
        <v>1470</v>
      </c>
      <c r="C490" s="2" t="s">
        <v>1471</v>
      </c>
      <c r="D490" s="2" t="s">
        <v>48</v>
      </c>
      <c r="E490" s="2" t="s">
        <v>14</v>
      </c>
      <c r="F490" s="2" t="s">
        <v>15</v>
      </c>
      <c r="G490" s="2" t="s">
        <v>1472</v>
      </c>
      <c r="H490" s="2" t="s">
        <v>67</v>
      </c>
      <c r="I490" s="3" t="str">
        <f>IFERROR(__xludf.DUMMYFUNCTION("GOOGLETRANSLATE(C490,""fr"",""en"")"),"I am satisfied: your collaborator managed my call very well this morning. I am simply amazed at the doubling of price between Picasso and Touran !!")</f>
        <v>I am satisfied: your collaborator managed my call very well this morning. I am simply amazed at the doubling of price between Picasso and Touran !!</v>
      </c>
    </row>
    <row r="491" ht="15.75" customHeight="1">
      <c r="A491" s="2">
        <v>4.0</v>
      </c>
      <c r="B491" s="2" t="s">
        <v>1473</v>
      </c>
      <c r="C491" s="2" t="s">
        <v>1474</v>
      </c>
      <c r="D491" s="2" t="s">
        <v>372</v>
      </c>
      <c r="E491" s="2" t="s">
        <v>127</v>
      </c>
      <c r="F491" s="2" t="s">
        <v>15</v>
      </c>
      <c r="G491" s="2" t="s">
        <v>1295</v>
      </c>
      <c r="H491" s="2" t="s">
        <v>89</v>
      </c>
      <c r="I491" s="3" t="str">
        <f>IFERROR(__xludf.DUMMYFUNCTION("GOOGLETRANSLATE(C491,""fr"",""en"")"),"Very satisfied with the service with a good care of my request.
I find that the various formulas deserve more readable information when you make the quote.
There are more detailed information during the subscription.
The price is pretty good")</f>
        <v>Very satisfied with the service with a good care of my request.
I find that the various formulas deserve more readable information when you make the quote.
There are more detailed information during the subscription.
The price is pretty good</v>
      </c>
    </row>
    <row r="492" ht="15.75" customHeight="1">
      <c r="A492" s="2">
        <v>4.0</v>
      </c>
      <c r="B492" s="2" t="s">
        <v>1475</v>
      </c>
      <c r="C492" s="2" t="s">
        <v>1476</v>
      </c>
      <c r="D492" s="2" t="s">
        <v>13</v>
      </c>
      <c r="E492" s="2" t="s">
        <v>14</v>
      </c>
      <c r="F492" s="2" t="s">
        <v>15</v>
      </c>
      <c r="G492" s="2" t="s">
        <v>1477</v>
      </c>
      <c r="H492" s="2" t="s">
        <v>89</v>
      </c>
      <c r="I492" s="3" t="str">
        <f>IFERROR(__xludf.DUMMYFUNCTION("GOOGLETRANSLATE(C492,""fr"",""en"")"),"I find it none of having to leave an opinion necessarily without being able to go to the next step.
Leave one when I just subscribed this does not suit me")</f>
        <v>I find it none of having to leave an opinion necessarily without being able to go to the next step.
Leave one when I just subscribed this does not suit me</v>
      </c>
    </row>
    <row r="493" ht="15.75" customHeight="1">
      <c r="A493" s="2">
        <v>1.0</v>
      </c>
      <c r="B493" s="2" t="s">
        <v>1478</v>
      </c>
      <c r="C493" s="2" t="s">
        <v>1479</v>
      </c>
      <c r="D493" s="2" t="s">
        <v>83</v>
      </c>
      <c r="E493" s="2" t="s">
        <v>14</v>
      </c>
      <c r="F493" s="2" t="s">
        <v>15</v>
      </c>
      <c r="G493" s="2" t="s">
        <v>1207</v>
      </c>
      <c r="H493" s="2" t="s">
        <v>29</v>
      </c>
      <c r="I493" s="3" t="str">
        <f>IFERROR(__xludf.DUMMYFUNCTION("GOOGLETRANSLATE(C493,""fr"",""en"")"),"I have just received a letter of termination from the Matmut which estimates that 2 claims in 6 months it deserves a radiation, the claims are a hanging with a car that has had a door and a wing, me no damage and a 2nd sinister change of the windshield fo"&amp;"llowing a shine, thank you the matmut if I had known, I would have replaced my windshield after 6 months
Ashamed")</f>
        <v>I have just received a letter of termination from the Matmut which estimates that 2 claims in 6 months it deserves a radiation, the claims are a hanging with a car that has had a door and a wing, me no damage and a 2nd sinister change of the windshield following a shine, thank you the matmut if I had known, I would have replaced my windshield after 6 months
Ashamed</v>
      </c>
    </row>
    <row r="494" ht="15.75" customHeight="1">
      <c r="A494" s="2">
        <v>3.0</v>
      </c>
      <c r="B494" s="2" t="s">
        <v>1480</v>
      </c>
      <c r="C494" s="2" t="s">
        <v>1481</v>
      </c>
      <c r="D494" s="2" t="s">
        <v>787</v>
      </c>
      <c r="E494" s="2" t="s">
        <v>44</v>
      </c>
      <c r="F494" s="2" t="s">
        <v>15</v>
      </c>
      <c r="G494" s="2" t="s">
        <v>1482</v>
      </c>
      <c r="H494" s="2" t="s">
        <v>477</v>
      </c>
      <c r="I494" s="3" t="str">
        <f>IFERROR(__xludf.DUMMYFUNCTION("GOOGLETRANSLATE(C494,""fr"",""en"")"),"Non -existent customer service. Lamentable would be even fairer. Absolutely unreachable. We even wonder why I have set up a Tel number intended for customers !! Nullissime. To avoid. Incredibly bad")</f>
        <v>Non -existent customer service. Lamentable would be even fairer. Absolutely unreachable. We even wonder why I have set up a Tel number intended for customers !! Nullissime. To avoid. Incredibly bad</v>
      </c>
    </row>
    <row r="495" ht="15.75" customHeight="1">
      <c r="A495" s="2">
        <v>2.0</v>
      </c>
      <c r="B495" s="2" t="s">
        <v>1483</v>
      </c>
      <c r="C495" s="2" t="s">
        <v>1484</v>
      </c>
      <c r="D495" s="2" t="s">
        <v>102</v>
      </c>
      <c r="E495" s="2" t="s">
        <v>14</v>
      </c>
      <c r="F495" s="2" t="s">
        <v>15</v>
      </c>
      <c r="G495" s="2" t="s">
        <v>1485</v>
      </c>
      <c r="H495" s="2" t="s">
        <v>200</v>
      </c>
      <c r="I495" s="3" t="str">
        <f>IFERROR(__xludf.DUMMYFUNCTION("GOOGLETRANSLATE(C495,""fr"",""en"")"),"I have subscribed to MAAF legal protection, home insurance, complementary health insurance for me and my family, a tranquility family (private life accident) and I am taking out insurance for my professional office. When I ask to ensure my car (I specify "&amp;"that I am only 1.01 is the most minimal penalty) I am not even offered neither contract nor solution when I have already been assured at Aviva for many years, that My last accident dates from 2016 and is not responsible. Next to her that I pay my contribu"&amp;"tions TJR in time. You offer products that you praise as great but do not even retain customers who want to take out a new product.")</f>
        <v>I have subscribed to MAAF legal protection, home insurance, complementary health insurance for me and my family, a tranquility family (private life accident) and I am taking out insurance for my professional office. When I ask to ensure my car (I specify that I am only 1.01 is the most minimal penalty) I am not even offered neither contract nor solution when I have already been assured at Aviva for many years, that My last accident dates from 2016 and is not responsible. Next to her that I pay my contributions TJR in time. You offer products that you praise as great but do not even retain customers who want to take out a new product.</v>
      </c>
    </row>
    <row r="496" ht="15.75" customHeight="1">
      <c r="A496" s="2">
        <v>5.0</v>
      </c>
      <c r="B496" s="2" t="s">
        <v>1486</v>
      </c>
      <c r="C496" s="2" t="s">
        <v>1487</v>
      </c>
      <c r="D496" s="2" t="s">
        <v>28</v>
      </c>
      <c r="E496" s="2" t="s">
        <v>14</v>
      </c>
      <c r="F496" s="2" t="s">
        <v>15</v>
      </c>
      <c r="G496" s="2" t="s">
        <v>1420</v>
      </c>
      <c r="H496" s="2" t="s">
        <v>25</v>
      </c>
      <c r="I496" s="3" t="str">
        <f>IFERROR(__xludf.DUMMYFUNCTION("GOOGLETRANSLATE(C496,""fr"",""en"")"),"Nothing to say. Perfect. All the questions I asked received clear and precise answers. The correspondents are up to height and effective.")</f>
        <v>Nothing to say. Perfect. All the questions I asked received clear and precise answers. The correspondents are up to height and effective.</v>
      </c>
    </row>
    <row r="497" ht="15.75" customHeight="1">
      <c r="A497" s="2">
        <v>4.0</v>
      </c>
      <c r="B497" s="2" t="s">
        <v>1488</v>
      </c>
      <c r="C497" s="2" t="s">
        <v>1489</v>
      </c>
      <c r="D497" s="2" t="s">
        <v>28</v>
      </c>
      <c r="E497" s="2" t="s">
        <v>14</v>
      </c>
      <c r="F497" s="2" t="s">
        <v>15</v>
      </c>
      <c r="G497" s="2" t="s">
        <v>512</v>
      </c>
      <c r="H497" s="2" t="s">
        <v>89</v>
      </c>
      <c r="I497" s="3" t="str">
        <f>IFERROR(__xludf.DUMMYFUNCTION("GOOGLETRANSLATE(C497,""fr"",""en"")"),"I am sastified in your promptness you have been insightful. Indeed I realized that despite the annual settlement of my subscription I am in possession of the green card of a preriode covering that six months therefore expired at the end of June, when I sh"&amp;"ould have had a certificate for a year until 'At the end of December. To date I am in violation if I have a check.")</f>
        <v>I am sastified in your promptness you have been insightful. Indeed I realized that despite the annual settlement of my subscription I am in possession of the green card of a preriode covering that six months therefore expired at the end of June, when I should have had a certificate for a year until 'At the end of December. To date I am in violation if I have a check.</v>
      </c>
    </row>
    <row r="498" ht="15.75" customHeight="1">
      <c r="A498" s="2">
        <v>4.0</v>
      </c>
      <c r="B498" s="2" t="s">
        <v>1490</v>
      </c>
      <c r="C498" s="2" t="s">
        <v>1491</v>
      </c>
      <c r="D498" s="2" t="s">
        <v>13</v>
      </c>
      <c r="E498" s="2" t="s">
        <v>14</v>
      </c>
      <c r="F498" s="2" t="s">
        <v>15</v>
      </c>
      <c r="G498" s="2" t="s">
        <v>145</v>
      </c>
      <c r="H498" s="2" t="s">
        <v>29</v>
      </c>
      <c r="I498" s="3" t="str">
        <f>IFERROR(__xludf.DUMMYFUNCTION("GOOGLETRANSLATE(C498,""fr"",""en"")"),"I am satisfied with this insurance, that's why have it to advise me for these attractive prices and are easy and easy to access;")</f>
        <v>I am satisfied with this insurance, that's why have it to advise me for these attractive prices and are easy and easy to access;</v>
      </c>
    </row>
    <row r="499" ht="15.75" customHeight="1">
      <c r="A499" s="2">
        <v>4.0</v>
      </c>
      <c r="B499" s="2" t="s">
        <v>1492</v>
      </c>
      <c r="C499" s="2" t="s">
        <v>1493</v>
      </c>
      <c r="D499" s="2" t="s">
        <v>126</v>
      </c>
      <c r="E499" s="2" t="s">
        <v>127</v>
      </c>
      <c r="F499" s="2" t="s">
        <v>15</v>
      </c>
      <c r="G499" s="2" t="s">
        <v>1494</v>
      </c>
      <c r="H499" s="2" t="s">
        <v>89</v>
      </c>
      <c r="I499" s="3" t="str">
        <f>IFERROR(__xludf.DUMMYFUNCTION("GOOGLETRANSLATE(C499,""fr"",""en"")"),"I am satisfied with the service and the information given to ensure my scooter, I will recommend your insurance for my relatives and friends.
Thanks very much.
Cordially,")</f>
        <v>I am satisfied with the service and the information given to ensure my scooter, I will recommend your insurance for my relatives and friends.
Thanks very much.
Cordially,</v>
      </c>
    </row>
    <row r="500" ht="15.75" customHeight="1">
      <c r="A500" s="2">
        <v>1.0</v>
      </c>
      <c r="B500" s="2" t="s">
        <v>1495</v>
      </c>
      <c r="C500" s="2" t="s">
        <v>1496</v>
      </c>
      <c r="D500" s="2" t="s">
        <v>228</v>
      </c>
      <c r="E500" s="2" t="s">
        <v>14</v>
      </c>
      <c r="F500" s="2" t="s">
        <v>15</v>
      </c>
      <c r="G500" s="2" t="s">
        <v>1497</v>
      </c>
      <c r="H500" s="2" t="s">
        <v>204</v>
      </c>
      <c r="I500" s="3" t="str">
        <f>IFERROR(__xludf.DUMMYFUNCTION("GOOGLETRANSLATE(C500,""fr"",""en"")"),"Following a non -responsible equipment claim for October 2019 I am still awaiting reimbursement or around 5000 euros while the agreements were given for repairs")</f>
        <v>Following a non -responsible equipment claim for October 2019 I am still awaiting reimbursement or around 5000 euros while the agreements were given for repairs</v>
      </c>
    </row>
    <row r="501" ht="15.75" customHeight="1">
      <c r="A501" s="2">
        <v>3.0</v>
      </c>
      <c r="B501" s="2" t="s">
        <v>1498</v>
      </c>
      <c r="C501" s="2" t="s">
        <v>1499</v>
      </c>
      <c r="D501" s="2" t="s">
        <v>372</v>
      </c>
      <c r="E501" s="2" t="s">
        <v>127</v>
      </c>
      <c r="F501" s="2" t="s">
        <v>15</v>
      </c>
      <c r="G501" s="2" t="s">
        <v>1500</v>
      </c>
      <c r="H501" s="2" t="s">
        <v>29</v>
      </c>
      <c r="I501" s="3" t="str">
        <f>IFERROR(__xludf.DUMMYFUNCTION("GOOGLETRANSLATE(C501,""fr"",""en"")"),"seems correct to me, first time I assure myself at AMV, I am now waiting for the continuation and the service if something is happening. It is then that we know the value.")</f>
        <v>seems correct to me, first time I assure myself at AMV, I am now waiting for the continuation and the service if something is happening. It is then that we know the value.</v>
      </c>
    </row>
    <row r="502" ht="15.75" customHeight="1">
      <c r="A502" s="2">
        <v>3.0</v>
      </c>
      <c r="B502" s="2" t="s">
        <v>1501</v>
      </c>
      <c r="C502" s="2" t="s">
        <v>1502</v>
      </c>
      <c r="D502" s="2" t="s">
        <v>121</v>
      </c>
      <c r="E502" s="2" t="s">
        <v>14</v>
      </c>
      <c r="F502" s="2" t="s">
        <v>15</v>
      </c>
      <c r="G502" s="2" t="s">
        <v>1503</v>
      </c>
      <c r="H502" s="2" t="s">
        <v>204</v>
      </c>
      <c r="I502" s="3" t="str">
        <f>IFERROR(__xludf.DUMMYFUNCTION("GOOGLETRANSLATE(C502,""fr"",""en"")"),"I terminated my car insurance at the beginning of the year because I sold my car, the maif claims me unjustified settlement and unpaid costs, no clear response by phone and no return to my email. In addition to that, they blocked my access to my home insu"&amp;"rance on my internet space. Yet I have been at home for over 10 years and I have never paid my contributions late")</f>
        <v>I terminated my car insurance at the beginning of the year because I sold my car, the maif claims me unjustified settlement and unpaid costs, no clear response by phone and no return to my email. In addition to that, they blocked my access to my home insurance on my internet space. Yet I have been at home for over 10 years and I have never paid my contributions late</v>
      </c>
    </row>
    <row r="503" ht="15.75" customHeight="1">
      <c r="A503" s="2">
        <v>1.0</v>
      </c>
      <c r="B503" s="2" t="s">
        <v>1504</v>
      </c>
      <c r="C503" s="2" t="s">
        <v>1505</v>
      </c>
      <c r="D503" s="2" t="s">
        <v>28</v>
      </c>
      <c r="E503" s="2" t="s">
        <v>14</v>
      </c>
      <c r="F503" s="2" t="s">
        <v>15</v>
      </c>
      <c r="G503" s="2" t="s">
        <v>1348</v>
      </c>
      <c r="H503" s="2" t="s">
        <v>99</v>
      </c>
      <c r="I503" s="3" t="str">
        <f>IFERROR(__xludf.DUMMYFUNCTION("GOOGLETRANSLATE(C503,""fr"",""en"")"),"I will tell you a very very funny story and enormous proof of incompetence on the part of this insurance!
After 5 years of car insurance at home, I change my car. I call to do the necessary with insurance and change of model. And the person on the phone "&amp;"tells me that it is a sport model and I am as a young license so they refuse to make sure. I was 6 years old already and the car was a classic Ford Fiesta.
I tried to explain this to the person of the GMF who told me that obviously she knew better than m"&amp;"e.
Thank you GMF, you lost a customer who wanted to stay at home.")</f>
        <v>I will tell you a very very funny story and enormous proof of incompetence on the part of this insurance!
After 5 years of car insurance at home, I change my car. I call to do the necessary with insurance and change of model. And the person on the phone tells me that it is a sport model and I am as a young license so they refuse to make sure. I was 6 years old already and the car was a classic Ford Fiesta.
I tried to explain this to the person of the GMF who told me that obviously she knew better than me.
Thank you GMF, you lost a customer who wanted to stay at home.</v>
      </c>
    </row>
    <row r="504" ht="15.75" customHeight="1">
      <c r="A504" s="2">
        <v>3.0</v>
      </c>
      <c r="B504" s="2" t="s">
        <v>1506</v>
      </c>
      <c r="C504" s="2" t="s">
        <v>1507</v>
      </c>
      <c r="D504" s="2" t="s">
        <v>110</v>
      </c>
      <c r="E504" s="2" t="s">
        <v>44</v>
      </c>
      <c r="F504" s="2" t="s">
        <v>15</v>
      </c>
      <c r="G504" s="2" t="s">
        <v>1508</v>
      </c>
      <c r="H504" s="2" t="s">
        <v>17</v>
      </c>
      <c r="I504" s="3" t="str">
        <f>IFERROR(__xludf.DUMMYFUNCTION("GOOGLETRANSLATE(C504,""fr"",""en"")"),"Effective with good prices and the site is very clear and easy to use the price is attractive with very good simple and practical coverage")</f>
        <v>Effective with good prices and the site is very clear and easy to use the price is attractive with very good simple and practical coverage</v>
      </c>
    </row>
    <row r="505" ht="15.75" customHeight="1">
      <c r="A505" s="2">
        <v>1.0</v>
      </c>
      <c r="B505" s="2" t="s">
        <v>1509</v>
      </c>
      <c r="C505" s="2" t="s">
        <v>1510</v>
      </c>
      <c r="D505" s="2" t="s">
        <v>97</v>
      </c>
      <c r="E505" s="2" t="s">
        <v>33</v>
      </c>
      <c r="F505" s="2" t="s">
        <v>15</v>
      </c>
      <c r="G505" s="2" t="s">
        <v>1511</v>
      </c>
      <c r="H505" s="2" t="s">
        <v>628</v>
      </c>
      <c r="I505" s="3" t="str">
        <f>IFERROR(__xludf.DUMMYFUNCTION("GOOGLETRANSLATE(C505,""fr"",""en"")"),"Just a horror, extremely high acquisition fees and completely unreachable customer service and when it is, the sympathy of the advisers is not so much there !!")</f>
        <v>Just a horror, extremely high acquisition fees and completely unreachable customer service and when it is, the sympathy of the advisers is not so much there !!</v>
      </c>
    </row>
    <row r="506" ht="15.75" customHeight="1">
      <c r="A506" s="2">
        <v>3.0</v>
      </c>
      <c r="B506" s="2" t="s">
        <v>1512</v>
      </c>
      <c r="C506" s="2" t="s">
        <v>1513</v>
      </c>
      <c r="D506" s="2" t="s">
        <v>83</v>
      </c>
      <c r="E506" s="2" t="s">
        <v>14</v>
      </c>
      <c r="F506" s="2" t="s">
        <v>15</v>
      </c>
      <c r="G506" s="2" t="s">
        <v>1514</v>
      </c>
      <c r="H506" s="2" t="s">
        <v>238</v>
      </c>
      <c r="I506" s="3" t="str">
        <f>IFERROR(__xludf.DUMMYFUNCTION("GOOGLETRANSLATE(C506,""fr"",""en"")"),"I wanted to pass my 2 cars (+10 years) all risks in third parties, make a quote (interesting) on ​​their site I contact the agency and I am told that I am not entitled to it, I am made a quote 20 % + dear. The online quote is for the new ones ... no accid"&amp;"ents for 15 years. Bravo the commercial gesture !!")</f>
        <v>I wanted to pass my 2 cars (+10 years) all risks in third parties, make a quote (interesting) on ​​their site I contact the agency and I am told that I am not entitled to it, I am made a quote 20 % + dear. The online quote is for the new ones ... no accidents for 15 years. Bravo the commercial gesture !!</v>
      </c>
    </row>
    <row r="507" ht="15.75" customHeight="1">
      <c r="A507" s="2">
        <v>1.0</v>
      </c>
      <c r="B507" s="2" t="s">
        <v>1515</v>
      </c>
      <c r="C507" s="2" t="s">
        <v>1516</v>
      </c>
      <c r="D507" s="2" t="s">
        <v>214</v>
      </c>
      <c r="E507" s="2" t="s">
        <v>215</v>
      </c>
      <c r="F507" s="2" t="s">
        <v>15</v>
      </c>
      <c r="G507" s="2" t="s">
        <v>1517</v>
      </c>
      <c r="H507" s="2" t="s">
        <v>67</v>
      </c>
      <c r="I507" s="3" t="str">
        <f>IFERROR(__xludf.DUMMYFUNCTION("GOOGLETRANSLATE(C507,""fr"",""en"")"),"Please note, the debited monthly payments do not correspond to the signed contracts and are much higher.
Non -existent customer service, no response to different emails
")</f>
        <v>Please note, the debited monthly payments do not correspond to the signed contracts and are much higher.
Non -existent customer service, no response to different emails
</v>
      </c>
    </row>
    <row r="508" ht="15.75" customHeight="1">
      <c r="A508" s="2">
        <v>4.0</v>
      </c>
      <c r="B508" s="2" t="s">
        <v>1518</v>
      </c>
      <c r="C508" s="2" t="s">
        <v>1519</v>
      </c>
      <c r="D508" s="2" t="s">
        <v>48</v>
      </c>
      <c r="E508" s="2" t="s">
        <v>14</v>
      </c>
      <c r="F508" s="2" t="s">
        <v>15</v>
      </c>
      <c r="G508" s="2" t="s">
        <v>1207</v>
      </c>
      <c r="H508" s="2" t="s">
        <v>29</v>
      </c>
      <c r="I508" s="3" t="str">
        <f>IFERROR(__xludf.DUMMYFUNCTION("GOOGLETRANSLATE(C508,""fr"",""en"")"),"I am satisfied, thank you for your efficiency!
I congratulate you on the price you are the cheapest after comparing 5 quotes to the competition!")</f>
        <v>I am satisfied, thank you for your efficiency!
I congratulate you on the price you are the cheapest after comparing 5 quotes to the competition!</v>
      </c>
    </row>
    <row r="509" ht="15.75" customHeight="1">
      <c r="A509" s="2">
        <v>3.0</v>
      </c>
      <c r="B509" s="2" t="s">
        <v>1520</v>
      </c>
      <c r="C509" s="2" t="s">
        <v>1521</v>
      </c>
      <c r="D509" s="2" t="s">
        <v>284</v>
      </c>
      <c r="E509" s="2" t="s">
        <v>285</v>
      </c>
      <c r="F509" s="2" t="s">
        <v>15</v>
      </c>
      <c r="G509" s="2" t="s">
        <v>1522</v>
      </c>
      <c r="H509" s="2" t="s">
        <v>173</v>
      </c>
      <c r="I509" s="3" t="str">
        <f>IFERROR(__xludf.DUMMYFUNCTION("GOOGLETRANSLATE(C509,""fr"",""en"")"),"A zero sinister service! My DDE dates from October and we are still in the procedures. Unreachable on the phone. I have to restart them constantly. In short to flee! I quickly solve.")</f>
        <v>A zero sinister service! My DDE dates from October and we are still in the procedures. Unreachable on the phone. I have to restart them constantly. In short to flee! I quickly solve.</v>
      </c>
    </row>
    <row r="510" ht="15.75" customHeight="1">
      <c r="A510" s="2">
        <v>1.0</v>
      </c>
      <c r="B510" s="2" t="s">
        <v>1523</v>
      </c>
      <c r="C510" s="2" t="s">
        <v>1524</v>
      </c>
      <c r="D510" s="2" t="s">
        <v>787</v>
      </c>
      <c r="E510" s="2" t="s">
        <v>44</v>
      </c>
      <c r="F510" s="2" t="s">
        <v>15</v>
      </c>
      <c r="G510" s="2" t="s">
        <v>1525</v>
      </c>
      <c r="H510" s="2" t="s">
        <v>99</v>
      </c>
      <c r="I510" s="3" t="str">
        <f>IFERROR(__xludf.DUMMYFUNCTION("GOOGLETRANSLATE(C510,""fr"",""en"")"),"to flee !!!!!! does not reimburse in time, 2 months of waiting for a simple refund of € 130
For assets on the minimum phone 20 min waiting
")</f>
        <v>to flee !!!!!! does not reimburse in time, 2 months of waiting for a simple refund of € 130
For assets on the minimum phone 20 min waiting
</v>
      </c>
    </row>
    <row r="511" ht="15.75" customHeight="1">
      <c r="A511" s="2">
        <v>3.0</v>
      </c>
      <c r="B511" s="2" t="s">
        <v>1526</v>
      </c>
      <c r="C511" s="2" t="s">
        <v>1527</v>
      </c>
      <c r="D511" s="2" t="s">
        <v>13</v>
      </c>
      <c r="E511" s="2" t="s">
        <v>14</v>
      </c>
      <c r="F511" s="2" t="s">
        <v>15</v>
      </c>
      <c r="G511" s="2" t="s">
        <v>1528</v>
      </c>
      <c r="H511" s="2" t="s">
        <v>50</v>
      </c>
      <c r="I511" s="3" t="str">
        <f>IFERROR(__xludf.DUMMYFUNCTION("GOOGLETRANSLATE(C511,""fr"",""en"")"),"Hello, too bad the annual amount takes 15% monthly. It would have been good to announce it before. Commercially speaking, it is a fault and the famous competitive prices are not really so. Thank you")</f>
        <v>Hello, too bad the annual amount takes 15% monthly. It would have been good to announce it before. Commercially speaking, it is a fault and the famous competitive prices are not really so. Thank you</v>
      </c>
    </row>
    <row r="512" ht="15.75" customHeight="1">
      <c r="A512" s="2">
        <v>1.0</v>
      </c>
      <c r="B512" s="2" t="s">
        <v>1529</v>
      </c>
      <c r="C512" s="2" t="s">
        <v>1530</v>
      </c>
      <c r="D512" s="2" t="s">
        <v>83</v>
      </c>
      <c r="E512" s="2" t="s">
        <v>285</v>
      </c>
      <c r="F512" s="2" t="s">
        <v>15</v>
      </c>
      <c r="G512" s="2" t="s">
        <v>1531</v>
      </c>
      <c r="H512" s="2" t="s">
        <v>173</v>
      </c>
      <c r="I512" s="3" t="str">
        <f>IFERROR(__xludf.DUMMYFUNCTION("GOOGLETRANSLATE(C512,""fr"",""en"")"),"No consideration for its customers, nobody never responds! I have a water damage since 02/23/2019 (!!!) of which I am not originally and the Matmut does nothing! My apartment was new, and for 1 year and a half I live with mold on the wall of my kitchen (t"&amp;"he smell is horrible, I dare imagine what I breathe), the high furniture is placed on the floor in the living room. The damage is still not identified but recently I received a miserable check for repairs. I make my wall redo to get damaged again in 1 mon"&amp;"th and do the procedure start? No humidity test was carried out on the wall, so impossible to see an evolution. You have to fight every moment to get something to move, and it is off for the same catchphrase. Being saying online space is only used to leav"&amp;"e you alone in your galley. The agencies are useless, they are only there to have contracts signed!
If you plan to choose this insurance for its name and proximity go your way, you will avoid white hair! The only service that works is the one that sends "&amp;"the advice of the contributions!")</f>
        <v>No consideration for its customers, nobody never responds! I have a water damage since 02/23/2019 (!!!) of which I am not originally and the Matmut does nothing! My apartment was new, and for 1 year and a half I live with mold on the wall of my kitchen (the smell is horrible, I dare imagine what I breathe), the high furniture is placed on the floor in the living room. The damage is still not identified but recently I received a miserable check for repairs. I make my wall redo to get damaged again in 1 month and do the procedure start? No humidity test was carried out on the wall, so impossible to see an evolution. You have to fight every moment to get something to move, and it is off for the same catchphrase. Being saying online space is only used to leave you alone in your galley. The agencies are useless, they are only there to have contracts signed!
If you plan to choose this insurance for its name and proximity go your way, you will avoid white hair! The only service that works is the one that sends the advice of the contributions!</v>
      </c>
    </row>
    <row r="513" ht="15.75" customHeight="1">
      <c r="A513" s="2">
        <v>3.0</v>
      </c>
      <c r="B513" s="2" t="s">
        <v>1532</v>
      </c>
      <c r="C513" s="2" t="s">
        <v>1533</v>
      </c>
      <c r="D513" s="2" t="s">
        <v>126</v>
      </c>
      <c r="E513" s="2" t="s">
        <v>127</v>
      </c>
      <c r="F513" s="2" t="s">
        <v>15</v>
      </c>
      <c r="G513" s="2" t="s">
        <v>663</v>
      </c>
      <c r="H513" s="2" t="s">
        <v>50</v>
      </c>
      <c r="I513" s="3" t="str">
        <f>IFERROR(__xludf.DUMMYFUNCTION("GOOGLETRANSLATE(C513,""fr"",""en"")"),"Well placed in terms of price but communication level to review they do not listen and repeat in a loop what they see on their screens damage to the customer who cannot explain his problem. Otherwise it is the 3rd motorcycles that I assure at home")</f>
        <v>Well placed in terms of price but communication level to review they do not listen and repeat in a loop what they see on their screens damage to the customer who cannot explain his problem. Otherwise it is the 3rd motorcycles that I assure at home</v>
      </c>
    </row>
    <row r="514" ht="15.75" customHeight="1">
      <c r="A514" s="2">
        <v>3.0</v>
      </c>
      <c r="B514" s="2" t="s">
        <v>1534</v>
      </c>
      <c r="C514" s="2" t="s">
        <v>1535</v>
      </c>
      <c r="D514" s="2" t="s">
        <v>53</v>
      </c>
      <c r="E514" s="2" t="s">
        <v>44</v>
      </c>
      <c r="F514" s="2" t="s">
        <v>15</v>
      </c>
      <c r="G514" s="2" t="s">
        <v>98</v>
      </c>
      <c r="H514" s="2" t="s">
        <v>99</v>
      </c>
      <c r="I514" s="3" t="str">
        <f>IFERROR(__xludf.DUMMYFUNCTION("GOOGLETRANSLATE(C514,""fr"",""en"")"),"During my interview with Émeline in order to resolve a reimbursement problem from Neoliane, she very kindly unlocked the situation and responded immediately. She knew how to take matters into hand and solve the problem. Init this with a good welcome and v"&amp;"ery pleasant.
Maryse LACAZE")</f>
        <v>During my interview with Émeline in order to resolve a reimbursement problem from Neoliane, she very kindly unlocked the situation and responded immediately. She knew how to take matters into hand and solve the problem. Init this with a good welcome and very pleasant.
Maryse LACAZE</v>
      </c>
    </row>
    <row r="515" ht="15.75" customHeight="1">
      <c r="A515" s="2">
        <v>3.0</v>
      </c>
      <c r="B515" s="2" t="s">
        <v>1536</v>
      </c>
      <c r="C515" s="2" t="s">
        <v>1537</v>
      </c>
      <c r="D515" s="2" t="s">
        <v>83</v>
      </c>
      <c r="E515" s="2" t="s">
        <v>285</v>
      </c>
      <c r="F515" s="2" t="s">
        <v>15</v>
      </c>
      <c r="G515" s="2" t="s">
        <v>1190</v>
      </c>
      <c r="H515" s="2" t="s">
        <v>261</v>
      </c>
      <c r="I515" s="3" t="str">
        <f>IFERROR(__xludf.DUMMYFUNCTION("GOOGLETRANSLATE(C515,""fr"",""en"")"),"I am worried .... Following the attack of a dog without a leash and without a muzzle in a garden in the city of Nice which caused the death of my little dog and injuries on my person; I thought my responsibility insurance civil would intervene, but after "&amp;"3
months, I have no news from the Matmut; where is my file? I would be reimbursed veterinarian fees (surgery and 3 days of hospitalization, not to mention the price of my little dog, sterilization, vaccines; as for the moral damage, I do not expect anyth"&amp;"ing; but at least material costs! messages but no answers
I have taken out several contracts since July 2019; very disappointed, but maybe it takes time to process this file; I just ask for news to reassure myself; thank you")</f>
        <v>I am worried .... Following the attack of a dog without a leash and without a muzzle in a garden in the city of Nice which caused the death of my little dog and injuries on my person; I thought my responsibility insurance civil would intervene, but after 3
months, I have no news from the Matmut; where is my file? I would be reimbursed veterinarian fees (surgery and 3 days of hospitalization, not to mention the price of my little dog, sterilization, vaccines; as for the moral damage, I do not expect anything; but at least material costs! messages but no answers
I have taken out several contracts since July 2019; very disappointed, but maybe it takes time to process this file; I just ask for news to reassure myself; thank you</v>
      </c>
    </row>
    <row r="516" ht="15.75" customHeight="1">
      <c r="A516" s="2">
        <v>1.0</v>
      </c>
      <c r="B516" s="2" t="s">
        <v>1538</v>
      </c>
      <c r="C516" s="2" t="s">
        <v>1539</v>
      </c>
      <c r="D516" s="2" t="s">
        <v>319</v>
      </c>
      <c r="E516" s="2" t="s">
        <v>285</v>
      </c>
      <c r="F516" s="2" t="s">
        <v>15</v>
      </c>
      <c r="G516" s="2" t="s">
        <v>1540</v>
      </c>
      <c r="H516" s="2" t="s">
        <v>305</v>
      </c>
      <c r="I516" s="3" t="str">
        <f>IFERROR(__xludf.DUMMYFUNCTION("GOOGLETRANSLATE(C516,""fr"",""en"")"),"Customer service is unavailable == I am waiting for 15 min on average before having someone on the phone.
So I told myself that I was going to try to communicate by email, I think it's a bit the basis of having a customer service with whom communicated b"&amp;"y email and well you have to believe that not at Crédit Mutuel since they take 1 week to respond to a simple request for sending an observation, 1 more week to send the good observation at this rate there actually we spend 3 months paying a small strippin"&amp;"g of the waters ...")</f>
        <v>Customer service is unavailable == I am waiting for 15 min on average before having someone on the phone.
So I told myself that I was going to try to communicate by email, I think it's a bit the basis of having a customer service with whom communicated by email and well you have to believe that not at Crédit Mutuel since they take 1 week to respond to a simple request for sending an observation, 1 more week to send the good observation at this rate there actually we spend 3 months paying a small stripping of the waters ...</v>
      </c>
    </row>
    <row r="517" ht="15.75" customHeight="1">
      <c r="A517" s="2">
        <v>3.0</v>
      </c>
      <c r="B517" s="2" t="s">
        <v>1541</v>
      </c>
      <c r="C517" s="2" t="s">
        <v>1542</v>
      </c>
      <c r="D517" s="2" t="s">
        <v>48</v>
      </c>
      <c r="E517" s="2" t="s">
        <v>14</v>
      </c>
      <c r="F517" s="2" t="s">
        <v>15</v>
      </c>
      <c r="G517" s="2" t="s">
        <v>1543</v>
      </c>
      <c r="H517" s="2" t="s">
        <v>164</v>
      </c>
      <c r="I517" s="3" t="str">
        <f>IFERROR(__xludf.DUMMYFUNCTION("GOOGLETRANSLATE(C517,""fr"",""en"")"),"Rapid reimbursement following claims, but a substantial increase during a renewal, or when the insurance of a new vehicle. The best is perhaps to change your insurance company every year.")</f>
        <v>Rapid reimbursement following claims, but a substantial increase during a renewal, or when the insurance of a new vehicle. The best is perhaps to change your insurance company every year.</v>
      </c>
    </row>
    <row r="518" ht="15.75" customHeight="1">
      <c r="A518" s="2">
        <v>1.0</v>
      </c>
      <c r="B518" s="2" t="s">
        <v>1544</v>
      </c>
      <c r="C518" s="2" t="s">
        <v>1545</v>
      </c>
      <c r="D518" s="2" t="s">
        <v>58</v>
      </c>
      <c r="E518" s="2" t="s">
        <v>44</v>
      </c>
      <c r="F518" s="2" t="s">
        <v>15</v>
      </c>
      <c r="G518" s="2" t="s">
        <v>1546</v>
      </c>
      <c r="H518" s="2" t="s">
        <v>535</v>
      </c>
      <c r="I518" s="3" t="str">
        <f>IFERROR(__xludf.DUMMYFUNCTION("GOOGLETRANSLATE(C518,""fr"",""en"")"),"I have been in disability category 2 since October 1, 2016
My employer informed Mutual Harmony of my situation on November 30 I was then in suspension of the employment contract
Mutual Harmonie has struck me off from October 1, 2016
Without notifying a"&amp;"ny e-mail no letter no phone call.
On the other hand, they continued to take up contributions from option B until the end of December 2016.
Currently I fight with them to recover my portability provided in my unanswered contract from them. To follow ..."&amp;".")</f>
        <v>I have been in disability category 2 since October 1, 2016
My employer informed Mutual Harmony of my situation on November 30 I was then in suspension of the employment contract
Mutual Harmonie has struck me off from October 1, 2016
Without notifying any e-mail no letter no phone call.
On the other hand, they continued to take up contributions from option B until the end of December 2016.
Currently I fight with them to recover my portability provided in my unanswered contract from them. To follow ....</v>
      </c>
    </row>
    <row r="519" ht="15.75" customHeight="1">
      <c r="A519" s="2">
        <v>5.0</v>
      </c>
      <c r="B519" s="2" t="s">
        <v>1547</v>
      </c>
      <c r="C519" s="2" t="s">
        <v>1548</v>
      </c>
      <c r="D519" s="2" t="s">
        <v>126</v>
      </c>
      <c r="E519" s="2" t="s">
        <v>127</v>
      </c>
      <c r="F519" s="2" t="s">
        <v>15</v>
      </c>
      <c r="G519" s="2" t="s">
        <v>1549</v>
      </c>
      <c r="H519" s="2" t="s">
        <v>25</v>
      </c>
      <c r="I519" s="3" t="str">
        <f>IFERROR(__xludf.DUMMYFUNCTION("GOOGLETRANSLATE(C519,""fr"",""en"")"),"The cheapest insurance I have found with so many guarantees. Very simple to make a quote and an immediate response. I am very satisfied.")</f>
        <v>The cheapest insurance I have found with so many guarantees. Very simple to make a quote and an immediate response. I am very satisfied.</v>
      </c>
    </row>
    <row r="520" ht="15.75" customHeight="1">
      <c r="A520" s="2">
        <v>2.0</v>
      </c>
      <c r="B520" s="2" t="s">
        <v>1550</v>
      </c>
      <c r="C520" s="2" t="s">
        <v>1551</v>
      </c>
      <c r="D520" s="2" t="s">
        <v>116</v>
      </c>
      <c r="E520" s="2" t="s">
        <v>14</v>
      </c>
      <c r="F520" s="2" t="s">
        <v>15</v>
      </c>
      <c r="G520" s="2" t="s">
        <v>1552</v>
      </c>
      <c r="H520" s="2" t="s">
        <v>149</v>
      </c>
      <c r="I520" s="3" t="str">
        <f>IFERROR(__xludf.DUMMYFUNCTION("GOOGLETRANSLATE(C520,""fr"",""en"")"),"I have been registered for a month, for no green card. They do not answer the email or the phone.
I am not sure if I am insured or not.
An assure that we can not trust
Non -existent customer service")</f>
        <v>I have been registered for a month, for no green card. They do not answer the email or the phone.
I am not sure if I am insured or not.
An assure that we can not trust
Non -existent customer service</v>
      </c>
    </row>
    <row r="521" ht="15.75" customHeight="1">
      <c r="A521" s="2">
        <v>1.0</v>
      </c>
      <c r="B521" s="2" t="s">
        <v>1553</v>
      </c>
      <c r="C521" s="2" t="s">
        <v>1554</v>
      </c>
      <c r="D521" s="2" t="s">
        <v>105</v>
      </c>
      <c r="E521" s="2" t="s">
        <v>38</v>
      </c>
      <c r="F521" s="2" t="s">
        <v>15</v>
      </c>
      <c r="G521" s="2" t="s">
        <v>1555</v>
      </c>
      <c r="H521" s="2" t="s">
        <v>99</v>
      </c>
      <c r="I521" s="3" t="str">
        <f>IFERROR(__xludf.DUMMYFUNCTION("GOOGLETRANSLATE(C521,""fr"",""en"")"),"Having paid for 20 years a depending insurance with this company, I asked given my state of health the establishment of the annuity in early May 2021 without new I made emails by my son -in -law without response, after several phone With the Sevice Custom"&amp;"ers I am informed that the RIB is missing and the certificate of social security, I have been taken for 20 years on the account the premiums and they do not know this one, the documents relating to my health report From my SS number and the hospitals made"&amp;" their report! The copy of the SS card was provided?
""Do not pay"" it must be the leitmotive of this service that we cannot join!
lamentable!")</f>
        <v>Having paid for 20 years a depending insurance with this company, I asked given my state of health the establishment of the annuity in early May 2021 without new I made emails by my son -in -law without response, after several phone With the Sevice Customers I am informed that the RIB is missing and the certificate of social security, I have been taken for 20 years on the account the premiums and they do not know this one, the documents relating to my health report From my SS number and the hospitals made their report! The copy of the SS card was provided?
"Do not pay" it must be the leitmotive of this service that we cannot join!
lamentable!</v>
      </c>
    </row>
    <row r="522" ht="15.75" customHeight="1">
      <c r="A522" s="2">
        <v>2.0</v>
      </c>
      <c r="B522" s="2" t="s">
        <v>1556</v>
      </c>
      <c r="C522" s="2" t="s">
        <v>1557</v>
      </c>
      <c r="D522" s="2" t="s">
        <v>400</v>
      </c>
      <c r="E522" s="2" t="s">
        <v>14</v>
      </c>
      <c r="F522" s="2" t="s">
        <v>15</v>
      </c>
      <c r="G522" s="2" t="s">
        <v>1558</v>
      </c>
      <c r="H522" s="2" t="s">
        <v>149</v>
      </c>
      <c r="I522" s="3" t="str">
        <f>IFERROR(__xludf.DUMMYFUNCTION("GOOGLETRANSLATE(C522,""fr"",""en"")"),"Following a request from a second Pacifica auto contract tells me that they must apply for a derogation and after signing the contract but that we do not know when and waiting for car not insured. So where is the law of the obligation to ensure a car if t"&amp;"his insurance is not available on the Internet and which does not provide without the authorization of their head office. Then any documents must be sent by mail and not scann we ask who is really pacifica. So cancellation of the two auto contracts Bravo "&amp;"to this insurance which does not respect the laws.")</f>
        <v>Following a request from a second Pacifica auto contract tells me that they must apply for a derogation and after signing the contract but that we do not know when and waiting for car not insured. So where is the law of the obligation to ensure a car if this insurance is not available on the Internet and which does not provide without the authorization of their head office. Then any documents must be sent by mail and not scann we ask who is really pacifica. So cancellation of the two auto contracts Bravo to this insurance which does not respect the laws.</v>
      </c>
    </row>
    <row r="523" ht="15.75" customHeight="1">
      <c r="A523" s="2">
        <v>1.0</v>
      </c>
      <c r="B523" s="2" t="s">
        <v>1559</v>
      </c>
      <c r="C523" s="2" t="s">
        <v>1560</v>
      </c>
      <c r="D523" s="2" t="s">
        <v>48</v>
      </c>
      <c r="E523" s="2" t="s">
        <v>14</v>
      </c>
      <c r="F523" s="2" t="s">
        <v>15</v>
      </c>
      <c r="G523" s="2" t="s">
        <v>1561</v>
      </c>
      <c r="H523" s="2" t="s">
        <v>628</v>
      </c>
      <c r="I523" s="3" t="str">
        <f>IFERROR(__xludf.DUMMYFUNCTION("GOOGLETRANSLATE(C523,""fr"",""en"")"),"Make a quote and you will be shocked between what you pay and what you are offered. For my share 400 € difference. I have called several advisers and they are unable to tell me why. So I terminated my contract after 12 years
")</f>
        <v>Make a quote and you will be shocked between what you pay and what you are offered. For my share 400 € difference. I have called several advisers and they are unable to tell me why. So I terminated my contract after 12 years
</v>
      </c>
    </row>
    <row r="524" ht="15.75" customHeight="1">
      <c r="A524" s="2">
        <v>1.0</v>
      </c>
      <c r="B524" s="2" t="s">
        <v>1562</v>
      </c>
      <c r="C524" s="2" t="s">
        <v>1563</v>
      </c>
      <c r="D524" s="2" t="s">
        <v>13</v>
      </c>
      <c r="E524" s="2" t="s">
        <v>14</v>
      </c>
      <c r="F524" s="2" t="s">
        <v>15</v>
      </c>
      <c r="G524" s="2" t="s">
        <v>1564</v>
      </c>
      <c r="H524" s="2" t="s">
        <v>185</v>
      </c>
      <c r="I524" s="3" t="str">
        <f>IFERROR(__xludf.DUMMYFUNCTION("GOOGLETRANSLATE(C524,""fr"",""en"")"),"I largely recommend this insurance.
No physical agency, on the phone we will offer you an appointment within 7 days.
And in the event of a dispute, we refer you to a long procedure with the mediator.
The prices may be interesting, but we regret it ve"&amp;"ry quickly.
A good hearing.")</f>
        <v>I largely recommend this insurance.
No physical agency, on the phone we will offer you an appointment within 7 days.
And in the event of a dispute, we refer you to a long procedure with the mediator.
The prices may be interesting, but we regret it very quickly.
A good hearing.</v>
      </c>
    </row>
    <row r="525" ht="15.75" customHeight="1">
      <c r="A525" s="2">
        <v>2.0</v>
      </c>
      <c r="B525" s="2" t="s">
        <v>1565</v>
      </c>
      <c r="C525" s="2" t="s">
        <v>1566</v>
      </c>
      <c r="D525" s="2" t="s">
        <v>126</v>
      </c>
      <c r="E525" s="2" t="s">
        <v>127</v>
      </c>
      <c r="F525" s="2" t="s">
        <v>15</v>
      </c>
      <c r="G525" s="2" t="s">
        <v>698</v>
      </c>
      <c r="H525" s="2" t="s">
        <v>21</v>
      </c>
      <c r="I525" s="3" t="str">
        <f>IFERROR(__xludf.DUMMYFUNCTION("GOOGLETRANSLATE(C525,""fr"",""en"")"),"A little too high price for a simple 59 cm3 just at the minimum and he would have been able to make a price seen that I have dejected a vehicle insured at eu")</f>
        <v>A little too high price for a simple 59 cm3 just at the minimum and he would have been able to make a price seen that I have dejected a vehicle insured at eu</v>
      </c>
    </row>
    <row r="526" ht="15.75" customHeight="1">
      <c r="A526" s="2">
        <v>5.0</v>
      </c>
      <c r="B526" s="2" t="s">
        <v>1567</v>
      </c>
      <c r="C526" s="2" t="s">
        <v>1568</v>
      </c>
      <c r="D526" s="2" t="s">
        <v>135</v>
      </c>
      <c r="E526" s="2" t="s">
        <v>44</v>
      </c>
      <c r="F526" s="2" t="s">
        <v>15</v>
      </c>
      <c r="G526" s="2" t="s">
        <v>1569</v>
      </c>
      <c r="H526" s="2" t="s">
        <v>298</v>
      </c>
      <c r="I526" s="3" t="str">
        <f>IFERROR(__xludf.DUMMYFUNCTION("GOOGLETRANSLATE(C526,""fr"",""en"")"),"telephone reception is benevolent The explanations are clear your advises are patient")</f>
        <v>telephone reception is benevolent The explanations are clear your advises are patient</v>
      </c>
    </row>
    <row r="527" ht="15.75" customHeight="1">
      <c r="A527" s="2">
        <v>4.0</v>
      </c>
      <c r="B527" s="2" t="s">
        <v>1570</v>
      </c>
      <c r="C527" s="2" t="s">
        <v>1571</v>
      </c>
      <c r="D527" s="2" t="s">
        <v>48</v>
      </c>
      <c r="E527" s="2" t="s">
        <v>14</v>
      </c>
      <c r="F527" s="2" t="s">
        <v>15</v>
      </c>
      <c r="G527" s="2" t="s">
        <v>509</v>
      </c>
      <c r="H527" s="2" t="s">
        <v>89</v>
      </c>
      <c r="I527" s="3" t="str">
        <f>IFERROR(__xludf.DUMMYFUNCTION("GOOGLETRANSLATE(C527,""fr"",""en"")"),"It is a shame to be obliged to enter your personal information when I am already insured at home.
I don't need to see a loan because I already have another car.
Otherwise")</f>
        <v>It is a shame to be obliged to enter your personal information when I am already insured at home.
I don't need to see a loan because I already have another car.
Otherwise</v>
      </c>
    </row>
    <row r="528" ht="15.75" customHeight="1">
      <c r="A528" s="2">
        <v>5.0</v>
      </c>
      <c r="B528" s="2" t="s">
        <v>1572</v>
      </c>
      <c r="C528" s="2" t="s">
        <v>1573</v>
      </c>
      <c r="D528" s="2" t="s">
        <v>319</v>
      </c>
      <c r="E528" s="2" t="s">
        <v>215</v>
      </c>
      <c r="F528" s="2" t="s">
        <v>15</v>
      </c>
      <c r="G528" s="2" t="s">
        <v>1574</v>
      </c>
      <c r="H528" s="2" t="s">
        <v>40</v>
      </c>
      <c r="I528" s="3" t="str">
        <f>IFERROR(__xludf.DUMMYFUNCTION("GOOGLETRANSLATE(C528,""fr"",""en"")"),"Very serious and very responsive")</f>
        <v>Very serious and very responsive</v>
      </c>
    </row>
    <row r="529" ht="15.75" customHeight="1">
      <c r="A529" s="2">
        <v>4.0</v>
      </c>
      <c r="B529" s="2" t="s">
        <v>1575</v>
      </c>
      <c r="C529" s="2" t="s">
        <v>1576</v>
      </c>
      <c r="D529" s="2" t="s">
        <v>13</v>
      </c>
      <c r="E529" s="2" t="s">
        <v>14</v>
      </c>
      <c r="F529" s="2" t="s">
        <v>15</v>
      </c>
      <c r="G529" s="2" t="s">
        <v>1577</v>
      </c>
      <c r="H529" s="2" t="s">
        <v>50</v>
      </c>
      <c r="I529" s="3" t="str">
        <f>IFERROR(__xludf.DUMMYFUNCTION("GOOGLETRANSLATE(C529,""fr"",""en"")"),"Satisfied with preferential rates. To see in time, but I could be tempted to call on the Olivier Assurances in the future for other contracts if necessary.
")</f>
        <v>Satisfied with preferential rates. To see in time, but I could be tempted to call on the Olivier Assurances in the future for other contracts if necessary.
</v>
      </c>
    </row>
    <row r="530" ht="15.75" customHeight="1">
      <c r="A530" s="2">
        <v>1.0</v>
      </c>
      <c r="B530" s="2" t="s">
        <v>1578</v>
      </c>
      <c r="C530" s="2" t="s">
        <v>1579</v>
      </c>
      <c r="D530" s="2" t="s">
        <v>13</v>
      </c>
      <c r="E530" s="2" t="s">
        <v>14</v>
      </c>
      <c r="F530" s="2" t="s">
        <v>15</v>
      </c>
      <c r="G530" s="2" t="s">
        <v>1580</v>
      </c>
      <c r="H530" s="2" t="s">
        <v>589</v>
      </c>
      <c r="I530" s="3" t="str">
        <f>IFERROR(__xludf.DUMMYFUNCTION("GOOGLETRANSLATE(C530,""fr"",""en"")"),"Hanging price from the first year, then ""assassin"" once the poison rail, the following year. I confirm, that you should not have an accident, poor care of the file. And then you become a pariah.")</f>
        <v>Hanging price from the first year, then "assassin" once the poison rail, the following year. I confirm, that you should not have an accident, poor care of the file. And then you become a pariah.</v>
      </c>
    </row>
    <row r="531" ht="15.75" customHeight="1">
      <c r="A531" s="2">
        <v>4.0</v>
      </c>
      <c r="B531" s="2" t="s">
        <v>1581</v>
      </c>
      <c r="C531" s="2" t="s">
        <v>1582</v>
      </c>
      <c r="D531" s="2" t="s">
        <v>135</v>
      </c>
      <c r="E531" s="2" t="s">
        <v>44</v>
      </c>
      <c r="F531" s="2" t="s">
        <v>15</v>
      </c>
      <c r="G531" s="2" t="s">
        <v>1196</v>
      </c>
      <c r="H531" s="2" t="s">
        <v>17</v>
      </c>
      <c r="I531" s="3" t="str">
        <f>IFERROR(__xludf.DUMMYFUNCTION("GOOGLETRANSLATE(C531,""fr"",""en"")"),"Thanks to Ramata for her skill and kindness in the processing of my file managed to unlock a complicated situation for me.
Fully satisfied with follow -up.")</f>
        <v>Thanks to Ramata for her skill and kindness in the processing of my file managed to unlock a complicated situation for me.
Fully satisfied with follow -up.</v>
      </c>
    </row>
    <row r="532" ht="15.75" customHeight="1">
      <c r="A532" s="2">
        <v>4.0</v>
      </c>
      <c r="B532" s="2" t="s">
        <v>1583</v>
      </c>
      <c r="C532" s="2" t="s">
        <v>1584</v>
      </c>
      <c r="D532" s="2" t="s">
        <v>330</v>
      </c>
      <c r="E532" s="2" t="s">
        <v>44</v>
      </c>
      <c r="F532" s="2" t="s">
        <v>15</v>
      </c>
      <c r="G532" s="2" t="s">
        <v>952</v>
      </c>
      <c r="H532" s="2" t="s">
        <v>29</v>
      </c>
      <c r="I532" s="3" t="str">
        <f>IFERROR(__xludf.DUMMYFUNCTION("GOOGLETRANSLATE(C532,""fr"",""en"")"),"No complaints, I am satisfied
For years at the MGP my services have been correct.
Each of my questions the answers are clear and precise.")</f>
        <v>No complaints, I am satisfied
For years at the MGP my services have been correct.
Each of my questions the answers are clear and precise.</v>
      </c>
    </row>
    <row r="533" ht="15.75" customHeight="1">
      <c r="A533" s="2">
        <v>4.0</v>
      </c>
      <c r="B533" s="2" t="s">
        <v>1585</v>
      </c>
      <c r="C533" s="2" t="s">
        <v>1586</v>
      </c>
      <c r="D533" s="2" t="s">
        <v>28</v>
      </c>
      <c r="E533" s="2" t="s">
        <v>14</v>
      </c>
      <c r="F533" s="2" t="s">
        <v>15</v>
      </c>
      <c r="G533" s="2" t="s">
        <v>520</v>
      </c>
      <c r="H533" s="2" t="s">
        <v>231</v>
      </c>
      <c r="I533" s="3" t="str">
        <f>IFERROR(__xludf.DUMMYFUNCTION("GOOGLETRANSLATE(C533,""fr"",""en"")"),"I have been a member of the GMF since 1980. I am satisfied with the services rendered, I have always been well accompanied and obtained adequate repairs. The allocation of loans through SEDEF is rapid and the interest rates offered are attractive.")</f>
        <v>I have been a member of the GMF since 1980. I am satisfied with the services rendered, I have always been well accompanied and obtained adequate repairs. The allocation of loans through SEDEF is rapid and the interest rates offered are attractive.</v>
      </c>
    </row>
    <row r="534" ht="15.75" customHeight="1">
      <c r="A534" s="2">
        <v>1.0</v>
      </c>
      <c r="B534" s="2" t="s">
        <v>1587</v>
      </c>
      <c r="C534" s="2" t="s">
        <v>1588</v>
      </c>
      <c r="D534" s="2" t="s">
        <v>102</v>
      </c>
      <c r="E534" s="2" t="s">
        <v>285</v>
      </c>
      <c r="F534" s="2" t="s">
        <v>15</v>
      </c>
      <c r="G534" s="2" t="s">
        <v>1589</v>
      </c>
      <c r="H534" s="2" t="s">
        <v>85</v>
      </c>
      <c r="I534" s="3" t="str">
        <f>IFERROR(__xludf.DUMMYFUNCTION("GOOGLETRANSLATE(C534,""fr"",""en"")"),"After having gathered my home insurance and car in a maaf agency in Paris, I suffered a claim due to drought in 2018. Three interlocutors responsible for this same agency have succeeded in three years and exchanges by email with the MAAF ONSIFTS SINISTRY "&amp;"SERVICES I therefore decided to withdraw all of my maaf files. To avoid.")</f>
        <v>After having gathered my home insurance and car in a maaf agency in Paris, I suffered a claim due to drought in 2018. Three interlocutors responsible for this same agency have succeeded in three years and exchanges by email with the MAAF ONSIFTS SINISTRY SERVICES I therefore decided to withdraw all of my maaf files. To avoid.</v>
      </c>
    </row>
    <row r="535" ht="15.75" customHeight="1">
      <c r="A535" s="2">
        <v>2.0</v>
      </c>
      <c r="B535" s="2" t="s">
        <v>1590</v>
      </c>
      <c r="C535" s="2" t="s">
        <v>1591</v>
      </c>
      <c r="D535" s="2" t="s">
        <v>176</v>
      </c>
      <c r="E535" s="2" t="s">
        <v>14</v>
      </c>
      <c r="F535" s="2" t="s">
        <v>15</v>
      </c>
      <c r="G535" s="2" t="s">
        <v>535</v>
      </c>
      <c r="H535" s="2" t="s">
        <v>535</v>
      </c>
      <c r="I535" s="3" t="str">
        <f>IFERROR(__xludf.DUMMYFUNCTION("GOOGLETRANSLATE(C535,""fr"",""en"")"),"As a member, I am very disappointed with the processing of my sinister file.
I realized that Macif had unilaterally increased the deductible applicable to my vehicle from 170 to 250 € without clearly informing of it ...
They wanted to hear anything on t"&amp;"his point during my various telephone calls with their sales service.
Their attitude is unacceptable ... but they applied it knowingly ... and for fear of losing many customers if they had modified this criterion of the contract in the rules!
So as far "&amp;"as I'm concerned, Macif is stop!
A loyal scam customer ...")</f>
        <v>As a member, I am very disappointed with the processing of my sinister file.
I realized that Macif had unilaterally increased the deductible applicable to my vehicle from 170 to 250 € without clearly informing of it ...
They wanted to hear anything on this point during my various telephone calls with their sales service.
Their attitude is unacceptable ... but they applied it knowingly ... and for fear of losing many customers if they had modified this criterion of the contract in the rules!
So as far as I'm concerned, Macif is stop!
A loyal scam customer ...</v>
      </c>
    </row>
    <row r="536" ht="15.75" customHeight="1">
      <c r="A536" s="2">
        <v>1.0</v>
      </c>
      <c r="B536" s="2" t="s">
        <v>1592</v>
      </c>
      <c r="C536" s="2" t="s">
        <v>1593</v>
      </c>
      <c r="D536" s="2" t="s">
        <v>330</v>
      </c>
      <c r="E536" s="2" t="s">
        <v>44</v>
      </c>
      <c r="F536" s="2" t="s">
        <v>15</v>
      </c>
      <c r="G536" s="2" t="s">
        <v>517</v>
      </c>
      <c r="H536" s="2" t="s">
        <v>89</v>
      </c>
      <c r="I536" s="3" t="str">
        <f>IFERROR(__xludf.DUMMYFUNCTION("GOOGLETRANSLATE(C536,""fr"",""en"")"),"Mail, letters, information, complaints and all documents transmitted to your services are never processed properly. We must systematically recall and recall again so that finally we obtain satisfaction and all this with a mutual rate increasing each year."&amp;"
I am waiting for my bank modification to be made for 8 months now !!!!!!!!!
")</f>
        <v>Mail, letters, information, complaints and all documents transmitted to your services are never processed properly. We must systematically recall and recall again so that finally we obtain satisfaction and all this with a mutual rate increasing each year.
I am waiting for my bank modification to be made for 8 months now !!!!!!!!!
</v>
      </c>
    </row>
    <row r="537" ht="15.75" customHeight="1">
      <c r="A537" s="2">
        <v>2.0</v>
      </c>
      <c r="B537" s="2" t="s">
        <v>1594</v>
      </c>
      <c r="C537" s="2" t="s">
        <v>1595</v>
      </c>
      <c r="D537" s="2" t="s">
        <v>228</v>
      </c>
      <c r="E537" s="2" t="s">
        <v>14</v>
      </c>
      <c r="F537" s="2" t="s">
        <v>15</v>
      </c>
      <c r="G537" s="2" t="s">
        <v>1596</v>
      </c>
      <c r="H537" s="2" t="s">
        <v>60</v>
      </c>
      <c r="I537" s="3" t="str">
        <f>IFERROR(__xludf.DUMMYFUNCTION("GOOGLETRANSLATE(C537,""fr"",""en"")"),"I had a non -responsible disaster already a few months ago. After the expert's visit, the vehicle resumption is decided. Nevertheless I have never received the mail and the recovery papers and our vehicle unable to drive occupies a parking space ... Despi"&amp;"te several reminders from AXA (phone, email,) nothing happens. We turn in a watery and we hear ourselves say it's not me it's the other service ....")</f>
        <v>I had a non -responsible disaster already a few months ago. After the expert's visit, the vehicle resumption is decided. Nevertheless I have never received the mail and the recovery papers and our vehicle unable to drive occupies a parking space ... Despite several reminders from AXA (phone, email,) nothing happens. We turn in a watery and we hear ourselves say it's not me it's the other service ....</v>
      </c>
    </row>
    <row r="538" ht="15.75" customHeight="1">
      <c r="A538" s="2">
        <v>2.0</v>
      </c>
      <c r="B538" s="2" t="s">
        <v>1597</v>
      </c>
      <c r="C538" s="2" t="s">
        <v>1598</v>
      </c>
      <c r="D538" s="2" t="s">
        <v>577</v>
      </c>
      <c r="E538" s="2" t="s">
        <v>215</v>
      </c>
      <c r="F538" s="2" t="s">
        <v>15</v>
      </c>
      <c r="G538" s="2" t="s">
        <v>1599</v>
      </c>
      <c r="H538" s="2" t="s">
        <v>157</v>
      </c>
      <c r="I538" s="3" t="str">
        <f>IFERROR(__xludf.DUMMYFUNCTION("GOOGLETRANSLATE(C538,""fr"",""en"")"),"Very long reimbursement to come, customer platform not very bad, the abuse are returned the ball to each other, reimbursement file several months before reimbursement")</f>
        <v>Very long reimbursement to come, customer platform not very bad, the abuse are returned the ball to each other, reimbursement file several months before reimbursement</v>
      </c>
    </row>
    <row r="539" ht="15.75" customHeight="1">
      <c r="A539" s="2">
        <v>4.0</v>
      </c>
      <c r="B539" s="2" t="s">
        <v>1600</v>
      </c>
      <c r="C539" s="2" t="s">
        <v>1601</v>
      </c>
      <c r="D539" s="2" t="s">
        <v>13</v>
      </c>
      <c r="E539" s="2" t="s">
        <v>14</v>
      </c>
      <c r="F539" s="2" t="s">
        <v>15</v>
      </c>
      <c r="G539" s="2" t="s">
        <v>308</v>
      </c>
      <c r="H539" s="2" t="s">
        <v>89</v>
      </c>
      <c r="I539" s="3" t="str">
        <f>IFERROR(__xludf.DUMMYFUNCTION("GOOGLETRANSLATE(C539,""fr"",""en"")"),"I am satisfied with the service. The prices are competitive, on the other hand the signing of the documents can be a little complicated. The personal space is easy to access. Thank you")</f>
        <v>I am satisfied with the service. The prices are competitive, on the other hand the signing of the documents can be a little complicated. The personal space is easy to access. Thank you</v>
      </c>
    </row>
    <row r="540" ht="15.75" customHeight="1">
      <c r="A540" s="2">
        <v>4.0</v>
      </c>
      <c r="B540" s="2" t="s">
        <v>1602</v>
      </c>
      <c r="C540" s="2" t="s">
        <v>1603</v>
      </c>
      <c r="D540" s="2" t="s">
        <v>48</v>
      </c>
      <c r="E540" s="2" t="s">
        <v>14</v>
      </c>
      <c r="F540" s="2" t="s">
        <v>15</v>
      </c>
      <c r="G540" s="2" t="s">
        <v>1604</v>
      </c>
      <c r="H540" s="2" t="s">
        <v>50</v>
      </c>
      <c r="I540" s="3" t="str">
        <f>IFERROR(__xludf.DUMMYFUNCTION("GOOGLETRANSLATE(C540,""fr"",""en"")"),"I am happy for the site., The quote is transparent.
However, I hope you have an English service
Can insurance be paid monthly and not annually?
Thank you")</f>
        <v>I am happy for the site., The quote is transparent.
However, I hope you have an English service
Can insurance be paid monthly and not annually?
Thank you</v>
      </c>
    </row>
    <row r="541" ht="15.75" customHeight="1">
      <c r="A541" s="2">
        <v>3.0</v>
      </c>
      <c r="B541" s="2" t="s">
        <v>1605</v>
      </c>
      <c r="C541" s="2" t="s">
        <v>1606</v>
      </c>
      <c r="D541" s="2" t="s">
        <v>48</v>
      </c>
      <c r="E541" s="2" t="s">
        <v>14</v>
      </c>
      <c r="F541" s="2" t="s">
        <v>15</v>
      </c>
      <c r="G541" s="2" t="s">
        <v>1607</v>
      </c>
      <c r="H541" s="2" t="s">
        <v>89</v>
      </c>
      <c r="I541" s="3" t="str">
        <f>IFERROR(__xludf.DUMMYFUNCTION("GOOGLETRANSLATE(C541,""fr"",""en"")"),"I have traveled all the offers on the comparison site, you are the only supplier I can pay ... no problem display problem, no probalem loading page ... suddenly I choose the one taking 'money...")</f>
        <v>I have traveled all the offers on the comparison site, you are the only supplier I can pay ... no problem display problem, no probalem loading page ... suddenly I choose the one taking 'money...</v>
      </c>
    </row>
    <row r="542" ht="15.75" customHeight="1">
      <c r="A542" s="2">
        <v>4.0</v>
      </c>
      <c r="B542" s="2" t="s">
        <v>1608</v>
      </c>
      <c r="C542" s="2" t="s">
        <v>1609</v>
      </c>
      <c r="D542" s="2" t="s">
        <v>48</v>
      </c>
      <c r="E542" s="2" t="s">
        <v>14</v>
      </c>
      <c r="F542" s="2" t="s">
        <v>15</v>
      </c>
      <c r="G542" s="2" t="s">
        <v>181</v>
      </c>
      <c r="H542" s="2" t="s">
        <v>29</v>
      </c>
      <c r="I542" s="3" t="str">
        <f>IFERROR(__xludf.DUMMYFUNCTION("GOOGLETRANSLATE(C542,""fr"",""en"")"),"I am satisfied with the service and concerning the price is suitable for the service it is simple and practical I recommend direct insurance to my loved ones")</f>
        <v>I am satisfied with the service and concerning the price is suitable for the service it is simple and practical I recommend direct insurance to my loved ones</v>
      </c>
    </row>
    <row r="543" ht="15.75" customHeight="1">
      <c r="A543" s="2">
        <v>4.0</v>
      </c>
      <c r="B543" s="2" t="s">
        <v>1610</v>
      </c>
      <c r="C543" s="2" t="s">
        <v>1611</v>
      </c>
      <c r="D543" s="2" t="s">
        <v>13</v>
      </c>
      <c r="E543" s="2" t="s">
        <v>14</v>
      </c>
      <c r="F543" s="2" t="s">
        <v>15</v>
      </c>
      <c r="G543" s="2" t="s">
        <v>1281</v>
      </c>
      <c r="H543" s="2" t="s">
        <v>67</v>
      </c>
      <c r="I543" s="3" t="str">
        <f>IFERROR(__xludf.DUMMYFUNCTION("GOOGLETRANSLATE(C543,""fr"",""en"")"),"Very pleasant telephone reception and advisers are very available to inform and advise customers. I will recommend the olive assurance very willingly")</f>
        <v>Very pleasant telephone reception and advisers are very available to inform and advise customers. I will recommend the olive assurance very willingly</v>
      </c>
    </row>
    <row r="544" ht="15.75" customHeight="1">
      <c r="A544" s="2">
        <v>4.0</v>
      </c>
      <c r="B544" s="2" t="s">
        <v>1612</v>
      </c>
      <c r="C544" s="2" t="s">
        <v>1613</v>
      </c>
      <c r="D544" s="2" t="s">
        <v>400</v>
      </c>
      <c r="E544" s="2" t="s">
        <v>14</v>
      </c>
      <c r="F544" s="2" t="s">
        <v>15</v>
      </c>
      <c r="G544" s="2" t="s">
        <v>1614</v>
      </c>
      <c r="H544" s="2" t="s">
        <v>204</v>
      </c>
      <c r="I544" s="3" t="str">
        <f>IFERROR(__xludf.DUMMYFUNCTION("GOOGLETRANSLATE(C544,""fr"",""en"")"),"One of the only insurer to offer compensation from the first percentage of disability in the event of a claim. The person takes precedence over materials.")</f>
        <v>One of the only insurer to offer compensation from the first percentage of disability in the event of a claim. The person takes precedence over materials.</v>
      </c>
    </row>
    <row r="545" ht="15.75" customHeight="1">
      <c r="A545" s="2">
        <v>4.0</v>
      </c>
      <c r="B545" s="2" t="s">
        <v>1615</v>
      </c>
      <c r="C545" s="2" t="s">
        <v>1616</v>
      </c>
      <c r="D545" s="2" t="s">
        <v>241</v>
      </c>
      <c r="E545" s="2" t="s">
        <v>242</v>
      </c>
      <c r="F545" s="2" t="s">
        <v>15</v>
      </c>
      <c r="G545" s="2" t="s">
        <v>1617</v>
      </c>
      <c r="H545" s="2" t="s">
        <v>185</v>
      </c>
      <c r="I545" s="3" t="str">
        <f>IFERROR(__xludf.DUMMYFUNCTION("GOOGLETRANSLATE(C545,""fr"",""en"")"),"I am satisfied with the service. The insurance price for the mortgage is very satisfactory. On the other hand, I did not manage to reach a advisor by phone.")</f>
        <v>I am satisfied with the service. The insurance price for the mortgage is very satisfactory. On the other hand, I did not manage to reach a advisor by phone.</v>
      </c>
    </row>
    <row r="546" ht="15.75" customHeight="1">
      <c r="A546" s="2">
        <v>2.0</v>
      </c>
      <c r="B546" s="2" t="s">
        <v>1618</v>
      </c>
      <c r="C546" s="2" t="s">
        <v>1619</v>
      </c>
      <c r="D546" s="2" t="s">
        <v>126</v>
      </c>
      <c r="E546" s="2" t="s">
        <v>127</v>
      </c>
      <c r="F546" s="2" t="s">
        <v>15</v>
      </c>
      <c r="G546" s="2" t="s">
        <v>16</v>
      </c>
      <c r="H546" s="2" t="s">
        <v>17</v>
      </c>
      <c r="I546" s="3" t="str">
        <f>IFERROR(__xludf.DUMMYFUNCTION("GOOGLETRANSLATE(C546,""fr"",""en"")"),"Please note, even if you have sale your April motorcycle takes you termination fees.
I can't find this normal because it is a case accepted by insurance.")</f>
        <v>Please note, even if you have sale your April motorcycle takes you termination fees.
I can't find this normal because it is a case accepted by insurance.</v>
      </c>
    </row>
    <row r="547" ht="15.75" customHeight="1">
      <c r="A547" s="2">
        <v>3.0</v>
      </c>
      <c r="B547" s="2" t="s">
        <v>1620</v>
      </c>
      <c r="C547" s="2" t="s">
        <v>1621</v>
      </c>
      <c r="D547" s="2" t="s">
        <v>48</v>
      </c>
      <c r="E547" s="2" t="s">
        <v>14</v>
      </c>
      <c r="F547" s="2" t="s">
        <v>15</v>
      </c>
      <c r="G547" s="2" t="s">
        <v>1622</v>
      </c>
      <c r="H547" s="2" t="s">
        <v>468</v>
      </c>
      <c r="I547" s="3" t="str">
        <f>IFERROR(__xludf.DUMMYFUNCTION("GOOGLETRANSLATE(C547,""fr"",""en"")"),"I am satisfied with the service which is easy to access. We are oriented for the best suitable contract; The quote is immediate but I do not see the amount of the applicable franchise!")</f>
        <v>I am satisfied with the service which is easy to access. We are oriented for the best suitable contract; The quote is immediate but I do not see the amount of the applicable franchise!</v>
      </c>
    </row>
    <row r="548" ht="15.75" customHeight="1">
      <c r="A548" s="2">
        <v>1.0</v>
      </c>
      <c r="B548" s="2" t="s">
        <v>1623</v>
      </c>
      <c r="C548" s="2" t="s">
        <v>1624</v>
      </c>
      <c r="D548" s="2" t="s">
        <v>121</v>
      </c>
      <c r="E548" s="2" t="s">
        <v>14</v>
      </c>
      <c r="F548" s="2" t="s">
        <v>15</v>
      </c>
      <c r="G548" s="2" t="s">
        <v>1625</v>
      </c>
      <c r="H548" s="2" t="s">
        <v>185</v>
      </c>
      <c r="I548" s="3" t="str">
        <f>IFERROR(__xludf.DUMMYFUNCTION("GOOGLETRANSLATE(C548,""fr"",""en"")"),"After spending 32 years insured at the MAIF, they wrote to me that they came to me because I told them that I was divorced. I had a month to find new insurance. I liked the same wanted to stay with them, it was a sentimental attachment I think, so they of"&amp;"fered me a price by doubling the price I paid before my divorce. I remained amazed by this attitude. I repeatedly repeated you realize 32 years ... and the guy from the maif replied yes Madame c is like that. A lot of contempt for all the people I had on "&amp;"the phone, inadmissible when we see their advertising campaign.")</f>
        <v>After spending 32 years insured at the MAIF, they wrote to me that they came to me because I told them that I was divorced. I had a month to find new insurance. I liked the same wanted to stay with them, it was a sentimental attachment I think, so they offered me a price by doubling the price I paid before my divorce. I remained amazed by this attitude. I repeatedly repeated you realize 32 years ... and the guy from the maif replied yes Madame c is like that. A lot of contempt for all the people I had on the phone, inadmissible when we see their advertising campaign.</v>
      </c>
    </row>
    <row r="549" ht="15.75" customHeight="1">
      <c r="A549" s="2">
        <v>3.0</v>
      </c>
      <c r="B549" s="2" t="s">
        <v>1626</v>
      </c>
      <c r="C549" s="2" t="s">
        <v>1627</v>
      </c>
      <c r="D549" s="2" t="s">
        <v>135</v>
      </c>
      <c r="E549" s="2" t="s">
        <v>44</v>
      </c>
      <c r="F549" s="2" t="s">
        <v>15</v>
      </c>
      <c r="G549" s="2" t="s">
        <v>323</v>
      </c>
      <c r="H549" s="2" t="s">
        <v>324</v>
      </c>
      <c r="I549" s="3" t="str">
        <f>IFERROR(__xludf.DUMMYFUNCTION("GOOGLETRANSLATE(C549,""fr"",""en"")"),"I am in the phase of becoming a customer at Santiane Insurance, I was well received by Nadège in the telephone service and the explanations were clear thinks that finally I will find the mutual that will go the mieu: see the rest")</f>
        <v>I am in the phase of becoming a customer at Santiane Insurance, I was well received by Nadège in the telephone service and the explanations were clear thinks that finally I will find the mutual that will go the mieu: see the rest</v>
      </c>
    </row>
    <row r="550" ht="15.75" customHeight="1">
      <c r="A550" s="2">
        <v>4.0</v>
      </c>
      <c r="B550" s="2" t="s">
        <v>1628</v>
      </c>
      <c r="C550" s="2" t="s">
        <v>1629</v>
      </c>
      <c r="D550" s="2" t="s">
        <v>28</v>
      </c>
      <c r="E550" s="2" t="s">
        <v>14</v>
      </c>
      <c r="F550" s="2" t="s">
        <v>15</v>
      </c>
      <c r="G550" s="2" t="s">
        <v>1096</v>
      </c>
      <c r="H550" s="2" t="s">
        <v>25</v>
      </c>
      <c r="I550" s="3" t="str">
        <f>IFERROR(__xludf.DUMMYFUNCTION("GOOGLETRANSLATE(C550,""fr"",""en"")"),"I am quite satisfied with the service. Anyway missing a small commercial gesture from time to time to thank the members more or a small gift to stand out from other insurers. Assum despite everything correct for me and my family.")</f>
        <v>I am quite satisfied with the service. Anyway missing a small commercial gesture from time to time to thank the members more or a small gift to stand out from other insurers. Assum despite everything correct for me and my family.</v>
      </c>
    </row>
    <row r="551" ht="15.75" customHeight="1">
      <c r="A551" s="2">
        <v>1.0</v>
      </c>
      <c r="B551" s="2" t="s">
        <v>1630</v>
      </c>
      <c r="C551" s="2" t="s">
        <v>1631</v>
      </c>
      <c r="D551" s="2" t="s">
        <v>116</v>
      </c>
      <c r="E551" s="2" t="s">
        <v>14</v>
      </c>
      <c r="F551" s="2" t="s">
        <v>15</v>
      </c>
      <c r="G551" s="2" t="s">
        <v>1632</v>
      </c>
      <c r="H551" s="2" t="s">
        <v>784</v>
      </c>
      <c r="I551" s="3" t="str">
        <f>IFERROR(__xludf.DUMMYFUNCTION("GOOGLETRANSLATE(C551,""fr"",""en"")"),"I do not recommend any normal perspective to subscribe to active insurance, I pay the price for I had a claim in August 2020 and 5 months after my file is still not processed, the sinister service is non -existent I call 15 times a day and I can't have an"&amp;" interlocutor the next step is justice here if you have time to waste and money to waste you can call them otherwise go see serious companies
")</f>
        <v>I do not recommend any normal perspective to subscribe to active insurance, I pay the price for I had a claim in August 2020 and 5 months after my file is still not processed, the sinister service is non -existent I call 15 times a day and I can't have an interlocutor the next step is justice here if you have time to waste and money to waste you can call them otherwise go see serious companies
</v>
      </c>
    </row>
    <row r="552" ht="15.75" customHeight="1">
      <c r="A552" s="2">
        <v>1.0</v>
      </c>
      <c r="B552" s="2" t="s">
        <v>1633</v>
      </c>
      <c r="C552" s="2" t="s">
        <v>1634</v>
      </c>
      <c r="D552" s="2" t="s">
        <v>92</v>
      </c>
      <c r="E552" s="2" t="s">
        <v>44</v>
      </c>
      <c r="F552" s="2" t="s">
        <v>15</v>
      </c>
      <c r="G552" s="2" t="s">
        <v>638</v>
      </c>
      <c r="H552" s="2" t="s">
        <v>25</v>
      </c>
      <c r="I552" s="3" t="str">
        <f>IFERROR(__xludf.DUMMYFUNCTION("GOOGLETRANSLATE(C552,""fr"",""en"")"),"A disaster!
Since November 2020 to join the complementary health I have sent 3 postal files (+ 1 by internet) all lost or thrown in the trash. The 4th shipment by registered letter with AR was taken into account. Finally if we can say. MGEN does not prev"&amp;"ent the CPAM. It is mandatory. I cannot update my vital card. Despite my multiple reminders nothing done: it is as if I have no complementary health, despite my contributions. I am only reimbursed on a security rate. Worse, my request for care for the opt"&amp;"ics, (made by the optician: glasses and frames was rejected by the MGEN). In the latest news, I will send me postcard my member card (I'm waiting!). It will not solve the problem which is to inform the CPAM since I do not have the right to do it myself.
"&amp;"So when it is possible go see elsewhere. In any case I know what I will do next year. At the satisfaction level: 0 star.
A good hearing hi!
Good luck, you are not alone!")</f>
        <v>A disaster!
Since November 2020 to join the complementary health I have sent 3 postal files (+ 1 by internet) all lost or thrown in the trash. The 4th shipment by registered letter with AR was taken into account. Finally if we can say. MGEN does not prevent the CPAM. It is mandatory. I cannot update my vital card. Despite my multiple reminders nothing done: it is as if I have no complementary health, despite my contributions. I am only reimbursed on a security rate. Worse, my request for care for the optics, (made by the optician: glasses and frames was rejected by the MGEN). In the latest news, I will send me postcard my member card (I'm waiting!). It will not solve the problem which is to inform the CPAM since I do not have the right to do it myself.
So when it is possible go see elsewhere. In any case I know what I will do next year. At the satisfaction level: 0 star.
A good hearing hi!
Good luck, you are not alone!</v>
      </c>
    </row>
    <row r="553" ht="15.75" customHeight="1">
      <c r="A553" s="2">
        <v>3.0</v>
      </c>
      <c r="B553" s="2" t="s">
        <v>1635</v>
      </c>
      <c r="C553" s="2" t="s">
        <v>1636</v>
      </c>
      <c r="D553" s="2" t="s">
        <v>121</v>
      </c>
      <c r="E553" s="2" t="s">
        <v>14</v>
      </c>
      <c r="F553" s="2" t="s">
        <v>15</v>
      </c>
      <c r="G553" s="2" t="s">
        <v>1637</v>
      </c>
      <c r="H553" s="2" t="s">
        <v>85</v>
      </c>
      <c r="I553" s="3" t="str">
        <f>IFERROR(__xludf.DUMMYFUNCTION("GOOGLETRANSLATE(C553,""fr"",""en"")"),"Poorly conducted expertise
The MAIF paid an expert to note wear of the obvious clutch records!
No need for an expert for that! Any driver, even the most incompetent, will make this observation.
This is not what I was asking.
Here are the facts. "&amp;"At 16000km, the clutch of my vitara (Suzuki) gives signs of weakness, a few days after the first revision. Diagnosis of the group of the Lafontaine de Bassusary group (64) which sold it to me a year earlier: clutch to change. We are August 14. He tells me"&amp;" that he requests a care. I reminds him on Wednesday August 19. Responsible: ""Mr. P who must give his agreement. He must return in four days. »»
Monday 24, after an unsuccessful email, I call the president of the Lafontaine group: M Denis.
On August 26"&amp;", I led the Suzuki customer service to hatch. Laconic response: Mr. P returned from leave he will study the file. Some days later I recall the mechanic of the Garagelafontaine. His answer: ""I have to dismantle the clutch and send photos to Mr. P for him "&amp;"to make a decision. I give you an appointment on September 8 at 8:30 p.m. »»
It will have passed a month during which I drove with a faulty clutch which, patina at the slightest coast with the risk of breaking down.
I turn to Maif, my insurer. This wear"&amp;" is not normal. You have to look for the cause. For my part I found a very short clutch guard: does it have an influence? I also noticed traces of oil on the floor where I park my car. Is it an oil leak from the clutch system? So I ask that an expert answ"&amp;"ers these questions. The MAIF entrusts the case to an expertise cabinet in Lons (64.) Which cabinet asks me for the time for the appointment: 8:30 am. I chat on the phone with the designated expert and tell him about my suspicions concerning the clutch cu"&amp;"stody and the oil leak. And I confirm the time of the RDVA.
Tuesday September 8: 9:30 am. Oscar, the mechanic calls me: the expert is not there. ""I dismantle! He confides to me.
I call the expertise firm. I am told that the expert must spend during t"&amp;"he day. Then on my insistence in the morning. At noon 30 The expert calls me to tell me that the clutch is dead !!!
What a sensational news !! No need for him to find out that. He saw nothing else. Obviously ! It would have been necessary to be there at "&amp;"the time of dismissal to check the custody and the traces of oil. This is an unacceptable professional fault.
I am furious. I would have liked to be fixed on the causes! Not on the effects.
I will tell me that I am responsible. And I will rebuild that b"&amp;"efore this Suzuki, I bought and led up to 60,000km fifteen cars that I sold to individuals who like me had no mechanical problems !!! I know how to spare a clutch !!!
Result of the races: I paid an invoice of 650 euros for a Vitara Suzuki under warranty "&amp;"with a mileage of 16000km for a clutch failure which no one explained the cause to me.
I called upon the Maif who obviously very badly led this case by trusting an expertise cabinet located 100km from the garage (there are no experts on the Basque coast?"&amp;") And being more Attentive to the words of a secretary only at my requests for presence at the time of dismantling.
The expert even took care of telling me himself that Suzuki would not take care of the expenditure. The Lafontaine garage did not need to "&amp;"inform me! It's nice of him, right?
I add but is it necessary that I have never received a word of regret, compassion or garage lafontaine or customer service from the Suzuki brand.
")</f>
        <v>Poorly conducted expertise
The MAIF paid an expert to note wear of the obvious clutch records!
No need for an expert for that! Any driver, even the most incompetent, will make this observation.
This is not what I was asking.
Here are the facts. At 16000km, the clutch of my vitara (Suzuki) gives signs of weakness, a few days after the first revision. Diagnosis of the group of the Lafontaine de Bassusary group (64) which sold it to me a year earlier: clutch to change. We are August 14. He tells me that he requests a care. I reminds him on Wednesday August 19. Responsible: "Mr. P who must give his agreement. He must return in four days. »»
Monday 24, after an unsuccessful email, I call the president of the Lafontaine group: M Denis.
On August 26, I led the Suzuki customer service to hatch. Laconic response: Mr. P returned from leave he will study the file. Some days later I recall the mechanic of the Garagelafontaine. His answer: "I have to dismantle the clutch and send photos to Mr. P for him to make a decision. I give you an appointment on September 8 at 8:30 p.m. »»
It will have passed a month during which I drove with a faulty clutch which, patina at the slightest coast with the risk of breaking down.
I turn to Maif, my insurer. This wear is not normal. You have to look for the cause. For my part I found a very short clutch guard: does it have an influence? I also noticed traces of oil on the floor where I park my car. Is it an oil leak from the clutch system? So I ask that an expert answers these questions. The MAIF entrusts the case to an expertise cabinet in Lons (64.) Which cabinet asks me for the time for the appointment: 8:30 am. I chat on the phone with the designated expert and tell him about my suspicions concerning the clutch custody and the oil leak. And I confirm the time of the RDVA.
Tuesday September 8: 9:30 am. Oscar, the mechanic calls me: the expert is not there. "I dismantle! He confides to me.
I call the expertise firm. I am told that the expert must spend during the day. Then on my insistence in the morning. At noon 30 The expert calls me to tell me that the clutch is dead !!!
What a sensational news !! No need for him to find out that. He saw nothing else. Obviously ! It would have been necessary to be there at the time of dismissal to check the custody and the traces of oil. This is an unacceptable professional fault.
I am furious. I would have liked to be fixed on the causes! Not on the effects.
I will tell me that I am responsible. And I will rebuild that before this Suzuki, I bought and led up to 60,000km fifteen cars that I sold to individuals who like me had no mechanical problems !!! I know how to spare a clutch !!!
Result of the races: I paid an invoice of 650 euros for a Vitara Suzuki under warranty with a mileage of 16000km for a clutch failure which no one explained the cause to me.
I called upon the Maif who obviously very badly led this case by trusting an expertise cabinet located 100km from the garage (there are no experts on the Basque coast?) And being more Attentive to the words of a secretary only at my requests for presence at the time of dismantling.
The expert even took care of telling me himself that Suzuki would not take care of the expenditure. The Lafontaine garage did not need to inform me! It's nice of him, right?
I add but is it necessary that I have never received a word of regret, compassion or garage lafontaine or customer service from the Suzuki brand.
</v>
      </c>
    </row>
    <row r="554" ht="15.75" customHeight="1">
      <c r="A554" s="2">
        <v>5.0</v>
      </c>
      <c r="B554" s="2" t="s">
        <v>1638</v>
      </c>
      <c r="C554" s="2" t="s">
        <v>1639</v>
      </c>
      <c r="D554" s="2" t="s">
        <v>48</v>
      </c>
      <c r="E554" s="2" t="s">
        <v>14</v>
      </c>
      <c r="F554" s="2" t="s">
        <v>15</v>
      </c>
      <c r="G554" s="2" t="s">
        <v>1640</v>
      </c>
      <c r="H554" s="2" t="s">
        <v>50</v>
      </c>
      <c r="I554" s="3" t="str">
        <f>IFERROR(__xludf.DUMMYFUNCTION("GOOGLETRANSLATE(C554,""fr"",""en"")"),"All the steps were very simple, the price is very interesting I did not have trouble doing the transition between my two vehicles and the advisers are always available for information")</f>
        <v>All the steps were very simple, the price is very interesting I did not have trouble doing the transition between my two vehicles and the advisers are always available for information</v>
      </c>
    </row>
    <row r="555" ht="15.75" customHeight="1">
      <c r="A555" s="2">
        <v>1.0</v>
      </c>
      <c r="B555" s="2" t="s">
        <v>1641</v>
      </c>
      <c r="C555" s="2" t="s">
        <v>1642</v>
      </c>
      <c r="D555" s="2" t="s">
        <v>1643</v>
      </c>
      <c r="E555" s="2" t="s">
        <v>38</v>
      </c>
      <c r="F555" s="2" t="s">
        <v>15</v>
      </c>
      <c r="G555" s="2" t="s">
        <v>621</v>
      </c>
      <c r="H555" s="2" t="s">
        <v>298</v>
      </c>
      <c r="I555" s="3" t="str">
        <f>IFERROR(__xludf.DUMMYFUNCTION("GOOGLETRANSLATE(C555,""fr"",""en"")"),"The Carac's MICMAC
I will tell you how the Carac deals with a 91 -year -old veteran of member number 5464601, in this case my father who spent his life based on exemplary values, principles and symbols of our Republic.
I do not want to make the cottage "&amp;"cry by this testimony but simply denounce the contempt of this mutual towards its members and thus be yet another citizen to find me confronted with the hiccups of the Carac.
The Carac paints an attractive portrait on the pages of its site:
Mutual tha"&amp;"t makes everyday the values ​​of mutualism such as loyalty to commitment or proximity
Or on its logo:
""Carac your savings merit.
and many more.
On reading these arguments you will run to adhere to these beautiful promises. You are not mistaken!"&amp;" It is not the reality and you will only have a hurry is to flee this mutual to have to spend days and nights in the anxiety of not seeing your money again.
Because this is what the problem lies, moreover when you are elderly with a past life of labor an"&amp;"d you think that your capital is managed with confidence with all the rules implemented by the regulations, you find yourself destitute before A manager like the Carac who does not respect his texts and especially his given word by leaving the files dragg"&amp;"ed.
My father has been waiting for the payment of death capital for 3 months which unfortunately after numerous telephone calls, local contacts, specific release dates, countless steps with advisers who have also returned to total contempt.
So think"&amp;" carefully before committing to this mutual.
For my part I will continue to fight with my father so that he finds the rights he deserves.
Only social networks make it possible to denounce these methods and thus to fight against the misdeeds of this powe"&amp;"rful institution by allowing by the determination of the greatest number and especially of the most disadvantaged to inform about the reality of this mutual.
Do not hesitate to post your setbacks.
To be continued.")</f>
        <v>The Carac's MICMAC
I will tell you how the Carac deals with a 91 -year -old veteran of member number 5464601, in this case my father who spent his life based on exemplary values, principles and symbols of our Republic.
I do not want to make the cottage cry by this testimony but simply denounce the contempt of this mutual towards its members and thus be yet another citizen to find me confronted with the hiccups of the Carac.
The Carac paints an attractive portrait on the pages of its site:
Mutual that makes everyday the values ​​of mutualism such as loyalty to commitment or proximity
Or on its logo:
"Carac your savings merit.
and many more.
On reading these arguments you will run to adhere to these beautiful promises. You are not mistaken! It is not the reality and you will only have a hurry is to flee this mutual to have to spend days and nights in the anxiety of not seeing your money again.
Because this is what the problem lies, moreover when you are elderly with a past life of labor and you think that your capital is managed with confidence with all the rules implemented by the regulations, you find yourself destitute before A manager like the Carac who does not respect his texts and especially his given word by leaving the files dragged.
My father has been waiting for the payment of death capital for 3 months which unfortunately after numerous telephone calls, local contacts, specific release dates, countless steps with advisers who have also returned to total contempt.
So think carefully before committing to this mutual.
For my part I will continue to fight with my father so that he finds the rights he deserves.
Only social networks make it possible to denounce these methods and thus to fight against the misdeeds of this powerful institution by allowing by the determination of the greatest number and especially of the most disadvantaged to inform about the reality of this mutual.
Do not hesitate to post your setbacks.
To be continued.</v>
      </c>
    </row>
    <row r="556" ht="15.75" customHeight="1">
      <c r="A556" s="2">
        <v>4.0</v>
      </c>
      <c r="B556" s="2" t="s">
        <v>1644</v>
      </c>
      <c r="C556" s="2" t="s">
        <v>1645</v>
      </c>
      <c r="D556" s="2" t="s">
        <v>228</v>
      </c>
      <c r="E556" s="2" t="s">
        <v>14</v>
      </c>
      <c r="F556" s="2" t="s">
        <v>15</v>
      </c>
      <c r="G556" s="2" t="s">
        <v>1646</v>
      </c>
      <c r="H556" s="2" t="s">
        <v>1383</v>
      </c>
      <c r="I556" s="3" t="str">
        <f>IFERROR(__xludf.DUMMYFUNCTION("GOOGLETRANSLATE(C556,""fr"",""en"")"),"The Joker is very interesting for those under 30. The possibility of having insurance at 0 km by being a third and much appreciated too. Having an interlocutor present at any time by internet and very interesting.")</f>
        <v>The Joker is very interesting for those under 30. The possibility of having insurance at 0 km by being a third and much appreciated too. Having an interlocutor present at any time by internet and very interesting.</v>
      </c>
    </row>
    <row r="557" ht="15.75" customHeight="1">
      <c r="A557" s="2">
        <v>2.0</v>
      </c>
      <c r="B557" s="2" t="s">
        <v>1647</v>
      </c>
      <c r="C557" s="2" t="s">
        <v>1648</v>
      </c>
      <c r="D557" s="2" t="s">
        <v>787</v>
      </c>
      <c r="E557" s="2" t="s">
        <v>44</v>
      </c>
      <c r="F557" s="2" t="s">
        <v>15</v>
      </c>
      <c r="G557" s="2" t="s">
        <v>1649</v>
      </c>
      <c r="H557" s="2" t="s">
        <v>1383</v>
      </c>
      <c r="I557" s="3" t="str">
        <f>IFERROR(__xludf.DUMMYFUNCTION("GOOGLETRANSLATE(C557,""fr"",""en"")"),"For two months I have been waiting for reimbursements and customer service (reachable after 40 minutes) answers it will happen ...... not to mention that they lose the documents")</f>
        <v>For two months I have been waiting for reimbursements and customer service (reachable after 40 minutes) answers it will happen ...... not to mention that they lose the documents</v>
      </c>
    </row>
    <row r="558" ht="15.75" customHeight="1">
      <c r="A558" s="2">
        <v>1.0</v>
      </c>
      <c r="B558" s="2" t="s">
        <v>1650</v>
      </c>
      <c r="C558" s="2" t="s">
        <v>1651</v>
      </c>
      <c r="D558" s="2" t="s">
        <v>28</v>
      </c>
      <c r="E558" s="2" t="s">
        <v>14</v>
      </c>
      <c r="F558" s="2" t="s">
        <v>15</v>
      </c>
      <c r="G558" s="2" t="s">
        <v>1652</v>
      </c>
      <c r="H558" s="2" t="s">
        <v>900</v>
      </c>
      <c r="I558" s="3" t="str">
        <f>IFERROR(__xludf.DUMMYFUNCTION("GOOGLETRANSLATE(C558,""fr"",""en"")"),"Unreachable customer service
Non -ergonomic website access
Complex sinister expertise procedure")</f>
        <v>Unreachable customer service
Non -ergonomic website access
Complex sinister expertise procedure</v>
      </c>
    </row>
    <row r="559" ht="15.75" customHeight="1">
      <c r="A559" s="2">
        <v>2.0</v>
      </c>
      <c r="B559" s="2" t="s">
        <v>1653</v>
      </c>
      <c r="C559" s="2" t="s">
        <v>1654</v>
      </c>
      <c r="D559" s="2" t="s">
        <v>787</v>
      </c>
      <c r="E559" s="2" t="s">
        <v>44</v>
      </c>
      <c r="F559" s="2" t="s">
        <v>15</v>
      </c>
      <c r="G559" s="2" t="s">
        <v>184</v>
      </c>
      <c r="H559" s="2" t="s">
        <v>185</v>
      </c>
      <c r="I559" s="3" t="str">
        <f>IFERROR(__xludf.DUMMYFUNCTION("GOOGLETRANSLATE(C559,""fr"",""en"")"),"Very unhappy to Mercer for a few months, either we remove my daughter from my Mercer card, or I am refused my hospital care without reason. And impossible to reach a manager, the latter live without manager ......")</f>
        <v>Very unhappy to Mercer for a few months, either we remove my daughter from my Mercer card, or I am refused my hospital care without reason. And impossible to reach a manager, the latter live without manager ......</v>
      </c>
    </row>
    <row r="560" ht="15.75" customHeight="1">
      <c r="A560" s="2">
        <v>3.0</v>
      </c>
      <c r="B560" s="2" t="s">
        <v>1655</v>
      </c>
      <c r="C560" s="2" t="s">
        <v>1656</v>
      </c>
      <c r="D560" s="2" t="s">
        <v>48</v>
      </c>
      <c r="E560" s="2" t="s">
        <v>14</v>
      </c>
      <c r="F560" s="2" t="s">
        <v>15</v>
      </c>
      <c r="G560" s="2" t="s">
        <v>1096</v>
      </c>
      <c r="H560" s="2" t="s">
        <v>25</v>
      </c>
      <c r="I560" s="3" t="str">
        <f>IFERROR(__xludf.DUMMYFUNCTION("GOOGLETRANSLATE(C560,""fr"",""en"")"),"I am satisfied with the service and efficiency of creation or adaptation of contracts. Regular increase in disappointing prices despite a better bonus ... very damaging for loyal customers")</f>
        <v>I am satisfied with the service and efficiency of creation or adaptation of contracts. Regular increase in disappointing prices despite a better bonus ... very damaging for loyal customers</v>
      </c>
    </row>
    <row r="561" ht="15.75" customHeight="1">
      <c r="A561" s="2">
        <v>5.0</v>
      </c>
      <c r="B561" s="2" t="s">
        <v>1657</v>
      </c>
      <c r="C561" s="2" t="s">
        <v>1658</v>
      </c>
      <c r="D561" s="2" t="s">
        <v>13</v>
      </c>
      <c r="E561" s="2" t="s">
        <v>14</v>
      </c>
      <c r="F561" s="2" t="s">
        <v>15</v>
      </c>
      <c r="G561" s="2" t="s">
        <v>1659</v>
      </c>
      <c r="H561" s="2" t="s">
        <v>21</v>
      </c>
      <c r="I561" s="3" t="str">
        <f>IFERROR(__xludf.DUMMYFUNCTION("GOOGLETRANSLATE(C561,""fr"",""en"")"),"Thank you to the Olivier Assurance !!
Quick, effective quote, you knew how to answer our questions, thank you again! I recommend the olive assurance! do not hesitate")</f>
        <v>Thank you to the Olivier Assurance !!
Quick, effective quote, you knew how to answer our questions, thank you again! I recommend the olive assurance! do not hesitate</v>
      </c>
    </row>
    <row r="562" ht="15.75" customHeight="1">
      <c r="A562" s="2">
        <v>4.0</v>
      </c>
      <c r="B562" s="2" t="s">
        <v>1660</v>
      </c>
      <c r="C562" s="2" t="s">
        <v>1661</v>
      </c>
      <c r="D562" s="2" t="s">
        <v>48</v>
      </c>
      <c r="E562" s="2" t="s">
        <v>14</v>
      </c>
      <c r="F562" s="2" t="s">
        <v>15</v>
      </c>
      <c r="G562" s="2" t="s">
        <v>250</v>
      </c>
      <c r="H562" s="2" t="s">
        <v>50</v>
      </c>
      <c r="I562" s="3" t="str">
        <f>IFERROR(__xludf.DUMMYFUNCTION("GOOGLETRANSLATE(C562,""fr"",""en"")"),"Thank you for this easy -to -make contract .. and to set up .. hoping that filling the files will be as simple .. the price is attractive and interesting")</f>
        <v>Thank you for this easy -to -make contract .. and to set up .. hoping that filling the files will be as simple .. the price is attractive and interesting</v>
      </c>
    </row>
    <row r="563" ht="15.75" customHeight="1">
      <c r="A563" s="2">
        <v>1.0</v>
      </c>
      <c r="B563" s="2" t="s">
        <v>1662</v>
      </c>
      <c r="C563" s="2" t="s">
        <v>1663</v>
      </c>
      <c r="D563" s="2" t="s">
        <v>105</v>
      </c>
      <c r="E563" s="2" t="s">
        <v>38</v>
      </c>
      <c r="F563" s="2" t="s">
        <v>15</v>
      </c>
      <c r="G563" s="2" t="s">
        <v>1664</v>
      </c>
      <c r="H563" s="2" t="s">
        <v>729</v>
      </c>
      <c r="I563" s="3" t="str">
        <f>IFERROR(__xludf.DUMMYFUNCTION("GOOGLETRANSLATE(C563,""fr"",""en"")"),"Maliciousness and refusal to settle services after a long procedure ;;; and tedious")</f>
        <v>Maliciousness and refusal to settle services after a long procedure ;;; and tedious</v>
      </c>
    </row>
    <row r="564" ht="15.75" customHeight="1">
      <c r="A564" s="2">
        <v>3.0</v>
      </c>
      <c r="B564" s="2" t="s">
        <v>1665</v>
      </c>
      <c r="C564" s="2" t="s">
        <v>1666</v>
      </c>
      <c r="D564" s="2" t="s">
        <v>48</v>
      </c>
      <c r="E564" s="2" t="s">
        <v>14</v>
      </c>
      <c r="F564" s="2" t="s">
        <v>15</v>
      </c>
      <c r="G564" s="2" t="s">
        <v>1667</v>
      </c>
      <c r="H564" s="2" t="s">
        <v>29</v>
      </c>
      <c r="I564" s="3" t="str">
        <f>IFERROR(__xludf.DUMMYFUNCTION("GOOGLETRANSLATE(C564,""fr"",""en"")"),"Review prices downwards, and I hope you are present and operational if the need arises. Because when it comes to convincing prospects to join you you are very reactive")</f>
        <v>Review prices downwards, and I hope you are present and operational if the need arises. Because when it comes to convincing prospects to join you you are very reactive</v>
      </c>
    </row>
    <row r="565" ht="15.75" customHeight="1">
      <c r="A565" s="2">
        <v>2.0</v>
      </c>
      <c r="B565" s="2" t="s">
        <v>1668</v>
      </c>
      <c r="C565" s="2" t="s">
        <v>1669</v>
      </c>
      <c r="D565" s="2" t="s">
        <v>176</v>
      </c>
      <c r="E565" s="2" t="s">
        <v>14</v>
      </c>
      <c r="F565" s="2" t="s">
        <v>15</v>
      </c>
      <c r="G565" s="2" t="s">
        <v>1670</v>
      </c>
      <c r="H565" s="2" t="s">
        <v>604</v>
      </c>
      <c r="I565" s="3" t="str">
        <f>IFERROR(__xludf.DUMMYFUNCTION("GOOGLETRANSLATE(C565,""fr"",""en"")"),"At the Macif for fifteen years, I am rather satisfied with their service .... but never had a responsible accident.
Big black point this year = the price grid to change at the end of December 2016. A priori more attractive prices, but not reflected in "&amp;"the old contracts .... Clearly do not hesitate to make simulations on their site. Personally between 10 and 20% won depending on the car insured, with a lower franchise.
I find the way of doing little glorious, because the least of things is to be grat"&amp;"eful to your former customers.
So even if I have nothing to blame the Macif for their services I may everything go to competition in principle.
")</f>
        <v>At the Macif for fifteen years, I am rather satisfied with their service .... but never had a responsible accident.
Big black point this year = the price grid to change at the end of December 2016. A priori more attractive prices, but not reflected in the old contracts .... Clearly do not hesitate to make simulations on their site. Personally between 10 and 20% won depending on the car insured, with a lower franchise.
I find the way of doing little glorious, because the least of things is to be grateful to your former customers.
So even if I have nothing to blame the Macif for their services I may everything go to competition in principle.
</v>
      </c>
    </row>
    <row r="566" ht="15.75" customHeight="1">
      <c r="A566" s="2">
        <v>4.0</v>
      </c>
      <c r="B566" s="2" t="s">
        <v>1671</v>
      </c>
      <c r="C566" s="2" t="s">
        <v>1672</v>
      </c>
      <c r="D566" s="2" t="s">
        <v>400</v>
      </c>
      <c r="E566" s="2" t="s">
        <v>14</v>
      </c>
      <c r="F566" s="2" t="s">
        <v>15</v>
      </c>
      <c r="G566" s="2" t="s">
        <v>357</v>
      </c>
      <c r="H566" s="2" t="s">
        <v>21</v>
      </c>
      <c r="I566" s="3" t="str">
        <f>IFERROR(__xludf.DUMMYFUNCTION("GOOGLETRANSLATE(C566,""fr"",""en"")"),"Everything is fine the prices are reasonable, and the warranty is good .inon it goes well for instant, I recommend this insurer. always listening.")</f>
        <v>Everything is fine the prices are reasonable, and the warranty is good .inon it goes well for instant, I recommend this insurer. always listening.</v>
      </c>
    </row>
    <row r="567" ht="15.75" customHeight="1">
      <c r="A567" s="2">
        <v>1.0</v>
      </c>
      <c r="B567" s="2" t="s">
        <v>1673</v>
      </c>
      <c r="C567" s="2" t="s">
        <v>1674</v>
      </c>
      <c r="D567" s="2" t="s">
        <v>228</v>
      </c>
      <c r="E567" s="2" t="s">
        <v>33</v>
      </c>
      <c r="F567" s="2" t="s">
        <v>15</v>
      </c>
      <c r="G567" s="2" t="s">
        <v>857</v>
      </c>
      <c r="H567" s="2" t="s">
        <v>50</v>
      </c>
      <c r="I567" s="3" t="str">
        <f>IFERROR(__xludf.DUMMYFUNCTION("GOOGLETRANSLATE(C567,""fr"",""en"")"),"Advisor very available to convince you to pay funds, to absent subscribers to retract
Exorbitant undeniable deposits
A refund request established by my advisor but which never arrives at the headquarters
A recommended and multiple calls to finally succ"&amp;"eed in obtaining a promise by reimbursement email
3 weeks that I am told that the check letter is gone, and then that it will leave, and then that yes it is gone ... but still nothing in my mailbox
46,000 euros at stake, I no longer sleep, this situatio"&amp;"n has been mine for months and completely blocks my housing searches
This company is not serious
")</f>
        <v>Advisor very available to convince you to pay funds, to absent subscribers to retract
Exorbitant undeniable deposits
A refund request established by my advisor but which never arrives at the headquarters
A recommended and multiple calls to finally succeed in obtaining a promise by reimbursement email
3 weeks that I am told that the check letter is gone, and then that it will leave, and then that yes it is gone ... but still nothing in my mailbox
46,000 euros at stake, I no longer sleep, this situation has been mine for months and completely blocks my housing searches
This company is not serious
</v>
      </c>
    </row>
    <row r="568" ht="15.75" customHeight="1">
      <c r="A568" s="2">
        <v>3.0</v>
      </c>
      <c r="B568" s="2" t="s">
        <v>1675</v>
      </c>
      <c r="C568" s="2" t="s">
        <v>1676</v>
      </c>
      <c r="D568" s="2" t="s">
        <v>37</v>
      </c>
      <c r="E568" s="2" t="s">
        <v>38</v>
      </c>
      <c r="F568" s="2" t="s">
        <v>15</v>
      </c>
      <c r="G568" s="2" t="s">
        <v>1677</v>
      </c>
      <c r="H568" s="2" t="s">
        <v>472</v>
      </c>
      <c r="I568" s="3" t="str">
        <f>IFERROR(__xludf.DUMMYFUNCTION("GOOGLETRANSLATE(C568,""fr"",""en"")"),"Although my contributions are paid I am not guaranteed? Bank -bordered to which I can't get right")</f>
        <v>Although my contributions are paid I am not guaranteed? Bank -bordered to which I can't get right</v>
      </c>
    </row>
    <row r="569" ht="15.75" customHeight="1">
      <c r="A569" s="2">
        <v>4.0</v>
      </c>
      <c r="B569" s="2" t="s">
        <v>1678</v>
      </c>
      <c r="C569" s="2" t="s">
        <v>1679</v>
      </c>
      <c r="D569" s="2" t="s">
        <v>135</v>
      </c>
      <c r="E569" s="2" t="s">
        <v>44</v>
      </c>
      <c r="F569" s="2" t="s">
        <v>15</v>
      </c>
      <c r="G569" s="2" t="s">
        <v>1680</v>
      </c>
      <c r="H569" s="2" t="s">
        <v>808</v>
      </c>
      <c r="I569" s="3" t="str">
        <f>IFERROR(__xludf.DUMMYFUNCTION("GOOGLETRANSLATE(C569,""fr"",""en"")"),"Overall the service is effective I had no pay or other problems.")</f>
        <v>Overall the service is effective I had no pay or other problems.</v>
      </c>
    </row>
    <row r="570" ht="15.75" customHeight="1">
      <c r="A570" s="2">
        <v>3.0</v>
      </c>
      <c r="B570" s="2" t="s">
        <v>1681</v>
      </c>
      <c r="C570" s="2" t="s">
        <v>1682</v>
      </c>
      <c r="D570" s="2" t="s">
        <v>53</v>
      </c>
      <c r="E570" s="2" t="s">
        <v>44</v>
      </c>
      <c r="F570" s="2" t="s">
        <v>15</v>
      </c>
      <c r="G570" s="2" t="s">
        <v>811</v>
      </c>
      <c r="H570" s="2" t="s">
        <v>89</v>
      </c>
      <c r="I570" s="3" t="str">
        <f>IFERROR(__xludf.DUMMYFUNCTION("GOOGLETRANSLATE(C570,""fr"",""en"")"),"Good evening
Following my phone call I thank Emeline for the information given on my contract and the remote transmission of documents, for her welcome and her kindness")</f>
        <v>Good evening
Following my phone call I thank Emeline for the information given on my contract and the remote transmission of documents, for her welcome and her kindness</v>
      </c>
    </row>
    <row r="571" ht="15.75" customHeight="1">
      <c r="A571" s="2">
        <v>5.0</v>
      </c>
      <c r="B571" s="2" t="s">
        <v>1683</v>
      </c>
      <c r="C571" s="2" t="s">
        <v>1684</v>
      </c>
      <c r="D571" s="2" t="s">
        <v>192</v>
      </c>
      <c r="E571" s="2" t="s">
        <v>127</v>
      </c>
      <c r="F571" s="2" t="s">
        <v>15</v>
      </c>
      <c r="G571" s="2" t="s">
        <v>1685</v>
      </c>
      <c r="H571" s="2" t="s">
        <v>238</v>
      </c>
      <c r="I571" s="3" t="str">
        <f>IFERROR(__xludf.DUMMYFUNCTION("GOOGLETRANSLATE(C571,""fr"",""en"")"),"Very warm welcome and listen to you carefully, several years guaranteed no problem for the moment very serious and available team takes the time of you explain and reassure you and all the people I had on the phone are very kind good price for the scooter"&amp;" j 'Wait to see the rest of my sinister flight if everything is going well but for the moment nothing to say
I do not note often but that people are good it must be said and we say too much the bad things that good
I recommend")</f>
        <v>Very warm welcome and listen to you carefully, several years guaranteed no problem for the moment very serious and available team takes the time of you explain and reassure you and all the people I had on the phone are very kind good price for the scooter j 'Wait to see the rest of my sinister flight if everything is going well but for the moment nothing to say
I do not note often but that people are good it must be said and we say too much the bad things that good
I recommend</v>
      </c>
    </row>
    <row r="572" ht="15.75" customHeight="1">
      <c r="A572" s="2">
        <v>1.0</v>
      </c>
      <c r="B572" s="2" t="s">
        <v>1686</v>
      </c>
      <c r="C572" s="2" t="s">
        <v>1687</v>
      </c>
      <c r="D572" s="2" t="s">
        <v>48</v>
      </c>
      <c r="E572" s="2" t="s">
        <v>14</v>
      </c>
      <c r="F572" s="2" t="s">
        <v>15</v>
      </c>
      <c r="G572" s="2" t="s">
        <v>1278</v>
      </c>
      <c r="H572" s="2" t="s">
        <v>173</v>
      </c>
      <c r="I572" s="3" t="str">
        <f>IFERROR(__xludf.DUMMYFUNCTION("GOOGLETRANSLATE(C572,""fr"",""en"")"),"To flee ... disappointing as possible. I tried to take an auto contract with Direct Insurance but before signing my contract I wanted to check certain lines. The franchises are incomprehensibly high! In the meantime they have started by taking me ... !!! "&amp;"Since I was registered without my agreement I wanted to retract myself .... they do not want to use the 14 days as the law says !!! Following this I have recontactive again. At that time they let me know that my contract will be terminated on 07/21/20 bec"&amp;"ause it will not be signed ... Okay except that on 22/07 at 3 p.m. I receive an email telling me that I was an additional month more termination. Without any agreement on my part !!! I had time to take another insurance on 07/22 to be covered ...
They do"&amp;" what they want. Be carefull .
To flee ...")</f>
        <v>To flee ... disappointing as possible. I tried to take an auto contract with Direct Insurance but before signing my contract I wanted to check certain lines. The franchises are incomprehensibly high! In the meantime they have started by taking me ... !!! Since I was registered without my agreement I wanted to retract myself .... they do not want to use the 14 days as the law says !!! Following this I have recontactive again. At that time they let me know that my contract will be terminated on 07/21/20 because it will not be signed ... Okay except that on 22/07 at 3 p.m. I receive an email telling me that I was an additional month more termination. Without any agreement on my part !!! I had time to take another insurance on 07/22 to be covered ...
They do what they want. Be carefull .
To flee ...</v>
      </c>
    </row>
    <row r="573" ht="15.75" customHeight="1">
      <c r="A573" s="2">
        <v>5.0</v>
      </c>
      <c r="B573" s="2" t="s">
        <v>1688</v>
      </c>
      <c r="C573" s="2" t="s">
        <v>1689</v>
      </c>
      <c r="D573" s="2" t="s">
        <v>13</v>
      </c>
      <c r="E573" s="2" t="s">
        <v>14</v>
      </c>
      <c r="F573" s="2" t="s">
        <v>15</v>
      </c>
      <c r="G573" s="2" t="s">
        <v>509</v>
      </c>
      <c r="H573" s="2" t="s">
        <v>89</v>
      </c>
      <c r="I573" s="3" t="str">
        <f>IFERROR(__xludf.DUMMYFUNCTION("GOOGLETRANSLATE(C573,""fr"",""en"")"),"Rather very satisfied with prices and customer service which very well informed me when I changed insurance, I recommend the Ollivier Insurance")</f>
        <v>Rather very satisfied with prices and customer service which very well informed me when I changed insurance, I recommend the Ollivier Insurance</v>
      </c>
    </row>
    <row r="574" ht="15.75" customHeight="1">
      <c r="A574" s="2">
        <v>2.0</v>
      </c>
      <c r="B574" s="2" t="s">
        <v>1690</v>
      </c>
      <c r="C574" s="2" t="s">
        <v>1691</v>
      </c>
      <c r="D574" s="2" t="s">
        <v>13</v>
      </c>
      <c r="E574" s="2" t="s">
        <v>14</v>
      </c>
      <c r="F574" s="2" t="s">
        <v>15</v>
      </c>
      <c r="G574" s="2" t="s">
        <v>379</v>
      </c>
      <c r="H574" s="2" t="s">
        <v>99</v>
      </c>
      <c r="I574" s="3" t="str">
        <f>IFERROR(__xludf.DUMMYFUNCTION("GOOGLETRANSLATE(C574,""fr"",""en"")"),"Your website has big problems including changing search engine. I had different prices without changing anything and without even recharging the page, the site mixes all the information we give. On my contract the name and first name are changed by the em"&amp;"ail address and I cannot correct it. Fortunately, the contract remains in my name. You remain the cheapest, however, and I had good feedback on you, but these IT problems are inadmissible and I hope not to have any more.")</f>
        <v>Your website has big problems including changing search engine. I had different prices without changing anything and without even recharging the page, the site mixes all the information we give. On my contract the name and first name are changed by the email address and I cannot correct it. Fortunately, the contract remains in my name. You remain the cheapest, however, and I had good feedback on you, but these IT problems are inadmissible and I hope not to have any more.</v>
      </c>
    </row>
    <row r="575" ht="15.75" customHeight="1">
      <c r="A575" s="2">
        <v>4.0</v>
      </c>
      <c r="B575" s="2" t="s">
        <v>1692</v>
      </c>
      <c r="C575" s="2" t="s">
        <v>1693</v>
      </c>
      <c r="D575" s="2" t="s">
        <v>48</v>
      </c>
      <c r="E575" s="2" t="s">
        <v>14</v>
      </c>
      <c r="F575" s="2" t="s">
        <v>15</v>
      </c>
      <c r="G575" s="2" t="s">
        <v>373</v>
      </c>
      <c r="H575" s="2" t="s">
        <v>29</v>
      </c>
      <c r="I575" s="3" t="str">
        <f>IFERROR(__xludf.DUMMYFUNCTION("GOOGLETRANSLATE(C575,""fr"",""en"")"),"Everything is niquel, on the other hand I would have liked to know what the contribution we are going to at the start. That it is more transparent since the sum is substantial.")</f>
        <v>Everything is niquel, on the other hand I would have liked to know what the contribution we are going to at the start. That it is more transparent since the sum is substantial.</v>
      </c>
    </row>
    <row r="576" ht="15.75" customHeight="1">
      <c r="A576" s="2">
        <v>4.0</v>
      </c>
      <c r="B576" s="2" t="s">
        <v>1694</v>
      </c>
      <c r="C576" s="2" t="s">
        <v>1695</v>
      </c>
      <c r="D576" s="2" t="s">
        <v>48</v>
      </c>
      <c r="E576" s="2" t="s">
        <v>14</v>
      </c>
      <c r="F576" s="2" t="s">
        <v>15</v>
      </c>
      <c r="G576" s="2" t="s">
        <v>1667</v>
      </c>
      <c r="H576" s="2" t="s">
        <v>29</v>
      </c>
      <c r="I576" s="3" t="str">
        <f>IFERROR(__xludf.DUMMYFUNCTION("GOOGLETRANSLATE(C576,""fr"",""en"")"),"I am satisfied at the quality price level
Simple and quick practice
BRAVO Direct Insurance
I recommend direct insurance insurance
Reachable on the phone everything is clear")</f>
        <v>I am satisfied at the quality price level
Simple and quick practice
BRAVO Direct Insurance
I recommend direct insurance insurance
Reachable on the phone everything is clear</v>
      </c>
    </row>
    <row r="577" ht="15.75" customHeight="1">
      <c r="A577" s="2">
        <v>1.0</v>
      </c>
      <c r="B577" s="2" t="s">
        <v>1696</v>
      </c>
      <c r="C577" s="2" t="s">
        <v>1697</v>
      </c>
      <c r="D577" s="2" t="s">
        <v>48</v>
      </c>
      <c r="E577" s="2" t="s">
        <v>14</v>
      </c>
      <c r="F577" s="2" t="s">
        <v>15</v>
      </c>
      <c r="G577" s="2" t="s">
        <v>1698</v>
      </c>
      <c r="H577" s="2" t="s">
        <v>612</v>
      </c>
      <c r="I577" s="3" t="str">
        <f>IFERROR(__xludf.DUMMYFUNCTION("GOOGLETRANSLATE(C577,""fr"",""en"")"),"Insurance to flee quickly. The penalty bonus is in no way taken into account with them my subscription has only changed 0.21 central if I stay with an annual payment when I have no claims so 5% of bonuses acquired this year.
For once, my subscription t"&amp;"ook 50 euros more since I went to a monthly payment.
Stand the end of the month in order to be able to go to another insurance which offered me 70 euro cheaper a year which will make me full of cars.
Long live fidelity is the right drivers who pay t"&amp;"he same thing.
We understand better why they are so badly rated is that a lot of people prefers to go into real insurance.
I will terminate my contract is then that of my wife.")</f>
        <v>Insurance to flee quickly. The penalty bonus is in no way taken into account with them my subscription has only changed 0.21 central if I stay with an annual payment when I have no claims so 5% of bonuses acquired this year.
For once, my subscription took 50 euros more since I went to a monthly payment.
Stand the end of the month in order to be able to go to another insurance which offered me 70 euro cheaper a year which will make me full of cars.
Long live fidelity is the right drivers who pay the same thing.
We understand better why they are so badly rated is that a lot of people prefers to go into real insurance.
I will terminate my contract is then that of my wife.</v>
      </c>
    </row>
    <row r="578" ht="15.75" customHeight="1">
      <c r="A578" s="2">
        <v>2.0</v>
      </c>
      <c r="B578" s="2" t="s">
        <v>1699</v>
      </c>
      <c r="C578" s="2" t="s">
        <v>1700</v>
      </c>
      <c r="D578" s="2" t="s">
        <v>806</v>
      </c>
      <c r="E578" s="2" t="s">
        <v>215</v>
      </c>
      <c r="F578" s="2" t="s">
        <v>15</v>
      </c>
      <c r="G578" s="2" t="s">
        <v>345</v>
      </c>
      <c r="H578" s="2" t="s">
        <v>50</v>
      </c>
      <c r="I578" s="3" t="str">
        <f>IFERROR(__xludf.DUMMYFUNCTION("GOOGLETRANSLATE(C578,""fr"",""en"")"),"Insurance that is useless since it does not reimburse anything !!! To run away absolutely .. they take your money without anything in return, always a good excuse not to reimburse ...")</f>
        <v>Insurance that is useless since it does not reimburse anything !!! To run away absolutely .. they take your money without anything in return, always a good excuse not to reimburse ...</v>
      </c>
    </row>
    <row r="579" ht="15.75" customHeight="1">
      <c r="A579" s="2">
        <v>4.0</v>
      </c>
      <c r="B579" s="2" t="s">
        <v>1701</v>
      </c>
      <c r="C579" s="2" t="s">
        <v>1702</v>
      </c>
      <c r="D579" s="2" t="s">
        <v>13</v>
      </c>
      <c r="E579" s="2" t="s">
        <v>14</v>
      </c>
      <c r="F579" s="2" t="s">
        <v>15</v>
      </c>
      <c r="G579" s="2" t="s">
        <v>360</v>
      </c>
      <c r="H579" s="2" t="s">
        <v>99</v>
      </c>
      <c r="I579" s="3" t="str">
        <f>IFERROR(__xludf.DUMMYFUNCTION("GOOGLETRANSLATE(C579,""fr"",""en"")"),"I am satisfied with the online service, the prices suit me, the steps are very simple and practical I am happy to secure myself from the Olivier Insurance.")</f>
        <v>I am satisfied with the online service, the prices suit me, the steps are very simple and practical I am happy to secure myself from the Olivier Insurance.</v>
      </c>
    </row>
    <row r="580" ht="15.75" customHeight="1">
      <c r="A580" s="2">
        <v>1.0</v>
      </c>
      <c r="B580" s="2" t="s">
        <v>1703</v>
      </c>
      <c r="C580" s="2" t="s">
        <v>1704</v>
      </c>
      <c r="D580" s="2" t="s">
        <v>155</v>
      </c>
      <c r="E580" s="2" t="s">
        <v>14</v>
      </c>
      <c r="F580" s="2" t="s">
        <v>15</v>
      </c>
      <c r="G580" s="2" t="s">
        <v>1705</v>
      </c>
      <c r="H580" s="2" t="s">
        <v>123</v>
      </c>
      <c r="I580" s="3" t="str">
        <f>IFERROR(__xludf.DUMMYFUNCTION("GOOGLETRANSLATE(C580,""fr"",""en"")"),"Insurance to flee in the event of a car flight")</f>
        <v>Insurance to flee in the event of a car flight</v>
      </c>
    </row>
    <row r="581" ht="15.75" customHeight="1">
      <c r="A581" s="2">
        <v>1.0</v>
      </c>
      <c r="B581" s="2" t="s">
        <v>1706</v>
      </c>
      <c r="C581" s="2" t="s">
        <v>1707</v>
      </c>
      <c r="D581" s="2" t="s">
        <v>58</v>
      </c>
      <c r="E581" s="2" t="s">
        <v>44</v>
      </c>
      <c r="F581" s="2" t="s">
        <v>15</v>
      </c>
      <c r="G581" s="2" t="s">
        <v>1708</v>
      </c>
      <c r="H581" s="2" t="s">
        <v>21</v>
      </c>
      <c r="I581" s="3" t="str">
        <f>IFERROR(__xludf.DUMMYFUNCTION("GOOGLETRANSLATE(C581,""fr"",""en"")"),"No zero. To accept your money they are strong but for repayments a real cinema this mutual health .next. See you elsewhere and quickly")</f>
        <v>No zero. To accept your money they are strong but for repayments a real cinema this mutual health .next. See you elsewhere and quickly</v>
      </c>
    </row>
    <row r="582" ht="15.75" customHeight="1">
      <c r="A582" s="2">
        <v>4.0</v>
      </c>
      <c r="B582" s="2" t="s">
        <v>1709</v>
      </c>
      <c r="C582" s="2" t="s">
        <v>1710</v>
      </c>
      <c r="D582" s="2" t="s">
        <v>135</v>
      </c>
      <c r="E582" s="2" t="s">
        <v>44</v>
      </c>
      <c r="F582" s="2" t="s">
        <v>15</v>
      </c>
      <c r="G582" s="2" t="s">
        <v>316</v>
      </c>
      <c r="H582" s="2" t="s">
        <v>29</v>
      </c>
      <c r="I582" s="3" t="str">
        <f>IFERROR(__xludf.DUMMYFUNCTION("GOOGLETRANSLATE(C582,""fr"",""en"")"),"very good contact with my intelocutor Mariama
 She answered my questions asking
well find the solution to my preblem
person has listened.")</f>
        <v>very good contact with my intelocutor Mariama
 She answered my questions asking
well find the solution to my preblem
person has listened.</v>
      </c>
    </row>
    <row r="583" ht="15.75" customHeight="1">
      <c r="A583" s="2">
        <v>4.0</v>
      </c>
      <c r="B583" s="2" t="s">
        <v>1711</v>
      </c>
      <c r="C583" s="2" t="s">
        <v>1712</v>
      </c>
      <c r="D583" s="2" t="s">
        <v>53</v>
      </c>
      <c r="E583" s="2" t="s">
        <v>44</v>
      </c>
      <c r="F583" s="2" t="s">
        <v>15</v>
      </c>
      <c r="G583" s="2" t="s">
        <v>66</v>
      </c>
      <c r="H583" s="2" t="s">
        <v>67</v>
      </c>
      <c r="I583" s="3" t="str">
        <f>IFERROR(__xludf.DUMMYFUNCTION("GOOGLETRANSLATE(C583,""fr"",""en"")"),"I am very satisfied with your adviser Salim, who responded favorably to my request and was very courteous, I got thanks to him, to all that I ask as an explanation with regard to my new Néoliane Health membership")</f>
        <v>I am very satisfied with your adviser Salim, who responded favorably to my request and was very courteous, I got thanks to him, to all that I ask as an explanation with regard to my new Néoliane Health membership</v>
      </c>
    </row>
    <row r="584" ht="15.75" customHeight="1">
      <c r="A584" s="2">
        <v>4.0</v>
      </c>
      <c r="B584" s="2" t="s">
        <v>1713</v>
      </c>
      <c r="C584" s="2" t="s">
        <v>1714</v>
      </c>
      <c r="D584" s="2" t="s">
        <v>126</v>
      </c>
      <c r="E584" s="2" t="s">
        <v>127</v>
      </c>
      <c r="F584" s="2" t="s">
        <v>15</v>
      </c>
      <c r="G584" s="2" t="s">
        <v>1715</v>
      </c>
      <c r="H584" s="2" t="s">
        <v>99</v>
      </c>
      <c r="I584" s="3" t="str">
        <f>IFERROR(__xludf.DUMMYFUNCTION("GOOGLETRANSLATE(C584,""fr"",""en"")"),"Very good experience on the online motorcycle insurance subscription allowing to quickly obtain all the information necessary to activate the contract")</f>
        <v>Very good experience on the online motorcycle insurance subscription allowing to quickly obtain all the information necessary to activate the contract</v>
      </c>
    </row>
    <row r="585" ht="15.75" customHeight="1">
      <c r="A585" s="2">
        <v>2.0</v>
      </c>
      <c r="B585" s="2" t="s">
        <v>1716</v>
      </c>
      <c r="C585" s="2" t="s">
        <v>1717</v>
      </c>
      <c r="D585" s="2" t="s">
        <v>176</v>
      </c>
      <c r="E585" s="2" t="s">
        <v>14</v>
      </c>
      <c r="F585" s="2" t="s">
        <v>15</v>
      </c>
      <c r="G585" s="2" t="s">
        <v>1718</v>
      </c>
      <c r="H585" s="2" t="s">
        <v>238</v>
      </c>
      <c r="I585" s="3" t="str">
        <f>IFERROR(__xludf.DUMMYFUNCTION("GOOGLETRANSLATE(C585,""fr"",""en"")"),"For me the Macif is not good car insurance.
When you have been a customer for 9 years without having any accident at all risk.
We can estimate that the insurer is pretty happy to have you.
However, I had a hanging in a parking lot and the insurance did"&amp;" not want to take care of when I am very likely. No claim, no one on the phone, very pleasant and consilient.
Really you feel like you are abandoned by your insurer at the slightest problem.")</f>
        <v>For me the Macif is not good car insurance.
When you have been a customer for 9 years without having any accident at all risk.
We can estimate that the insurer is pretty happy to have you.
However, I had a hanging in a parking lot and the insurance did not want to take care of when I am very likely. No claim, no one on the phone, very pleasant and consilient.
Really you feel like you are abandoned by your insurer at the slightest problem.</v>
      </c>
    </row>
    <row r="586" ht="15.75" customHeight="1">
      <c r="A586" s="2">
        <v>2.0</v>
      </c>
      <c r="B586" s="2" t="s">
        <v>1719</v>
      </c>
      <c r="C586" s="2" t="s">
        <v>1720</v>
      </c>
      <c r="D586" s="2" t="s">
        <v>176</v>
      </c>
      <c r="E586" s="2" t="s">
        <v>127</v>
      </c>
      <c r="F586" s="2" t="s">
        <v>15</v>
      </c>
      <c r="G586" s="2" t="s">
        <v>1721</v>
      </c>
      <c r="H586" s="2" t="s">
        <v>60</v>
      </c>
      <c r="I586" s="3" t="str">
        <f>IFERROR(__xludf.DUMMYFUNCTION("GOOGLETRANSLATE(C586,""fr"",""en"")"),"Customer service leaves something to be desired, after receiving a letter with additional costs not only planned, customer service after 25 minutes of waiting for the announcement that it does not have time to answer me because my request is not not a pri"&amp;"ority ... Who do we laugh at ???")</f>
        <v>Customer service leaves something to be desired, after receiving a letter with additional costs not only planned, customer service after 25 minutes of waiting for the announcement that it does not have time to answer me because my request is not not a priority ... Who do we laugh at ???</v>
      </c>
    </row>
    <row r="587" ht="15.75" customHeight="1">
      <c r="A587" s="2">
        <v>2.0</v>
      </c>
      <c r="B587" s="2" t="s">
        <v>1722</v>
      </c>
      <c r="C587" s="2" t="s">
        <v>1723</v>
      </c>
      <c r="D587" s="2" t="s">
        <v>83</v>
      </c>
      <c r="E587" s="2" t="s">
        <v>285</v>
      </c>
      <c r="F587" s="2" t="s">
        <v>15</v>
      </c>
      <c r="G587" s="2" t="s">
        <v>1724</v>
      </c>
      <c r="H587" s="2" t="s">
        <v>1383</v>
      </c>
      <c r="I587" s="3" t="str">
        <f>IFERROR(__xludf.DUMMYFUNCTION("GOOGLETRANSLATE(C587,""fr"",""en"")"),"I was a tenant of accommodation with the legal protection option in my home insurance contract. I left this accommodation and encountered a problem with the owner who did not return the security deposit for me for no reason. When I contacted the legal pro"&amp;"tection Matmut I was told that they did not take into account my file because I had no more insurance with legal protection on the date of the conflict with the owner. So in conclusion, I paid the legal protection option for the duration I rented my accom"&amp;"modation and I cannot benefit from it while my file precisely concerns this accommodation")</f>
        <v>I was a tenant of accommodation with the legal protection option in my home insurance contract. I left this accommodation and encountered a problem with the owner who did not return the security deposit for me for no reason. When I contacted the legal protection Matmut I was told that they did not take into account my file because I had no more insurance with legal protection on the date of the conflict with the owner. So in conclusion, I paid the legal protection option for the duration I rented my accommodation and I cannot benefit from it while my file precisely concerns this accommodation</v>
      </c>
    </row>
    <row r="588" ht="15.75" customHeight="1">
      <c r="A588" s="2">
        <v>1.0</v>
      </c>
      <c r="B588" s="2" t="s">
        <v>1725</v>
      </c>
      <c r="C588" s="2" t="s">
        <v>1726</v>
      </c>
      <c r="D588" s="2" t="s">
        <v>48</v>
      </c>
      <c r="E588" s="2" t="s">
        <v>14</v>
      </c>
      <c r="F588" s="2" t="s">
        <v>15</v>
      </c>
      <c r="G588" s="2" t="s">
        <v>1727</v>
      </c>
      <c r="H588" s="2" t="s">
        <v>808</v>
      </c>
      <c r="I588" s="3" t="str">
        <f>IFERROR(__xludf.DUMMYFUNCTION("GOOGLETRANSLATE(C588,""fr"",""en"")"),"In 3 years of insurance no commercial gesture or proposal! Despite more attractive prices among some competitor")</f>
        <v>In 3 years of insurance no commercial gesture or proposal! Despite more attractive prices among some competitor</v>
      </c>
    </row>
    <row r="589" ht="15.75" customHeight="1">
      <c r="A589" s="2">
        <v>2.0</v>
      </c>
      <c r="B589" s="2" t="s">
        <v>1728</v>
      </c>
      <c r="C589" s="2" t="s">
        <v>1729</v>
      </c>
      <c r="D589" s="2" t="s">
        <v>48</v>
      </c>
      <c r="E589" s="2" t="s">
        <v>14</v>
      </c>
      <c r="F589" s="2" t="s">
        <v>15</v>
      </c>
      <c r="G589" s="2" t="s">
        <v>1730</v>
      </c>
      <c r="H589" s="2" t="s">
        <v>189</v>
      </c>
      <c r="I589" s="3" t="str">
        <f>IFERROR(__xludf.DUMMYFUNCTION("GOOGLETRANSLATE(C589,""fr"",""en"")"),"CAUTION DIRECT ASSURANT OFFICE Offer from a correct service on paper but in reality, it is not. I had an accident in charge at the end of July. I am assured of any risk so it must repair my vehicle immediately. However, he was offered to start repairs 2 m"&amp;"onths later because their partner garage are all unavailable. All this without a vehicle loan since this is possible only once the repair began. Good luck for those who are still with this insurer")</f>
        <v>CAUTION DIRECT ASSURANT OFFICE Offer from a correct service on paper but in reality, it is not. I had an accident in charge at the end of July. I am assured of any risk so it must repair my vehicle immediately. However, he was offered to start repairs 2 months later because their partner garage are all unavailable. All this without a vehicle loan since this is possible only once the repair began. Good luck for those who are still with this insurer</v>
      </c>
    </row>
    <row r="590" ht="15.75" customHeight="1">
      <c r="A590" s="2">
        <v>4.0</v>
      </c>
      <c r="B590" s="2" t="s">
        <v>1731</v>
      </c>
      <c r="C590" s="2" t="s">
        <v>1732</v>
      </c>
      <c r="D590" s="2" t="s">
        <v>48</v>
      </c>
      <c r="E590" s="2" t="s">
        <v>14</v>
      </c>
      <c r="F590" s="2" t="s">
        <v>15</v>
      </c>
      <c r="G590" s="2" t="s">
        <v>425</v>
      </c>
      <c r="H590" s="2" t="s">
        <v>67</v>
      </c>
      <c r="I590" s="3" t="str">
        <f>IFERROR(__xludf.DUMMYFUNCTION("GOOGLETRANSLATE(C590,""fr"",""en"")"),"I have been with you for over 25 years. At the beginning, the Taris were far lower than other insurance. Now it's the reverse even my bank is cheaper than you.
Otherwise on the phone for problems and information is great.
")</f>
        <v>I have been with you for over 25 years. At the beginning, the Taris were far lower than other insurance. Now it's the reverse even my bank is cheaper than you.
Otherwise on the phone for problems and information is great.
</v>
      </c>
    </row>
    <row r="591" ht="15.75" customHeight="1">
      <c r="A591" s="2">
        <v>4.0</v>
      </c>
      <c r="B591" s="2" t="s">
        <v>1733</v>
      </c>
      <c r="C591" s="2" t="s">
        <v>1734</v>
      </c>
      <c r="D591" s="2" t="s">
        <v>330</v>
      </c>
      <c r="E591" s="2" t="s">
        <v>44</v>
      </c>
      <c r="F591" s="2" t="s">
        <v>15</v>
      </c>
      <c r="G591" s="2" t="s">
        <v>84</v>
      </c>
      <c r="H591" s="2" t="s">
        <v>85</v>
      </c>
      <c r="I591" s="3" t="str">
        <f>IFERROR(__xludf.DUMMYFUNCTION("GOOGLETRANSLATE(C591,""fr"",""en"")"),"Reactive staff and listening that does not push for consumption. Personalized and attentive study of files. Rapid reimbursements.
In the event of a contact request there is always someone who answers or reminds you as soon as possible.")</f>
        <v>Reactive staff and listening that does not push for consumption. Personalized and attentive study of files. Rapid reimbursements.
In the event of a contact request there is always someone who answers or reminds you as soon as possible.</v>
      </c>
    </row>
    <row r="592" ht="15.75" customHeight="1">
      <c r="A592" s="2">
        <v>2.0</v>
      </c>
      <c r="B592" s="2" t="s">
        <v>1735</v>
      </c>
      <c r="C592" s="2" t="s">
        <v>1736</v>
      </c>
      <c r="D592" s="2" t="s">
        <v>102</v>
      </c>
      <c r="E592" s="2" t="s">
        <v>14</v>
      </c>
      <c r="F592" s="2" t="s">
        <v>15</v>
      </c>
      <c r="G592" s="2" t="s">
        <v>1737</v>
      </c>
      <c r="H592" s="2" t="s">
        <v>40</v>
      </c>
      <c r="I592" s="3" t="str">
        <f>IFERROR(__xludf.DUMMYFUNCTION("GOOGLETRANSLATE(C592,""fr"",""en"")"),"Increase in 2018 prices of 5% while I am 50% bonus and without claim, and no negotiation possible there was too much intempery in 2017 .......")</f>
        <v>Increase in 2018 prices of 5% while I am 50% bonus and without claim, and no negotiation possible there was too much intempery in 2017 .......</v>
      </c>
    </row>
    <row r="593" ht="15.75" customHeight="1">
      <c r="A593" s="2">
        <v>1.0</v>
      </c>
      <c r="B593" s="2" t="s">
        <v>1738</v>
      </c>
      <c r="C593" s="2" t="s">
        <v>1739</v>
      </c>
      <c r="D593" s="2" t="s">
        <v>105</v>
      </c>
      <c r="E593" s="2" t="s">
        <v>38</v>
      </c>
      <c r="F593" s="2" t="s">
        <v>15</v>
      </c>
      <c r="G593" s="2" t="s">
        <v>1740</v>
      </c>
      <c r="H593" s="2" t="s">
        <v>164</v>
      </c>
      <c r="I593" s="3" t="str">
        <f>IFERROR(__xludf.DUMMYFUNCTION("GOOGLETRANSLATE(C593,""fr"",""en"")"),"More than a year that I am waiting to be paid for a judgment outside mission dating from January 2019 !!!!
Intolerable, having to receive more than 1000 euros, only 19 euros and 10 CTs were paid to me.
On twice I am told that my file was ""forgotten""
"&amp;"It seems that the last option is the use of justice, so I start the steps in this sense")</f>
        <v>More than a year that I am waiting to be paid for a judgment outside mission dating from January 2019 !!!!
Intolerable, having to receive more than 1000 euros, only 19 euros and 10 CTs were paid to me.
On twice I am told that my file was "forgotten"
It seems that the last option is the use of justice, so I start the steps in this sense</v>
      </c>
    </row>
    <row r="594" ht="15.75" customHeight="1">
      <c r="A594" s="2">
        <v>5.0</v>
      </c>
      <c r="B594" s="2" t="s">
        <v>1741</v>
      </c>
      <c r="C594" s="2" t="s">
        <v>1742</v>
      </c>
      <c r="D594" s="2" t="s">
        <v>48</v>
      </c>
      <c r="E594" s="2" t="s">
        <v>14</v>
      </c>
      <c r="F594" s="2" t="s">
        <v>15</v>
      </c>
      <c r="G594" s="2" t="s">
        <v>1193</v>
      </c>
      <c r="H594" s="2" t="s">
        <v>67</v>
      </c>
      <c r="I594" s="3" t="str">
        <f>IFERROR(__xludf.DUMMYFUNCTION("GOOGLETRANSLATE(C594,""fr"",""en"")"),"I am very satisfied with the service I am very satisfied with the service, the price and the ease of dealing with you. I am very satisfied with the service, the price and the ease of dealing with you. I recommend you to all my friends.")</f>
        <v>I am very satisfied with the service I am very satisfied with the service, the price and the ease of dealing with you. I am very satisfied with the service, the price and the ease of dealing with you. I recommend you to all my friends.</v>
      </c>
    </row>
    <row r="595" ht="15.75" customHeight="1">
      <c r="A595" s="2">
        <v>5.0</v>
      </c>
      <c r="B595" s="2" t="s">
        <v>1743</v>
      </c>
      <c r="C595" s="2" t="s">
        <v>1744</v>
      </c>
      <c r="D595" s="2" t="s">
        <v>400</v>
      </c>
      <c r="E595" s="2" t="s">
        <v>285</v>
      </c>
      <c r="F595" s="2" t="s">
        <v>15</v>
      </c>
      <c r="G595" s="2" t="s">
        <v>1745</v>
      </c>
      <c r="H595" s="2" t="s">
        <v>25</v>
      </c>
      <c r="I595" s="3" t="str">
        <f>IFERROR(__xludf.DUMMYFUNCTION("GOOGLETRANSLATE(C595,""fr"",""en"")"),"Frankly thank you Pacifica, we were robbed on Monday 12 noon to 15 the lock was replaced and on Thursday we had the reimbursement of the surplus paid to the locksmith (€ 396).
So top and super responsive insurance ??????")</f>
        <v>Frankly thank you Pacifica, we were robbed on Monday 12 noon to 15 the lock was replaced and on Thursday we had the reimbursement of the surplus paid to the locksmith (€ 396).
So top and super responsive insurance ??????</v>
      </c>
    </row>
    <row r="596" ht="15.75" customHeight="1">
      <c r="A596" s="2">
        <v>4.0</v>
      </c>
      <c r="B596" s="2" t="s">
        <v>1746</v>
      </c>
      <c r="C596" s="2" t="s">
        <v>1747</v>
      </c>
      <c r="D596" s="2" t="s">
        <v>13</v>
      </c>
      <c r="E596" s="2" t="s">
        <v>14</v>
      </c>
      <c r="F596" s="2" t="s">
        <v>15</v>
      </c>
      <c r="G596" s="2" t="s">
        <v>269</v>
      </c>
      <c r="H596" s="2" t="s">
        <v>25</v>
      </c>
      <c r="I596" s="3" t="str">
        <f>IFERROR(__xludf.DUMMYFUNCTION("GOOGLETRANSLATE(C596,""fr"",""en"")"),"I am satisfied with the service, but I just had a complementary question, can you remember me? Thank you for your understanding, good end of the day")</f>
        <v>I am satisfied with the service, but I just had a complementary question, can you remember me? Thank you for your understanding, good end of the day</v>
      </c>
    </row>
    <row r="597" ht="15.75" customHeight="1">
      <c r="A597" s="2">
        <v>2.0</v>
      </c>
      <c r="B597" s="2" t="s">
        <v>1748</v>
      </c>
      <c r="C597" s="2" t="s">
        <v>1749</v>
      </c>
      <c r="D597" s="2" t="s">
        <v>400</v>
      </c>
      <c r="E597" s="2" t="s">
        <v>14</v>
      </c>
      <c r="F597" s="2" t="s">
        <v>15</v>
      </c>
      <c r="G597" s="2" t="s">
        <v>1750</v>
      </c>
      <c r="H597" s="2" t="s">
        <v>1059</v>
      </c>
      <c r="I597" s="3" t="str">
        <f>IFERROR(__xludf.DUMMYFUNCTION("GOOGLETRANSLATE(C597,""fr"",""en"")"),"Following my termination in March - I am still waiting for the reimbursement of my overflow of almost 300 euros. I then asked them to pay this amount to the new account (another bank) and had provided my RIB.
They made the transfer on my old closed accou"&amp;"nt 3 times. Then between all my calls (around fifteen) I am walking then I am told that it was sent by check to an old address (new address being notified in my termination letter). I was hung up on the nose I was walked around via customer service.
We a"&amp;"re 20.09.2018, I still have nothing.
I send this day a formal notice. I want to be understanding because yes there are always delays in processing treatment, but there I am really taking me for a fool.
I strongly say this insurance when you are no lon"&amp;"ger a customer and you have something to adjust with them you are nothing.
")</f>
        <v>Following my termination in March - I am still waiting for the reimbursement of my overflow of almost 300 euros. I then asked them to pay this amount to the new account (another bank) and had provided my RIB.
They made the transfer on my old closed account 3 times. Then between all my calls (around fifteen) I am walking then I am told that it was sent by check to an old address (new address being notified in my termination letter). I was hung up on the nose I was walked around via customer service.
We are 20.09.2018, I still have nothing.
I send this day a formal notice. I want to be understanding because yes there are always delays in processing treatment, but there I am really taking me for a fool.
I strongly say this insurance when you are no longer a customer and you have something to adjust with them you are nothing.
</v>
      </c>
    </row>
    <row r="598" ht="15.75" customHeight="1">
      <c r="A598" s="2">
        <v>1.0</v>
      </c>
      <c r="B598" s="2" t="s">
        <v>1751</v>
      </c>
      <c r="C598" s="2" t="s">
        <v>1752</v>
      </c>
      <c r="D598" s="2" t="s">
        <v>135</v>
      </c>
      <c r="E598" s="2" t="s">
        <v>44</v>
      </c>
      <c r="F598" s="2" t="s">
        <v>15</v>
      </c>
      <c r="G598" s="2" t="s">
        <v>1753</v>
      </c>
      <c r="H598" s="2" t="s">
        <v>1383</v>
      </c>
      <c r="I598" s="3" t="str">
        <f>IFERROR(__xludf.DUMMYFUNCTION("GOOGLETRANSLATE(C598,""fr"",""en"")"),"Is this a joke? When you are looking to change your mutual insurance company, all the brokers that contact you agree on one point; Santiane is the height of horror. I had all the sorrows of the world to get rid of it because they will until denying having"&amp;" received a registered letter.
It would be advisable to question the reality of the opinions that are published. Their laconic character sows doubt: do we leave an opinion to say ""excellent mutual"" unless it is the mutual which ...
. Are the pen? In a"&amp;"ny case, in total contradiction with what we hear from professionals")</f>
        <v>Is this a joke? When you are looking to change your mutual insurance company, all the brokers that contact you agree on one point; Santiane is the height of horror. I had all the sorrows of the world to get rid of it because they will until denying having received a registered letter.
It would be advisable to question the reality of the opinions that are published. Their laconic character sows doubt: do we leave an opinion to say "excellent mutual" unless it is the mutual which ...
. Are the pen? In any case, in total contradiction with what we hear from professionals</v>
      </c>
    </row>
    <row r="599" ht="15.75" customHeight="1">
      <c r="A599" s="2">
        <v>3.0</v>
      </c>
      <c r="B599" s="2" t="s">
        <v>1754</v>
      </c>
      <c r="C599" s="2" t="s">
        <v>1755</v>
      </c>
      <c r="D599" s="2" t="s">
        <v>83</v>
      </c>
      <c r="E599" s="2" t="s">
        <v>14</v>
      </c>
      <c r="F599" s="2" t="s">
        <v>15</v>
      </c>
      <c r="G599" s="2" t="s">
        <v>1756</v>
      </c>
      <c r="H599" s="2" t="s">
        <v>589</v>
      </c>
      <c r="I599" s="3" t="str">
        <f>IFERROR(__xludf.DUMMYFUNCTION("GOOGLETRANSLATE(C599,""fr"",""en"")"),"Serious company with very good guarantees.")</f>
        <v>Serious company with very good guarantees.</v>
      </c>
    </row>
    <row r="600" ht="15.75" customHeight="1">
      <c r="A600" s="2">
        <v>3.0</v>
      </c>
      <c r="B600" s="2" t="s">
        <v>1757</v>
      </c>
      <c r="C600" s="2" t="s">
        <v>1758</v>
      </c>
      <c r="D600" s="2" t="s">
        <v>372</v>
      </c>
      <c r="E600" s="2" t="s">
        <v>127</v>
      </c>
      <c r="F600" s="2" t="s">
        <v>15</v>
      </c>
      <c r="G600" s="2" t="s">
        <v>1759</v>
      </c>
      <c r="H600" s="2" t="s">
        <v>173</v>
      </c>
      <c r="I600" s="3" t="str">
        <f>IFERROR(__xludf.DUMMYFUNCTION("GOOGLETRANSLATE(C600,""fr"",""en"")"),"Unreachable customer service for several days. Unexplained telephone line closure. Unbelievable!")</f>
        <v>Unreachable customer service for several days. Unexplained telephone line closure. Unbelievable!</v>
      </c>
    </row>
    <row r="601" ht="15.75" customHeight="1">
      <c r="A601" s="2">
        <v>1.0</v>
      </c>
      <c r="B601" s="2" t="s">
        <v>1760</v>
      </c>
      <c r="C601" s="2" t="s">
        <v>1761</v>
      </c>
      <c r="D601" s="2" t="s">
        <v>97</v>
      </c>
      <c r="E601" s="2" t="s">
        <v>38</v>
      </c>
      <c r="F601" s="2" t="s">
        <v>15</v>
      </c>
      <c r="G601" s="2" t="s">
        <v>1762</v>
      </c>
      <c r="H601" s="2" t="s">
        <v>261</v>
      </c>
      <c r="I601" s="3" t="str">
        <f>IFERROR(__xludf.DUMMYFUNCTION("GOOGLETRANSLATE(C601,""fr"",""en"")"),"Following an accident I am in disability in 2019 after 3 years of combat with Generali to have expertise with an impartial expert and not in ankle with them. Following my disability the amount does not comply with the special and general conditions ... No"&amp;" revaluation of my pension signs in 2007 as provided for in the conditions is a loss of 25 % ... In addition, they take social security contributions while I have a tax income which gives the right to exemption. In addition, they continue to take my contr"&amp;"ibutions to me when I no longer pretend to my guarantees. Finally following the expertise my functional rate does not take into account the disability scale according to my pathologies ... incompetent people who do not want to recognize their error and se"&amp;"ttle the dispute ..c is a scandal not to respond to its customers and to rectify His error.")</f>
        <v>Following an accident I am in disability in 2019 after 3 years of combat with Generali to have expertise with an impartial expert and not in ankle with them. Following my disability the amount does not comply with the special and general conditions ... No revaluation of my pension signs in 2007 as provided for in the conditions is a loss of 25 % ... In addition, they take social security contributions while I have a tax income which gives the right to exemption. In addition, they continue to take my contributions to me when I no longer pretend to my guarantees. Finally following the expertise my functional rate does not take into account the disability scale according to my pathologies ... incompetent people who do not want to recognize their error and settle the dispute ..c is a scandal not to respond to its customers and to rectify His error.</v>
      </c>
    </row>
    <row r="602" ht="15.75" customHeight="1">
      <c r="A602" s="2">
        <v>3.0</v>
      </c>
      <c r="B602" s="2" t="s">
        <v>1763</v>
      </c>
      <c r="C602" s="2" t="s">
        <v>1764</v>
      </c>
      <c r="D602" s="2" t="s">
        <v>669</v>
      </c>
      <c r="E602" s="2" t="s">
        <v>44</v>
      </c>
      <c r="F602" s="2" t="s">
        <v>15</v>
      </c>
      <c r="G602" s="2" t="s">
        <v>1139</v>
      </c>
      <c r="H602" s="2" t="s">
        <v>185</v>
      </c>
      <c r="I602" s="3" t="str">
        <f>IFERROR(__xludf.DUMMYFUNCTION("GOOGLETRANSLATE(C602,""fr"",""en"")"),"Rather good overall, except when it comes to having contact. When I want to access my third -party payment certificate to be able to download it, it is written ""no certificate to display"". Nothing is displayed on the mobile app is also displayed. And th"&amp;"e same when I click on the links send by the vocal server to generate the certificate: there is my certificate well but nothing is displayed.
The mutual has been settled and I still work in the same structure. I do not understand and wish to have answe"&amp;"rs at as quickly as possible and above all have access to my paying third party certificate not found on the generation site.")</f>
        <v>Rather good overall, except when it comes to having contact. When I want to access my third -party payment certificate to be able to download it, it is written "no certificate to display". Nothing is displayed on the mobile app is also displayed. And the same when I click on the links send by the vocal server to generate the certificate: there is my certificate well but nothing is displayed.
The mutual has been settled and I still work in the same structure. I do not understand and wish to have answers at as quickly as possible and above all have access to my paying third party certificate not found on the generation site.</v>
      </c>
    </row>
    <row r="603" ht="15.75" customHeight="1">
      <c r="A603" s="2">
        <v>1.0</v>
      </c>
      <c r="B603" s="2" t="s">
        <v>1765</v>
      </c>
      <c r="C603" s="2" t="s">
        <v>1766</v>
      </c>
      <c r="D603" s="2" t="s">
        <v>102</v>
      </c>
      <c r="E603" s="2" t="s">
        <v>285</v>
      </c>
      <c r="F603" s="2" t="s">
        <v>15</v>
      </c>
      <c r="G603" s="2" t="s">
        <v>1767</v>
      </c>
      <c r="H603" s="2" t="s">
        <v>261</v>
      </c>
      <c r="I603" s="3" t="str">
        <f>IFERROR(__xludf.DUMMYFUNCTION("GOOGLETRANSLATE(C603,""fr"",""en"")"),"I had a housing contract at Maaf for a few years who has just been terminated in the beginning months of March 2019. After spending a year and a half, I just received an email from their part concerning the contribution to pay. They gave me a factor sayin"&amp;"g that we are waiting for your termination letter, while I had already contacted their service and they sent me acknowledgment of receipt. In any case, they imposed me a contribution to pay for the period when this accommodation was not in my name.")</f>
        <v>I had a housing contract at Maaf for a few years who has just been terminated in the beginning months of March 2019. After spending a year and a half, I just received an email from their part concerning the contribution to pay. They gave me a factor saying that we are waiting for your termination letter, while I had already contacted their service and they sent me acknowledgment of receipt. In any case, they imposed me a contribution to pay for the period when this accommodation was not in my name.</v>
      </c>
    </row>
    <row r="604" ht="15.75" customHeight="1">
      <c r="A604" s="2">
        <v>5.0</v>
      </c>
      <c r="B604" s="2" t="s">
        <v>1768</v>
      </c>
      <c r="C604" s="2" t="s">
        <v>1769</v>
      </c>
      <c r="D604" s="2" t="s">
        <v>13</v>
      </c>
      <c r="E604" s="2" t="s">
        <v>14</v>
      </c>
      <c r="F604" s="2" t="s">
        <v>15</v>
      </c>
      <c r="G604" s="2" t="s">
        <v>1770</v>
      </c>
      <c r="H604" s="2" t="s">
        <v>17</v>
      </c>
      <c r="I604" s="3" t="str">
        <f>IFERROR(__xludf.DUMMYFUNCTION("GOOGLETRANSLATE(C604,""fr"",""en"")"),"Super, attractive price. 2nd time I come here. Very practical the -10% for the second contract. Too bad not to combine the sponsorship of € 50 but good.")</f>
        <v>Super, attractive price. 2nd time I come here. Very practical the -10% for the second contract. Too bad not to combine the sponsorship of € 50 but good.</v>
      </c>
    </row>
    <row r="605" ht="15.75" customHeight="1">
      <c r="A605" s="2">
        <v>4.0</v>
      </c>
      <c r="B605" s="2" t="s">
        <v>1771</v>
      </c>
      <c r="C605" s="2" t="s">
        <v>1772</v>
      </c>
      <c r="D605" s="2" t="s">
        <v>48</v>
      </c>
      <c r="E605" s="2" t="s">
        <v>14</v>
      </c>
      <c r="F605" s="2" t="s">
        <v>15</v>
      </c>
      <c r="G605" s="2" t="s">
        <v>823</v>
      </c>
      <c r="H605" s="2" t="s">
        <v>99</v>
      </c>
      <c r="I605" s="3" t="str">
        <f>IFERROR(__xludf.DUMMYFUNCTION("GOOGLETRANSLATE(C605,""fr"",""en"")"),"I am satisfied with the service, it is good insurance
the contacts are very pleasant and available
I recommend direct insurance to my friends")</f>
        <v>I am satisfied with the service, it is good insurance
the contacts are very pleasant and available
I recommend direct insurance to my friends</v>
      </c>
    </row>
    <row r="606" ht="15.75" customHeight="1">
      <c r="A606" s="2">
        <v>1.0</v>
      </c>
      <c r="B606" s="2" t="s">
        <v>1773</v>
      </c>
      <c r="C606" s="2" t="s">
        <v>1774</v>
      </c>
      <c r="D606" s="2" t="s">
        <v>102</v>
      </c>
      <c r="E606" s="2" t="s">
        <v>14</v>
      </c>
      <c r="F606" s="2" t="s">
        <v>15</v>
      </c>
      <c r="G606" s="2" t="s">
        <v>1775</v>
      </c>
      <c r="H606" s="2" t="s">
        <v>405</v>
      </c>
      <c r="I606" s="3" t="str">
        <f>IFERROR(__xludf.DUMMYFUNCTION("GOOGLETRANSLATE(C606,""fr"",""en"")"),"Good relationship to the claim ... And there, you are terminated for auto insurance even with 39% bonus and after 2 years of insurance at home as well as 3 other insurance contracts ... It is mutualist but works as private insurance.")</f>
        <v>Good relationship to the claim ... And there, you are terminated for auto insurance even with 39% bonus and after 2 years of insurance at home as well as 3 other insurance contracts ... It is mutualist but works as private insurance.</v>
      </c>
    </row>
    <row r="607" ht="15.75" customHeight="1">
      <c r="A607" s="2">
        <v>1.0</v>
      </c>
      <c r="B607" s="2" t="s">
        <v>1776</v>
      </c>
      <c r="C607" s="2" t="s">
        <v>1777</v>
      </c>
      <c r="D607" s="2" t="s">
        <v>102</v>
      </c>
      <c r="E607" s="2" t="s">
        <v>14</v>
      </c>
      <c r="F607" s="2" t="s">
        <v>15</v>
      </c>
      <c r="G607" s="2" t="s">
        <v>1778</v>
      </c>
      <c r="H607" s="2" t="s">
        <v>189</v>
      </c>
      <c r="I607" s="3" t="str">
        <f>IFERROR(__xludf.DUMMYFUNCTION("GOOGLETRANSLATE(C607,""fr"",""en"")")," I assured all risks of my daughter's VW polo as a young driver in 2014, she was the victim of a responsible accident in 2016 (icy pavement), she saw her penalty increase to 1.2, logical. Following a telephone call from the agency, I learned to be scratch"&amp;"ed by the insurance company and that my contract will not be renewed in 2018.
After 30 years of loyalty and contributions to the MAAF, I had trouble accepting this situation. So I terminated all the contracts and life insurance that I had and I assured m"&amp;"yself elsewhere.")</f>
        <v> I assured all risks of my daughter's VW polo as a young driver in 2014, she was the victim of a responsible accident in 2016 (icy pavement), she saw her penalty increase to 1.2, logical. Following a telephone call from the agency, I learned to be scratched by the insurance company and that my contract will not be renewed in 2018.
After 30 years of loyalty and contributions to the MAAF, I had trouble accepting this situation. So I terminated all the contracts and life insurance that I had and I assured myself elsewhere.</v>
      </c>
    </row>
    <row r="608" ht="15.75" customHeight="1">
      <c r="A608" s="2">
        <v>1.0</v>
      </c>
      <c r="B608" s="2" t="s">
        <v>1779</v>
      </c>
      <c r="C608" s="2" t="s">
        <v>1780</v>
      </c>
      <c r="D608" s="2" t="s">
        <v>214</v>
      </c>
      <c r="E608" s="2" t="s">
        <v>215</v>
      </c>
      <c r="F608" s="2" t="s">
        <v>15</v>
      </c>
      <c r="G608" s="2" t="s">
        <v>1781</v>
      </c>
      <c r="H608" s="2" t="s">
        <v>178</v>
      </c>
      <c r="I608" s="3" t="str">
        <f>IFERROR(__xludf.DUMMYFUNCTION("GOOGLETRANSLATE(C608,""fr"",""en"")"),"He sent me an opinion to increase the price on 04/19/2017. I did not review the opinion by normal letter or letter recommender. I do not agree with this change. But it is taken into account if I do not answer in 20 days. It is 05/23/2017 today, my deadlin"&amp;"e is 19/07/2017, I can no longer terminate even I do not agree with the new price because it is compulsory to terminate 2 months before the due date.")</f>
        <v>He sent me an opinion to increase the price on 04/19/2017. I did not review the opinion by normal letter or letter recommender. I do not agree with this change. But it is taken into account if I do not answer in 20 days. It is 05/23/2017 today, my deadline is 19/07/2017, I can no longer terminate even I do not agree with the new price because it is compulsory to terminate 2 months before the due date.</v>
      </c>
    </row>
    <row r="609" ht="15.75" customHeight="1">
      <c r="A609" s="2">
        <v>3.0</v>
      </c>
      <c r="B609" s="2" t="s">
        <v>1782</v>
      </c>
      <c r="C609" s="2" t="s">
        <v>1783</v>
      </c>
      <c r="D609" s="2" t="s">
        <v>43</v>
      </c>
      <c r="E609" s="2" t="s">
        <v>44</v>
      </c>
      <c r="F609" s="2" t="s">
        <v>15</v>
      </c>
      <c r="G609" s="2" t="s">
        <v>1784</v>
      </c>
      <c r="H609" s="2" t="s">
        <v>635</v>
      </c>
      <c r="I609" s="3" t="str">
        <f>IFERROR(__xludf.DUMMYFUNCTION("GOOGLETRANSLATE(C609,""fr"",""en"")"),"Watch out for this insurer who practices an electronic signature without ensuring who is the one who signs, especially going from agreements with a brokerage firm like Santhel in Nice")</f>
        <v>Watch out for this insurer who practices an electronic signature without ensuring who is the one who signs, especially going from agreements with a brokerage firm like Santhel in Nice</v>
      </c>
    </row>
    <row r="610" ht="15.75" customHeight="1">
      <c r="A610" s="2">
        <v>3.0</v>
      </c>
      <c r="B610" s="2" t="s">
        <v>1785</v>
      </c>
      <c r="C610" s="2" t="s">
        <v>1786</v>
      </c>
      <c r="D610" s="2" t="s">
        <v>13</v>
      </c>
      <c r="E610" s="2" t="s">
        <v>14</v>
      </c>
      <c r="F610" s="2" t="s">
        <v>15</v>
      </c>
      <c r="G610" s="2" t="s">
        <v>99</v>
      </c>
      <c r="H610" s="2" t="s">
        <v>99</v>
      </c>
      <c r="I610" s="3" t="str">
        <f>IFERROR(__xludf.DUMMYFUNCTION("GOOGLETRANSLATE(C610,""fr"",""en"")"),"Quotation and quite easy subscription.
However for an old vehicle, a city center of French brand, the amount of the insurance premium remains fairly chèr by reporting at the price of the car.")</f>
        <v>Quotation and quite easy subscription.
However for an old vehicle, a city center of French brand, the amount of the insurance premium remains fairly chèr by reporting at the price of the car.</v>
      </c>
    </row>
    <row r="611" ht="15.75" customHeight="1">
      <c r="A611" s="2">
        <v>1.0</v>
      </c>
      <c r="B611" s="2" t="s">
        <v>1787</v>
      </c>
      <c r="C611" s="2" t="s">
        <v>1788</v>
      </c>
      <c r="D611" s="2" t="s">
        <v>176</v>
      </c>
      <c r="E611" s="2" t="s">
        <v>14</v>
      </c>
      <c r="F611" s="2" t="s">
        <v>15</v>
      </c>
      <c r="G611" s="2" t="s">
        <v>1514</v>
      </c>
      <c r="H611" s="2" t="s">
        <v>238</v>
      </c>
      <c r="I611" s="3" t="str">
        <f>IFERROR(__xludf.DUMMYFUNCTION("GOOGLETRANSLATE(C611,""fr"",""en"")"),"Insured since 1980 for housing and vehicles until 2008 or following a letter the Macif told me that my spouse had terminated the contract ""as he had the right"" not having the means to ensure me I did not give following this letter but I have never recei"&amp;"ved an information statement mentioning the rate of my bonus which was 0.50 in 2012 I went to see them for a request for auto insurance. said that I had no more bonuses because I had an insurance interruption of more than two years and that I had to pay t"&amp;"he subscription as a beginner driver following this the insurer did not give me a statement Information he told me that after two years there was no trace of my bonus left so I left and left without any bonus to date I have a bonus of 0.72 when I was at 0"&amp;".50 in 2008 after 30 years of insurance at the Macif")</f>
        <v>Insured since 1980 for housing and vehicles until 2008 or following a letter the Macif told me that my spouse had terminated the contract "as he had the right" not having the means to ensure me I did not give following this letter but I have never received an information statement mentioning the rate of my bonus which was 0.50 in 2012 I went to see them for a request for auto insurance. said that I had no more bonuses because I had an insurance interruption of more than two years and that I had to pay the subscription as a beginner driver following this the insurer did not give me a statement Information he told me that after two years there was no trace of my bonus left so I left and left without any bonus to date I have a bonus of 0.72 when I was at 0.50 in 2008 after 30 years of insurance at the Macif</v>
      </c>
    </row>
    <row r="612" ht="15.75" customHeight="1">
      <c r="A612" s="2">
        <v>5.0</v>
      </c>
      <c r="B612" s="2" t="s">
        <v>1789</v>
      </c>
      <c r="C612" s="2" t="s">
        <v>1790</v>
      </c>
      <c r="D612" s="2" t="s">
        <v>48</v>
      </c>
      <c r="E612" s="2" t="s">
        <v>14</v>
      </c>
      <c r="F612" s="2" t="s">
        <v>15</v>
      </c>
      <c r="G612" s="2" t="s">
        <v>1295</v>
      </c>
      <c r="H612" s="2" t="s">
        <v>89</v>
      </c>
      <c r="I612" s="3" t="str">
        <f>IFERROR(__xludf.DUMMYFUNCTION("GOOGLETRANSLATE(C612,""fr"",""en"")"),"I am satisfied with the service!
The prices are correct!
Ease of understanding and online payment and signature in very practical electronics!")</f>
        <v>I am satisfied with the service!
The prices are correct!
Ease of understanding and online payment and signature in very practical electronics!</v>
      </c>
    </row>
    <row r="613" ht="15.75" customHeight="1">
      <c r="A613" s="2">
        <v>3.0</v>
      </c>
      <c r="B613" s="2" t="s">
        <v>1791</v>
      </c>
      <c r="C613" s="2" t="s">
        <v>1792</v>
      </c>
      <c r="D613" s="2" t="s">
        <v>48</v>
      </c>
      <c r="E613" s="2" t="s">
        <v>14</v>
      </c>
      <c r="F613" s="2" t="s">
        <v>15</v>
      </c>
      <c r="G613" s="2" t="s">
        <v>531</v>
      </c>
      <c r="H613" s="2" t="s">
        <v>21</v>
      </c>
      <c r="I613" s="3" t="str">
        <f>IFERROR(__xludf.DUMMYFUNCTION("GOOGLETRANSLATE(C613,""fr"",""en"")"),"I follow satisfied for the prices.
I am disappointed with the way they decide the termination without any reason overnight and especially without giving any reason
")</f>
        <v>I follow satisfied for the prices.
I am disappointed with the way they decide the termination without any reason overnight and especially without giving any reason
</v>
      </c>
    </row>
    <row r="614" ht="15.75" customHeight="1">
      <c r="A614" s="2">
        <v>2.0</v>
      </c>
      <c r="B614" s="2" t="s">
        <v>1793</v>
      </c>
      <c r="C614" s="2" t="s">
        <v>1794</v>
      </c>
      <c r="D614" s="2" t="s">
        <v>400</v>
      </c>
      <c r="E614" s="2" t="s">
        <v>14</v>
      </c>
      <c r="F614" s="2" t="s">
        <v>15</v>
      </c>
      <c r="G614" s="2" t="s">
        <v>1795</v>
      </c>
      <c r="H614" s="2" t="s">
        <v>336</v>
      </c>
      <c r="I614" s="3" t="str">
        <f>IFERROR(__xludf.DUMMYFUNCTION("GOOGLETRANSLATE(C614,""fr"",""en"")")," Ensuring my car for many years I have just been fired by insurance because I did 3D ice breaks in 3 years it is shameful I am very disappointed he wanted to contract another home insurance with really haggling very disappointed")</f>
        <v> Ensuring my car for many years I have just been fired by insurance because I did 3D ice breaks in 3 years it is shameful I am very disappointed he wanted to contract another home insurance with really haggling very disappointed</v>
      </c>
    </row>
    <row r="615" ht="15.75" customHeight="1">
      <c r="A615" s="2">
        <v>5.0</v>
      </c>
      <c r="B615" s="2" t="s">
        <v>1796</v>
      </c>
      <c r="C615" s="2" t="s">
        <v>1797</v>
      </c>
      <c r="D615" s="2" t="s">
        <v>48</v>
      </c>
      <c r="E615" s="2" t="s">
        <v>14</v>
      </c>
      <c r="F615" s="2" t="s">
        <v>15</v>
      </c>
      <c r="G615" s="2" t="s">
        <v>1798</v>
      </c>
      <c r="H615" s="2" t="s">
        <v>50</v>
      </c>
      <c r="I615" s="3" t="str">
        <f>IFERROR(__xludf.DUMMYFUNCTION("GOOGLETRANSLATE(C615,""fr"",""en"")"),"I am satisfied with this insurance thank you for your prices incredibly good thank you for all I feel reassured and I will be able to drive in all serenity")</f>
        <v>I am satisfied with this insurance thank you for your prices incredibly good thank you for all I feel reassured and I will be able to drive in all serenity</v>
      </c>
    </row>
    <row r="616" ht="15.75" customHeight="1">
      <c r="A616" s="2">
        <v>1.0</v>
      </c>
      <c r="B616" s="2" t="s">
        <v>1799</v>
      </c>
      <c r="C616" s="2" t="s">
        <v>1800</v>
      </c>
      <c r="D616" s="2" t="s">
        <v>28</v>
      </c>
      <c r="E616" s="2" t="s">
        <v>14</v>
      </c>
      <c r="F616" s="2" t="s">
        <v>15</v>
      </c>
      <c r="G616" s="2" t="s">
        <v>1801</v>
      </c>
      <c r="H616" s="2" t="s">
        <v>80</v>
      </c>
      <c r="I616" s="3" t="str">
        <f>IFERROR(__xludf.DUMMYFUNCTION("GOOGLETRANSLATE(C616,""fr"",""en"")"),"The presentation of the guarantees of the specific ""all risks eco"" conditions is false (the broken ice covers only the windshield, the theft that the theft of the entire vehicle ...), the management of claims is a shame ( They tell you that it is taken "&amp;"care of when it is not).")</f>
        <v>The presentation of the guarantees of the specific "all risks eco" conditions is false (the broken ice covers only the windshield, the theft that the theft of the entire vehicle ...), the management of claims is a shame ( They tell you that it is taken care of when it is not).</v>
      </c>
    </row>
    <row r="617" ht="15.75" customHeight="1">
      <c r="A617" s="2">
        <v>5.0</v>
      </c>
      <c r="B617" s="2" t="s">
        <v>1802</v>
      </c>
      <c r="C617" s="2" t="s">
        <v>1803</v>
      </c>
      <c r="D617" s="2" t="s">
        <v>13</v>
      </c>
      <c r="E617" s="2" t="s">
        <v>14</v>
      </c>
      <c r="F617" s="2" t="s">
        <v>15</v>
      </c>
      <c r="G617" s="2" t="s">
        <v>1107</v>
      </c>
      <c r="H617" s="2" t="s">
        <v>25</v>
      </c>
      <c r="I617" s="3" t="str">
        <f>IFERROR(__xludf.DUMMYFUNCTION("GOOGLETRANSLATE(C617,""fr"",""en"")"),"I am satisfied with the service and the prices that are offered to me, moreover I could benefit from an advantage thanks to the sponsorship. The telephone service is impeccable.")</f>
        <v>I am satisfied with the service and the prices that are offered to me, moreover I could benefit from an advantage thanks to the sponsorship. The telephone service is impeccable.</v>
      </c>
    </row>
    <row r="618" ht="15.75" customHeight="1">
      <c r="A618" s="2">
        <v>1.0</v>
      </c>
      <c r="B618" s="2" t="s">
        <v>1804</v>
      </c>
      <c r="C618" s="2" t="s">
        <v>1805</v>
      </c>
      <c r="D618" s="2" t="s">
        <v>1806</v>
      </c>
      <c r="E618" s="2" t="s">
        <v>242</v>
      </c>
      <c r="F618" s="2" t="s">
        <v>15</v>
      </c>
      <c r="G618" s="2" t="s">
        <v>17</v>
      </c>
      <c r="H618" s="2" t="s">
        <v>29</v>
      </c>
      <c r="I618" s="3" t="str">
        <f>IFERROR(__xludf.DUMMYFUNCTION("GOOGLETRANSLATE(C618,""fr"",""en"")"),"They offer me to assure me on my loan but with a surprise on 7 years and not over 22 years, duration of my loan. Which would make a contribution of around 500 euro insurance is to say as much as the amount of my loan. Then after 7 years it would drop to 4"&amp;"8 euros. Suffice to say that it is to make fun of me. Which can pay 500 euros in insurance. So no real estate project when you have a health problem on the other hand I am in fairly good health to pay rent and the invoices that go with it.
")</f>
        <v>They offer me to assure me on my loan but with a surprise on 7 years and not over 22 years, duration of my loan. Which would make a contribution of around 500 euro insurance is to say as much as the amount of my loan. Then after 7 years it would drop to 48 euros. Suffice to say that it is to make fun of me. Which can pay 500 euros in insurance. So no real estate project when you have a health problem on the other hand I am in fairly good health to pay rent and the invoices that go with it.
</v>
      </c>
    </row>
    <row r="619" ht="15.75" customHeight="1">
      <c r="A619" s="2">
        <v>4.0</v>
      </c>
      <c r="B619" s="2" t="s">
        <v>1807</v>
      </c>
      <c r="C619" s="2" t="s">
        <v>1808</v>
      </c>
      <c r="D619" s="2" t="s">
        <v>372</v>
      </c>
      <c r="E619" s="2" t="s">
        <v>127</v>
      </c>
      <c r="F619" s="2" t="s">
        <v>15</v>
      </c>
      <c r="G619" s="2" t="s">
        <v>145</v>
      </c>
      <c r="H619" s="2" t="s">
        <v>29</v>
      </c>
      <c r="I619" s="3" t="str">
        <f>IFERROR(__xludf.DUMMYFUNCTION("GOOGLETRANSLATE(C619,""fr"",""en"")"),"I am happy with the prices, I never had concerns with my contract at the same time never a claim until July 2021, I expect to see the efficiency and speed compared to my disaster.")</f>
        <v>I am happy with the prices, I never had concerns with my contract at the same time never a claim until July 2021, I expect to see the efficiency and speed compared to my disaster.</v>
      </c>
    </row>
    <row r="620" ht="15.75" customHeight="1">
      <c r="A620" s="2">
        <v>4.0</v>
      </c>
      <c r="B620" s="2" t="s">
        <v>1809</v>
      </c>
      <c r="C620" s="2" t="s">
        <v>1810</v>
      </c>
      <c r="D620" s="2" t="s">
        <v>28</v>
      </c>
      <c r="E620" s="2" t="s">
        <v>14</v>
      </c>
      <c r="F620" s="2" t="s">
        <v>15</v>
      </c>
      <c r="G620" s="2" t="s">
        <v>1128</v>
      </c>
      <c r="H620" s="2" t="s">
        <v>29</v>
      </c>
      <c r="I620" s="3" t="str">
        <f>IFERROR(__xludf.DUMMYFUNCTION("GOOGLETRANSLATE(C620,""fr"",""en"")"),"Overall I am satisfied, where I am not it is mainly on the price of the scooter I would like to be able to stop his insurance when he is in the garage for several months by wholesale from November to April.
And then month I ride very little can we not ad"&amp;"just insurance at km?")</f>
        <v>Overall I am satisfied, where I am not it is mainly on the price of the scooter I would like to be able to stop his insurance when he is in the garage for several months by wholesale from November to April.
And then month I ride very little can we not adjust insurance at km?</v>
      </c>
    </row>
    <row r="621" ht="15.75" customHeight="1">
      <c r="A621" s="2">
        <v>1.0</v>
      </c>
      <c r="B621" s="2" t="s">
        <v>1811</v>
      </c>
      <c r="C621" s="2" t="s">
        <v>1812</v>
      </c>
      <c r="D621" s="2" t="s">
        <v>105</v>
      </c>
      <c r="E621" s="2" t="s">
        <v>38</v>
      </c>
      <c r="F621" s="2" t="s">
        <v>15</v>
      </c>
      <c r="G621" s="2" t="s">
        <v>1813</v>
      </c>
      <c r="H621" s="2" t="s">
        <v>85</v>
      </c>
      <c r="I621" s="3" t="str">
        <f>IFERROR(__xludf.DUMMYFUNCTION("GOOGLETRANSLATE(C621,""fr"",""en"")"),"Here it has been since April 2, 2020 that I am on sick leave to date I phoned today on September 18, 2020 for my additional salary that I await to date he tells me the file he long and yet the counts of Social security of daily allowances, and even the fi"&amp;"le it long. Received and in addition I sent to the least 6 email with a complaint no answer I am very disappointed with their behavior")</f>
        <v>Here it has been since April 2, 2020 that I am on sick leave to date I phoned today on September 18, 2020 for my additional salary that I await to date he tells me the file he long and yet the counts of Social security of daily allowances, and even the file it long. Received and in addition I sent to the least 6 email with a complaint no answer I am very disappointed with their behavior</v>
      </c>
    </row>
    <row r="622" ht="15.75" customHeight="1">
      <c r="A622" s="2">
        <v>4.0</v>
      </c>
      <c r="B622" s="2" t="s">
        <v>1814</v>
      </c>
      <c r="C622" s="2" t="s">
        <v>1815</v>
      </c>
      <c r="D622" s="2" t="s">
        <v>241</v>
      </c>
      <c r="E622" s="2" t="s">
        <v>242</v>
      </c>
      <c r="F622" s="2" t="s">
        <v>15</v>
      </c>
      <c r="G622" s="2" t="s">
        <v>1107</v>
      </c>
      <c r="H622" s="2" t="s">
        <v>25</v>
      </c>
      <c r="I622" s="3" t="str">
        <f>IFERROR(__xludf.DUMMYFUNCTION("GOOGLETRANSLATE(C622,""fr"",""en"")"),"I am satisfied with your service The price and the conditions suit me.
I find your page very well on the site, the ease of filling the forms.
")</f>
        <v>I am satisfied with your service The price and the conditions suit me.
I find your page very well on the site, the ease of filling the forms.
</v>
      </c>
    </row>
    <row r="623" ht="15.75" customHeight="1">
      <c r="A623" s="2">
        <v>5.0</v>
      </c>
      <c r="B623" s="2" t="s">
        <v>1816</v>
      </c>
      <c r="C623" s="2" t="s">
        <v>1817</v>
      </c>
      <c r="D623" s="2" t="s">
        <v>48</v>
      </c>
      <c r="E623" s="2" t="s">
        <v>14</v>
      </c>
      <c r="F623" s="2" t="s">
        <v>15</v>
      </c>
      <c r="G623" s="2" t="s">
        <v>1818</v>
      </c>
      <c r="H623" s="2" t="s">
        <v>50</v>
      </c>
      <c r="I623" s="3" t="str">
        <f>IFERROR(__xludf.DUMMYFUNCTION("GOOGLETRANSLATE(C623,""fr"",""en"")"),"I am delighted and satisfied
thank you very much for your speed
Everything is good, for my registration and the rest
Thank you again for your reaction and the speed
")</f>
        <v>I am delighted and satisfied
thank you very much for your speed
Everything is good, for my registration and the rest
Thank you again for your reaction and the speed
</v>
      </c>
    </row>
    <row r="624" ht="15.75" customHeight="1">
      <c r="A624" s="2">
        <v>5.0</v>
      </c>
      <c r="B624" s="2" t="s">
        <v>1819</v>
      </c>
      <c r="C624" s="2" t="s">
        <v>1820</v>
      </c>
      <c r="D624" s="2" t="s">
        <v>13</v>
      </c>
      <c r="E624" s="2" t="s">
        <v>14</v>
      </c>
      <c r="F624" s="2" t="s">
        <v>15</v>
      </c>
      <c r="G624" s="2" t="s">
        <v>1821</v>
      </c>
      <c r="H624" s="2" t="s">
        <v>99</v>
      </c>
      <c r="I624" s="3" t="str">
        <f>IFERROR(__xludf.DUMMYFUNCTION("GOOGLETRANSLATE(C624,""fr"",""en"")"),"I am satisfied with the service and the prices are reasonable listening advisor and good explanation of my simple and effective insurance rights online")</f>
        <v>I am satisfied with the service and the prices are reasonable listening advisor and good explanation of my simple and effective insurance rights online</v>
      </c>
    </row>
    <row r="625" ht="15.75" customHeight="1">
      <c r="A625" s="2">
        <v>1.0</v>
      </c>
      <c r="B625" s="2" t="s">
        <v>1822</v>
      </c>
      <c r="C625" s="2" t="s">
        <v>1823</v>
      </c>
      <c r="D625" s="2" t="s">
        <v>102</v>
      </c>
      <c r="E625" s="2" t="s">
        <v>285</v>
      </c>
      <c r="F625" s="2" t="s">
        <v>15</v>
      </c>
      <c r="G625" s="2" t="s">
        <v>1824</v>
      </c>
      <c r="H625" s="2" t="s">
        <v>472</v>
      </c>
      <c r="I625" s="3" t="str">
        <f>IFERROR(__xludf.DUMMYFUNCTION("GOOGLETRANSLATE(C625,""fr"",""en"")"),"The MAAF does not respect quotes and you force you to take options, they are cheaper on price comparators, and when you want to subscribe, they impose more expensive prices for you.")</f>
        <v>The MAAF does not respect quotes and you force you to take options, they are cheaper on price comparators, and when you want to subscribe, they impose more expensive prices for you.</v>
      </c>
    </row>
    <row r="626" ht="15.75" customHeight="1">
      <c r="A626" s="2">
        <v>2.0</v>
      </c>
      <c r="B626" s="2" t="s">
        <v>1825</v>
      </c>
      <c r="C626" s="2" t="s">
        <v>1826</v>
      </c>
      <c r="D626" s="2" t="s">
        <v>48</v>
      </c>
      <c r="E626" s="2" t="s">
        <v>14</v>
      </c>
      <c r="F626" s="2" t="s">
        <v>15</v>
      </c>
      <c r="G626" s="2" t="s">
        <v>1340</v>
      </c>
      <c r="H626" s="2" t="s">
        <v>123</v>
      </c>
      <c r="I626" s="3" t="str">
        <f>IFERROR(__xludf.DUMMYFUNCTION("GOOGLETRANSLATE(C626,""fr"",""en"")"),"Hi there . (Ensures any risk + auto and housing)
In September, the oak located next to the parking lot
Attributes to my rental in the owner's area drops in my absence its acorns on my vehicle.
Noting the damage (hood, pavilion and trunk) and
After hav"&amp;"ing inquired about his insurance on the procedures has taken and saying that he will take care of all the costs occasioned by this disaster,
We therefore establish an observation with my owner.
However direct insurance refuses to request appeal to oppos"&amp;"ing insurance claiming that my owner cannot be held legally responsible and requires it to settle the franchise allocated to this kind of disaster.
Despite my very good relations with Direct Insurance I very seriously consider taking steps with a possibl"&amp;"e new insurer.
")</f>
        <v>Hi there . (Ensures any risk + auto and housing)
In September, the oak located next to the parking lot
Attributes to my rental in the owner's area drops in my absence its acorns on my vehicle.
Noting the damage (hood, pavilion and trunk) and
After having inquired about his insurance on the procedures has taken and saying that he will take care of all the costs occasioned by this disaster,
We therefore establish an observation with my owner.
However direct insurance refuses to request appeal to opposing insurance claiming that my owner cannot be held legally responsible and requires it to settle the franchise allocated to this kind of disaster.
Despite my very good relations with Direct Insurance I very seriously consider taking steps with a possible new insurer.
</v>
      </c>
    </row>
    <row r="627" ht="15.75" customHeight="1">
      <c r="A627" s="2">
        <v>3.0</v>
      </c>
      <c r="B627" s="2" t="s">
        <v>1827</v>
      </c>
      <c r="C627" s="2" t="s">
        <v>1828</v>
      </c>
      <c r="D627" s="2" t="s">
        <v>53</v>
      </c>
      <c r="E627" s="2" t="s">
        <v>44</v>
      </c>
      <c r="F627" s="2" t="s">
        <v>15</v>
      </c>
      <c r="G627" s="2" t="s">
        <v>1222</v>
      </c>
      <c r="H627" s="2" t="s">
        <v>173</v>
      </c>
      <c r="I627" s="3" t="str">
        <f>IFERROR(__xludf.DUMMYFUNCTION("GOOGLETRANSLATE(C627,""fr"",""en"")"),"Have the third -party payment card everywhere thanks to the C application is top. View reimbursements and geo-localization for Toubib C is cool. Reasonable reimbursement period. A good mutual")</f>
        <v>Have the third -party payment card everywhere thanks to the C application is top. View reimbursements and geo-localization for Toubib C is cool. Reasonable reimbursement period. A good mutual</v>
      </c>
    </row>
    <row r="628" ht="15.75" customHeight="1">
      <c r="A628" s="2">
        <v>1.0</v>
      </c>
      <c r="B628" s="2" t="s">
        <v>1829</v>
      </c>
      <c r="C628" s="2" t="s">
        <v>1830</v>
      </c>
      <c r="D628" s="2" t="s">
        <v>155</v>
      </c>
      <c r="E628" s="2" t="s">
        <v>33</v>
      </c>
      <c r="F628" s="2" t="s">
        <v>15</v>
      </c>
      <c r="G628" s="2" t="s">
        <v>1831</v>
      </c>
      <c r="H628" s="2" t="s">
        <v>628</v>
      </c>
      <c r="I628" s="3" t="str">
        <f>IFERROR(__xludf.DUMMYFUNCTION("GOOGLETRANSLATE(C628,""fr"",""en"")"),"Hello, I have set up my file since the August 2020 month and always go ahead in my file .....
Papers are still missing.
Everyone is apologized for delaying and leaving people really sick in difficulty.
Taking the deadlines that goes but paying compensa"&amp;"tion is more difficult.
Frankly disappointed !!!!")</f>
        <v>Hello, I have set up my file since the August 2020 month and always go ahead in my file .....
Papers are still missing.
Everyone is apologized for delaying and leaving people really sick in difficulty.
Taking the deadlines that goes but paying compensation is more difficult.
Frankly disappointed !!!!</v>
      </c>
    </row>
    <row r="629" ht="15.75" customHeight="1">
      <c r="A629" s="2">
        <v>3.0</v>
      </c>
      <c r="B629" s="2" t="s">
        <v>1832</v>
      </c>
      <c r="C629" s="2" t="s">
        <v>1833</v>
      </c>
      <c r="D629" s="2" t="s">
        <v>105</v>
      </c>
      <c r="E629" s="2" t="s">
        <v>44</v>
      </c>
      <c r="F629" s="2" t="s">
        <v>15</v>
      </c>
      <c r="G629" s="2" t="s">
        <v>281</v>
      </c>
      <c r="H629" s="2" t="s">
        <v>67</v>
      </c>
      <c r="I629" s="3" t="str">
        <f>IFERROR(__xludf.DUMMYFUNCTION("GOOGLETRANSLATE(C629,""fr"",""en"")"),"Bof Mutual subscribed by my employer I took the maximum option for my teeth because I have big dental problems on a quote of 4,770 euros I still have 1400 euros paid so rather well supported even if I know that There are some mutuals who reimburse a littl"&amp;"e better, however, like most people of big problems with customer service my company my change I don't tell you the damage it put myself I ended up with 2 contracts at home With my options the other no I wanted to terminate the first contract and switch m"&amp;"y options on the new it took 10 days and as much as you are that I am not letting them over every day phone on several mail ect ect ect I finished By threatened by explaining to them that they had until the next day to solve my problem before I land in th"&amp;"eir premises results 30min after this email everything was settled it is still absurd to have to get there in terms of reimbursements I am You never had any problems they reimburse properly on time and I can follow everything on the site so outside the af"&amp;"ter -sales service which is clearly a disaster for the rest I am rather satisfied")</f>
        <v>Bof Mutual subscribed by my employer I took the maximum option for my teeth because I have big dental problems on a quote of 4,770 euros I still have 1400 euros paid so rather well supported even if I know that There are some mutuals who reimburse a little better, however, like most people of big problems with customer service my company my change I don't tell you the damage it put myself I ended up with 2 contracts at home With my options the other no I wanted to terminate the first contract and switch my options on the new it took 10 days and as much as you are that I am not letting them over every day phone on several mail ect ect ect I finished By threatened by explaining to them that they had until the next day to solve my problem before I land in their premises results 30min after this email everything was settled it is still absurd to have to get there in terms of reimbursements I am You never had any problems they reimburse properly on time and I can follow everything on the site so outside the after -sales service which is clearly a disaster for the rest I am rather satisfied</v>
      </c>
    </row>
    <row r="630" ht="15.75" customHeight="1">
      <c r="A630" s="2">
        <v>4.0</v>
      </c>
      <c r="B630" s="2" t="s">
        <v>1834</v>
      </c>
      <c r="C630" s="2" t="s">
        <v>1835</v>
      </c>
      <c r="D630" s="2" t="s">
        <v>53</v>
      </c>
      <c r="E630" s="2" t="s">
        <v>44</v>
      </c>
      <c r="F630" s="2" t="s">
        <v>15</v>
      </c>
      <c r="G630" s="2" t="s">
        <v>1836</v>
      </c>
      <c r="H630" s="2" t="s">
        <v>405</v>
      </c>
      <c r="I630" s="3" t="str">
        <f>IFERROR(__xludf.DUMMYFUNCTION("GOOGLETRANSLATE(C630,""fr"",""en"")"),"I joined Néoliane at the start of the year following a need for supreme guarantees and my formula allows me to benefit from a substantial optical capital and my view forces me to put the price. I have significant consumption usually but when I need it is "&amp;"quickly expensive and I was reimbursed.")</f>
        <v>I joined Néoliane at the start of the year following a need for supreme guarantees and my formula allows me to benefit from a substantial optical capital and my view forces me to put the price. I have significant consumption usually but when I need it is quickly expensive and I was reimbursed.</v>
      </c>
    </row>
    <row r="631" ht="15.75" customHeight="1">
      <c r="A631" s="2">
        <v>5.0</v>
      </c>
      <c r="B631" s="2" t="s">
        <v>1837</v>
      </c>
      <c r="C631" s="2" t="s">
        <v>1838</v>
      </c>
      <c r="D631" s="2" t="s">
        <v>372</v>
      </c>
      <c r="E631" s="2" t="s">
        <v>127</v>
      </c>
      <c r="F631" s="2" t="s">
        <v>15</v>
      </c>
      <c r="G631" s="2" t="s">
        <v>915</v>
      </c>
      <c r="H631" s="2" t="s">
        <v>29</v>
      </c>
      <c r="I631" s="3" t="str">
        <f>IFERROR(__xludf.DUMMYFUNCTION("GOOGLETRANSLATE(C631,""fr"",""en"")"),"Simple and quick,
quote half cheaper than certain insurance.
Subscription made for my daughter's scooter's insurance.
I will watch suddenly for my motorcycle.")</f>
        <v>Simple and quick,
quote half cheaper than certain insurance.
Subscription made for my daughter's scooter's insurance.
I will watch suddenly for my motorcycle.</v>
      </c>
    </row>
    <row r="632" ht="15.75" customHeight="1">
      <c r="A632" s="2">
        <v>2.0</v>
      </c>
      <c r="B632" s="2" t="s">
        <v>1839</v>
      </c>
      <c r="C632" s="2" t="s">
        <v>1840</v>
      </c>
      <c r="D632" s="2" t="s">
        <v>48</v>
      </c>
      <c r="E632" s="2" t="s">
        <v>14</v>
      </c>
      <c r="F632" s="2" t="s">
        <v>15</v>
      </c>
      <c r="G632" s="2" t="s">
        <v>1841</v>
      </c>
      <c r="H632" s="2" t="s">
        <v>497</v>
      </c>
      <c r="I632" s="3" t="str">
        <f>IFERROR(__xludf.DUMMYFUNCTION("GOOGLETRANSLATE(C632,""fr"",""en"")"),"Interlocutor on the phone not very objective for termination information. Information not at all clear or even erroneous.
Interesting price only the 1st year given promo or call price but much more expensive afterwards.")</f>
        <v>Interlocutor on the phone not very objective for termination information. Information not at all clear or even erroneous.
Interesting price only the 1st year given promo or call price but much more expensive afterwards.</v>
      </c>
    </row>
    <row r="633" ht="15.75" customHeight="1">
      <c r="A633" s="2">
        <v>1.0</v>
      </c>
      <c r="B633" s="2" t="s">
        <v>1842</v>
      </c>
      <c r="C633" s="2" t="s">
        <v>1843</v>
      </c>
      <c r="D633" s="2" t="s">
        <v>390</v>
      </c>
      <c r="E633" s="2" t="s">
        <v>242</v>
      </c>
      <c r="F633" s="2" t="s">
        <v>15</v>
      </c>
      <c r="G633" s="2" t="s">
        <v>305</v>
      </c>
      <c r="H633" s="2" t="s">
        <v>305</v>
      </c>
      <c r="I633" s="3" t="str">
        <f>IFERROR(__xludf.DUMMYFUNCTION("GOOGLETRANSLATE(C633,""fr"",""en"")"),"  Sends a Courier Plus recommends nothing is a telephone, a telephone, no one never informed of nothing they have been deaf since several months catastrophic situation even the people of Cetelem admits that they all do not to pay my invalid husband grace "&amp;"ac is dishonest people ended up Make an attempt to finish the people of Cetelem supports us and we even try to communicate with it is nobody had no response a will of cardif not to pay")</f>
        <v>  Sends a Courier Plus recommends nothing is a telephone, a telephone, no one never informed of nothing they have been deaf since several months catastrophic situation even the people of Cetelem admits that they all do not to pay my invalid husband grace ac is dishonest people ended up Make an attempt to finish the people of Cetelem supports us and we even try to communicate with it is nobody had no response a will of cardif not to pay</v>
      </c>
    </row>
    <row r="634" ht="15.75" customHeight="1">
      <c r="A634" s="2">
        <v>3.0</v>
      </c>
      <c r="B634" s="2" t="s">
        <v>1844</v>
      </c>
      <c r="C634" s="2" t="s">
        <v>1845</v>
      </c>
      <c r="D634" s="2" t="s">
        <v>48</v>
      </c>
      <c r="E634" s="2" t="s">
        <v>14</v>
      </c>
      <c r="F634" s="2" t="s">
        <v>15</v>
      </c>
      <c r="G634" s="2" t="s">
        <v>755</v>
      </c>
      <c r="H634" s="2" t="s">
        <v>29</v>
      </c>
      <c r="I634" s="3" t="str">
        <f>IFERROR(__xludf.DUMMYFUNCTION("GOOGLETRANSLATE(C634,""fr"",""en"")"),"The price suits me, the guarantees offered satisfactory.
A call to confirm the contract will be great. On the other hand, the opinion at one hundred and fifty minimum characteristics a little heavy in my opinion")</f>
        <v>The price suits me, the guarantees offered satisfactory.
A call to confirm the contract will be great. On the other hand, the opinion at one hundred and fifty minimum characteristics a little heavy in my opinion</v>
      </c>
    </row>
    <row r="635" ht="15.75" customHeight="1">
      <c r="A635" s="2">
        <v>2.0</v>
      </c>
      <c r="B635" s="2" t="s">
        <v>1846</v>
      </c>
      <c r="C635" s="2" t="s">
        <v>1847</v>
      </c>
      <c r="D635" s="2" t="s">
        <v>372</v>
      </c>
      <c r="E635" s="2" t="s">
        <v>127</v>
      </c>
      <c r="F635" s="2" t="s">
        <v>15</v>
      </c>
      <c r="G635" s="2" t="s">
        <v>780</v>
      </c>
      <c r="H635" s="2" t="s">
        <v>324</v>
      </c>
      <c r="I635" s="3" t="str">
        <f>IFERROR(__xludf.DUMMYFUNCTION("GOOGLETRANSLATE(C635,""fr"",""en"")"),"Low prices yes but")</f>
        <v>Low prices yes but</v>
      </c>
    </row>
    <row r="636" ht="15.75" customHeight="1">
      <c r="A636" s="2">
        <v>3.0</v>
      </c>
      <c r="B636" s="2" t="s">
        <v>1848</v>
      </c>
      <c r="C636" s="2" t="s">
        <v>1849</v>
      </c>
      <c r="D636" s="2" t="s">
        <v>102</v>
      </c>
      <c r="E636" s="2" t="s">
        <v>285</v>
      </c>
      <c r="F636" s="2" t="s">
        <v>15</v>
      </c>
      <c r="G636" s="2" t="s">
        <v>1850</v>
      </c>
      <c r="H636" s="2" t="s">
        <v>17</v>
      </c>
      <c r="I636" s="3" t="str">
        <f>IFERROR(__xludf.DUMMYFUNCTION("GOOGLETRANSLATE(C636,""fr"",""en"")"),"Stunned !!! Following a climate event in August, I receive a maaf letter yesterday on the 8th ejecting my home insurance tempo full formula for ""too many claims"".
I have my 2 cars insured at home for more than 30 years bonus for life, never had claim"&amp;"s, 1 pension planning family guaranteed 3 and for having had a disaster break of ice in June 2021 and a water damage in September 2020, that's The only damage listed to date, and where I am now !!
I was very well advised for its various guarantees, why"&amp;" subscribe to them if behind the potential risk is to be ejected?!
Otherwise paradoxically, very good listening during these claims declarations, prompt and effective responses, nothing to blame them for reimbursements")</f>
        <v>Stunned !!! Following a climate event in August, I receive a maaf letter yesterday on the 8th ejecting my home insurance tempo full formula for "too many claims".
I have my 2 cars insured at home for more than 30 years bonus for life, never had claims, 1 pension planning family guaranteed 3 and for having had a disaster break of ice in June 2021 and a water damage in September 2020, that's The only damage listed to date, and where I am now !!
I was very well advised for its various guarantees, why subscribe to them if behind the potential risk is to be ejected?!
Otherwise paradoxically, very good listening during these claims declarations, prompt and effective responses, nothing to blame them for reimbursements</v>
      </c>
    </row>
    <row r="637" ht="15.75" customHeight="1">
      <c r="A637" s="2">
        <v>5.0</v>
      </c>
      <c r="B637" s="2" t="s">
        <v>1851</v>
      </c>
      <c r="C637" s="2" t="s">
        <v>1852</v>
      </c>
      <c r="D637" s="2" t="s">
        <v>48</v>
      </c>
      <c r="E637" s="2" t="s">
        <v>14</v>
      </c>
      <c r="F637" s="2" t="s">
        <v>15</v>
      </c>
      <c r="G637" s="2" t="s">
        <v>1104</v>
      </c>
      <c r="H637" s="2" t="s">
        <v>468</v>
      </c>
      <c r="I637" s="3" t="str">
        <f>IFERROR(__xludf.DUMMYFUNCTION("GOOGLETRANSLATE(C637,""fr"",""en"")"),"I am satisfied with the service The price is also good so why not subscribe to life insurance the prices of the quote I am really happy thank you for your professionalism")</f>
        <v>I am satisfied with the service The price is also good so why not subscribe to life insurance the prices of the quote I am really happy thank you for your professionalism</v>
      </c>
    </row>
    <row r="638" ht="15.75" customHeight="1">
      <c r="A638" s="2">
        <v>3.0</v>
      </c>
      <c r="B638" s="2" t="s">
        <v>1853</v>
      </c>
      <c r="C638" s="2" t="s">
        <v>1854</v>
      </c>
      <c r="D638" s="2" t="s">
        <v>48</v>
      </c>
      <c r="E638" s="2" t="s">
        <v>14</v>
      </c>
      <c r="F638" s="2" t="s">
        <v>15</v>
      </c>
      <c r="G638" s="2" t="s">
        <v>1855</v>
      </c>
      <c r="H638" s="2" t="s">
        <v>468</v>
      </c>
      <c r="I638" s="3" t="str">
        <f>IFERROR(__xludf.DUMMYFUNCTION("GOOGLETRANSLATE(C638,""fr"",""en"")"),"Practical and practice ...
Online insurance with an application, practical as well as interesting promo codes
Would it be possible to drop again the price of my insurance")</f>
        <v>Practical and practice ...
Online insurance with an application, practical as well as interesting promo codes
Would it be possible to drop again the price of my insurance</v>
      </c>
    </row>
    <row r="639" ht="15.75" customHeight="1">
      <c r="A639" s="2">
        <v>5.0</v>
      </c>
      <c r="B639" s="2" t="s">
        <v>1856</v>
      </c>
      <c r="C639" s="2" t="s">
        <v>1857</v>
      </c>
      <c r="D639" s="2" t="s">
        <v>13</v>
      </c>
      <c r="E639" s="2" t="s">
        <v>14</v>
      </c>
      <c r="F639" s="2" t="s">
        <v>15</v>
      </c>
      <c r="G639" s="2" t="s">
        <v>1659</v>
      </c>
      <c r="H639" s="2" t="s">
        <v>21</v>
      </c>
      <c r="I639" s="3" t="str">
        <f>IFERROR(__xludf.DUMMYFUNCTION("GOOGLETRANSLATE(C639,""fr"",""en"")"),"Very good fast and clear service. Immediate telephone response, very correct rates, clear and efficient website. Nothing to add first contract recorded and treated quickly, kindness of the interlocutor, sees the service in the event of a claim now.")</f>
        <v>Very good fast and clear service. Immediate telephone response, very correct rates, clear and efficient website. Nothing to add first contract recorded and treated quickly, kindness of the interlocutor, sees the service in the event of a claim now.</v>
      </c>
    </row>
    <row r="640" ht="15.75" customHeight="1">
      <c r="A640" s="2">
        <v>4.0</v>
      </c>
      <c r="B640" s="2" t="s">
        <v>1858</v>
      </c>
      <c r="C640" s="2" t="s">
        <v>1859</v>
      </c>
      <c r="D640" s="2" t="s">
        <v>126</v>
      </c>
      <c r="E640" s="2" t="s">
        <v>127</v>
      </c>
      <c r="F640" s="2" t="s">
        <v>15</v>
      </c>
      <c r="G640" s="2" t="s">
        <v>1241</v>
      </c>
      <c r="H640" s="2" t="s">
        <v>50</v>
      </c>
      <c r="I640" s="3" t="str">
        <f>IFERROR(__xludf.DUMMYFUNCTION("GOOGLETRANSLATE(C640,""fr"",""en"")"),"I find the price a little expensive but you are the cheapest therefore. Now I hope to be satisfied with your insurance.
Easy to use for subscription of a contract.")</f>
        <v>I find the price a little expensive but you are the cheapest therefore. Now I hope to be satisfied with your insurance.
Easy to use for subscription of a contract.</v>
      </c>
    </row>
    <row r="641" ht="15.75" customHeight="1">
      <c r="A641" s="2">
        <v>1.0</v>
      </c>
      <c r="B641" s="2" t="s">
        <v>1860</v>
      </c>
      <c r="C641" s="2" t="s">
        <v>1861</v>
      </c>
      <c r="D641" s="2" t="s">
        <v>58</v>
      </c>
      <c r="E641" s="2" t="s">
        <v>44</v>
      </c>
      <c r="F641" s="2" t="s">
        <v>15</v>
      </c>
      <c r="G641" s="2" t="s">
        <v>534</v>
      </c>
      <c r="H641" s="2" t="s">
        <v>535</v>
      </c>
      <c r="I641" s="3" t="str">
        <f>IFERROR(__xludf.DUMMYFUNCTION("GOOGLETRANSLATE(C641,""fr"",""en"")"),"I am looking for lice in my head, I have terminated the rules by LRAR and they refuse my digital signature, 44 days after I always wait for my certificate of radiation as well as the withdrawal of the remote transmission to the SS, suddenly J 'Wait to dep"&amp;"osit my wife's orders, it is an abusive retention that jeopardizes people's health: flee !!!")</f>
        <v>I am looking for lice in my head, I have terminated the rules by LRAR and they refuse my digital signature, 44 days after I always wait for my certificate of radiation as well as the withdrawal of the remote transmission to the SS, suddenly J 'Wait to deposit my wife's orders, it is an abusive retention that jeopardizes people's health: flee !!!</v>
      </c>
    </row>
    <row r="642" ht="15.75" customHeight="1">
      <c r="A642" s="2">
        <v>3.0</v>
      </c>
      <c r="B642" s="2" t="s">
        <v>1862</v>
      </c>
      <c r="C642" s="2" t="s">
        <v>1863</v>
      </c>
      <c r="D642" s="2" t="s">
        <v>48</v>
      </c>
      <c r="E642" s="2" t="s">
        <v>14</v>
      </c>
      <c r="F642" s="2" t="s">
        <v>15</v>
      </c>
      <c r="G642" s="2" t="s">
        <v>1864</v>
      </c>
      <c r="H642" s="2" t="s">
        <v>468</v>
      </c>
      <c r="I642" s="3" t="str">
        <f>IFERROR(__xludf.DUMMYFUNCTION("GOOGLETRANSLATE(C642,""fr"",""en"")"),"Satisfied with the site, to see now with the quote.
I'm waiting to check everything but it looks pretty good.
If it is good, like I am subscribing")</f>
        <v>Satisfied with the site, to see now with the quote.
I'm waiting to check everything but it looks pretty good.
If it is good, like I am subscribing</v>
      </c>
    </row>
    <row r="643" ht="15.75" customHeight="1">
      <c r="A643" s="2">
        <v>4.0</v>
      </c>
      <c r="B643" s="2" t="s">
        <v>1865</v>
      </c>
      <c r="C643" s="2" t="s">
        <v>1866</v>
      </c>
      <c r="D643" s="2" t="s">
        <v>126</v>
      </c>
      <c r="E643" s="2" t="s">
        <v>127</v>
      </c>
      <c r="F643" s="2" t="s">
        <v>15</v>
      </c>
      <c r="G643" s="2" t="s">
        <v>1867</v>
      </c>
      <c r="H643" s="2" t="s">
        <v>99</v>
      </c>
      <c r="I643" s="3" t="str">
        <f>IFERROR(__xludf.DUMMYFUNCTION("GOOGLETRANSLATE(C643,""fr"",""en"")"),"Would have liked to be able to join you on the phone
The price suits me
And it would be good for me to be contacted because I have another insurance contract with you boat insurance")</f>
        <v>Would have liked to be able to join you on the phone
The price suits me
And it would be good for me to be contacted because I have another insurance contract with you boat insurance</v>
      </c>
    </row>
    <row r="644" ht="15.75" customHeight="1">
      <c r="A644" s="2">
        <v>1.0</v>
      </c>
      <c r="B644" s="2" t="s">
        <v>1868</v>
      </c>
      <c r="C644" s="2" t="s">
        <v>1869</v>
      </c>
      <c r="D644" s="2" t="s">
        <v>48</v>
      </c>
      <c r="E644" s="2" t="s">
        <v>14</v>
      </c>
      <c r="F644" s="2" t="s">
        <v>15</v>
      </c>
      <c r="G644" s="2" t="s">
        <v>1870</v>
      </c>
      <c r="H644" s="2" t="s">
        <v>118</v>
      </c>
      <c r="I644" s="3" t="str">
        <f>IFERROR(__xludf.DUMMYFUNCTION("GOOGLETRANSLATE(C644,""fr"",""en"")"),"This insurance and zero company, people responding to incompetent phones.")</f>
        <v>This insurance and zero company, people responding to incompetent phones.</v>
      </c>
    </row>
    <row r="645" ht="15.75" customHeight="1">
      <c r="A645" s="2">
        <v>5.0</v>
      </c>
      <c r="B645" s="2" t="s">
        <v>1871</v>
      </c>
      <c r="C645" s="2" t="s">
        <v>1872</v>
      </c>
      <c r="D645" s="2" t="s">
        <v>48</v>
      </c>
      <c r="E645" s="2" t="s">
        <v>14</v>
      </c>
      <c r="F645" s="2" t="s">
        <v>15</v>
      </c>
      <c r="G645" s="2" t="s">
        <v>1873</v>
      </c>
      <c r="H645" s="2" t="s">
        <v>50</v>
      </c>
      <c r="I645" s="3" t="str">
        <f>IFERROR(__xludf.DUMMYFUNCTION("GOOGLETRANSLATE(C645,""fr"",""en"")"),"I am very satisfied, the site is fluid and fast. The subscription is quick, easy to handle. Everything is well explained and detailing …… ..")</f>
        <v>I am very satisfied, the site is fluid and fast. The subscription is quick, easy to handle. Everything is well explained and detailing …… ..</v>
      </c>
    </row>
    <row r="646" ht="15.75" customHeight="1">
      <c r="A646" s="2">
        <v>1.0</v>
      </c>
      <c r="B646" s="2" t="s">
        <v>1874</v>
      </c>
      <c r="C646" s="2" t="s">
        <v>1875</v>
      </c>
      <c r="D646" s="2" t="s">
        <v>155</v>
      </c>
      <c r="E646" s="2" t="s">
        <v>14</v>
      </c>
      <c r="F646" s="2" t="s">
        <v>15</v>
      </c>
      <c r="G646" s="2" t="s">
        <v>1876</v>
      </c>
      <c r="H646" s="2" t="s">
        <v>392</v>
      </c>
      <c r="I646" s="3" t="str">
        <f>IFERROR(__xludf.DUMMYFUNCTION("GOOGLETRANSLATE(C646,""fr"",""en"")"),"Insurance to flee !!!
Car accident since 1/09/2018, to date the insurance refuses the refund, no response to all my requests a silence, manager of the bad time file that never responds to the email or mail.
Scandal .")</f>
        <v>Insurance to flee !!!
Car accident since 1/09/2018, to date the insurance refuses the refund, no response to all my requests a silence, manager of the bad time file that never responds to the email or mail.
Scandal .</v>
      </c>
    </row>
    <row r="647" ht="15.75" customHeight="1">
      <c r="A647" s="2">
        <v>2.0</v>
      </c>
      <c r="B647" s="2" t="s">
        <v>1877</v>
      </c>
      <c r="C647" s="2" t="s">
        <v>1878</v>
      </c>
      <c r="D647" s="2" t="s">
        <v>53</v>
      </c>
      <c r="E647" s="2" t="s">
        <v>44</v>
      </c>
      <c r="F647" s="2" t="s">
        <v>15</v>
      </c>
      <c r="G647" s="2" t="s">
        <v>908</v>
      </c>
      <c r="H647" s="2" t="s">
        <v>169</v>
      </c>
      <c r="I647" s="3" t="str">
        <f>IFERROR(__xludf.DUMMYFUNCTION("GOOGLETRANSLATE(C647,""fr"",""en"")"),"On the date of 28/02/22017, I signed a mutual healthy initial+ at Neoliane Santè, my monthly subscription in January 2018, was 102.64 euros, I just received an email from them, telling me following a Modification of my contract on my part, my subscription"&amp;" will be 120.95 euros, modification not requested. And I still have not received my paid third party card, to 2018. The attach to the phone is impossible.I start to believe that I made myself bermented. And I regret having signed.")</f>
        <v>On the date of 28/02/22017, I signed a mutual healthy initial+ at Neoliane Santè, my monthly subscription in January 2018, was 102.64 euros, I just received an email from them, telling me following a Modification of my contract on my part, my subscription will be 120.95 euros, modification not requested. And I still have not received my paid third party card, to 2018. The attach to the phone is impossible.I start to believe that I made myself bermented. And I regret having signed.</v>
      </c>
    </row>
    <row r="648" ht="15.75" customHeight="1">
      <c r="A648" s="2">
        <v>1.0</v>
      </c>
      <c r="B648" s="2" t="s">
        <v>1879</v>
      </c>
      <c r="C648" s="2" t="s">
        <v>1880</v>
      </c>
      <c r="D648" s="2" t="s">
        <v>176</v>
      </c>
      <c r="E648" s="2" t="s">
        <v>14</v>
      </c>
      <c r="F648" s="2" t="s">
        <v>15</v>
      </c>
      <c r="G648" s="2" t="s">
        <v>225</v>
      </c>
      <c r="H648" s="2" t="s">
        <v>29</v>
      </c>
      <c r="I648" s="3" t="str">
        <f>IFERROR(__xludf.DUMMYFUNCTION("GOOGLETRANSLATE(C648,""fr"",""en"")"),"My broken down car.
Impossible to have assistance.
It's absolutely zero
I have to go back to my problem being solved.
...................")</f>
        <v>My broken down car.
Impossible to have assistance.
It's absolutely zero
I have to go back to my problem being solved.
...................</v>
      </c>
    </row>
    <row r="649" ht="15.75" customHeight="1">
      <c r="A649" s="2">
        <v>4.0</v>
      </c>
      <c r="B649" s="2" t="s">
        <v>1881</v>
      </c>
      <c r="C649" s="2" t="s">
        <v>1882</v>
      </c>
      <c r="D649" s="2" t="s">
        <v>126</v>
      </c>
      <c r="E649" s="2" t="s">
        <v>127</v>
      </c>
      <c r="F649" s="2" t="s">
        <v>15</v>
      </c>
      <c r="G649" s="2" t="s">
        <v>1883</v>
      </c>
      <c r="H649" s="2" t="s">
        <v>17</v>
      </c>
      <c r="I649" s="3" t="str">
        <f>IFERROR(__xludf.DUMMYFUNCTION("GOOGLETRANSLATE(C649,""fr"",""en"")"),"Easy site of understanding and use, quick consultation with different explicit tariffs Correct rate, immediate online subscription.")</f>
        <v>Easy site of understanding and use, quick consultation with different explicit tariffs Correct rate, immediate online subscription.</v>
      </c>
    </row>
    <row r="650" ht="15.75" customHeight="1">
      <c r="A650" s="2">
        <v>3.0</v>
      </c>
      <c r="B650" s="2" t="s">
        <v>1884</v>
      </c>
      <c r="C650" s="2" t="s">
        <v>1885</v>
      </c>
      <c r="D650" s="2" t="s">
        <v>48</v>
      </c>
      <c r="E650" s="2" t="s">
        <v>14</v>
      </c>
      <c r="F650" s="2" t="s">
        <v>15</v>
      </c>
      <c r="G650" s="2" t="s">
        <v>1343</v>
      </c>
      <c r="H650" s="2" t="s">
        <v>21</v>
      </c>
      <c r="I650" s="3" t="str">
        <f>IFERROR(__xludf.DUMMYFUNCTION("GOOGLETRANSLATE(C650,""fr"",""en"")"),"A little expensive, I don't use a lot of the vehicle so not many kilometers,
This is why I find the price dear
A little expensive, I don't use a lot of the vehicle so not many kilometers,
This is why I find the price dear")</f>
        <v>A little expensive, I don't use a lot of the vehicle so not many kilometers,
This is why I find the price dear
A little expensive, I don't use a lot of the vehicle so not many kilometers,
This is why I find the price dear</v>
      </c>
    </row>
    <row r="651" ht="15.75" customHeight="1">
      <c r="A651" s="2">
        <v>4.0</v>
      </c>
      <c r="B651" s="2" t="s">
        <v>1886</v>
      </c>
      <c r="C651" s="2" t="s">
        <v>1887</v>
      </c>
      <c r="D651" s="2" t="s">
        <v>53</v>
      </c>
      <c r="E651" s="2" t="s">
        <v>44</v>
      </c>
      <c r="F651" s="2" t="s">
        <v>15</v>
      </c>
      <c r="G651" s="2" t="s">
        <v>1888</v>
      </c>
      <c r="H651" s="2" t="s">
        <v>231</v>
      </c>
      <c r="I651" s="3" t="str">
        <f>IFERROR(__xludf.DUMMYFUNCTION("GOOGLETRANSLATE(C651,""fr"",""en"")"),"Following a dispute with an ill -intentioned broker, I entered into contact with a woman (Houria) who, she was able to help me in my approach to termination, very friendly and kind she accompany me in the process to follow, in this Notice I do not note th"&amp;"e insurance or this damn broker, but Houria which deserves a rapid evolution because it takes the time for these interlocutors. So I put 5 stars for her just for her.")</f>
        <v>Following a dispute with an ill -intentioned broker, I entered into contact with a woman (Houria) who, she was able to help me in my approach to termination, very friendly and kind she accompany me in the process to follow, in this Notice I do not note the insurance or this damn broker, but Houria which deserves a rapid evolution because it takes the time for these interlocutors. So I put 5 stars for her just for her.</v>
      </c>
    </row>
    <row r="652" ht="15.75" customHeight="1">
      <c r="A652" s="2">
        <v>1.0</v>
      </c>
      <c r="B652" s="2" t="s">
        <v>1889</v>
      </c>
      <c r="C652" s="2" t="s">
        <v>1890</v>
      </c>
      <c r="D652" s="2" t="s">
        <v>116</v>
      </c>
      <c r="E652" s="2" t="s">
        <v>14</v>
      </c>
      <c r="F652" s="2" t="s">
        <v>15</v>
      </c>
      <c r="G652" s="2" t="s">
        <v>1891</v>
      </c>
      <c r="H652" s="2" t="s">
        <v>924</v>
      </c>
      <c r="I652" s="3" t="str">
        <f>IFERROR(__xludf.DUMMYFUNCTION("GOOGLETRANSLATE(C652,""fr"",""en"")"),"Simply theft, documents sent before the deadline for one month but never received my green card ... Contract canceled because my insurance proof did not go back to 2014 but took into account my last vehicle, moreover they had photocopy From my gray card b"&amp;"ut had stored it in the wrong file and we found during the conversation ... which proves the lack of professionalism of this ""company"" no possible and more serious arrangement they resigned the contract without even me Notify I therefore led 10 days wit"&amp;"hout insurance and without having been warned.
On the other hand to cash the money and keep it that poses no problems, how can such insurance have the right to exercise it is absurd.
I never had to contact this company and I bite my fingers.")</f>
        <v>Simply theft, documents sent before the deadline for one month but never received my green card ... Contract canceled because my insurance proof did not go back to 2014 but took into account my last vehicle, moreover they had photocopy From my gray card but had stored it in the wrong file and we found during the conversation ... which proves the lack of professionalism of this "company" no possible and more serious arrangement they resigned the contract without even me Notify I therefore led 10 days without insurance and without having been warned.
On the other hand to cash the money and keep it that poses no problems, how can such insurance have the right to exercise it is absurd.
I never had to contact this company and I bite my fingers.</v>
      </c>
    </row>
    <row r="653" ht="15.75" customHeight="1">
      <c r="A653" s="2">
        <v>3.0</v>
      </c>
      <c r="B653" s="2" t="s">
        <v>1892</v>
      </c>
      <c r="C653" s="2" t="s">
        <v>1893</v>
      </c>
      <c r="D653" s="2" t="s">
        <v>126</v>
      </c>
      <c r="E653" s="2" t="s">
        <v>127</v>
      </c>
      <c r="F653" s="2" t="s">
        <v>15</v>
      </c>
      <c r="G653" s="2" t="s">
        <v>1894</v>
      </c>
      <c r="H653" s="2" t="s">
        <v>29</v>
      </c>
      <c r="I653" s="3" t="str">
        <f>IFERROR(__xludf.DUMMYFUNCTION("GOOGLETRANSLATE(C653,""fr"",""en"")"),"Relatively expensive price but it seems that the services and the options are there.
When you go through Lelynx the prices are not the same (more advantageous) however the information has returned correctly on this comparison.")</f>
        <v>Relatively expensive price but it seems that the services and the options are there.
When you go through Lelynx the prices are not the same (more advantageous) however the information has returned correctly on this comparison.</v>
      </c>
    </row>
    <row r="654" ht="15.75" customHeight="1">
      <c r="A654" s="2">
        <v>5.0</v>
      </c>
      <c r="B654" s="2" t="s">
        <v>1895</v>
      </c>
      <c r="C654" s="2" t="s">
        <v>1896</v>
      </c>
      <c r="D654" s="2" t="s">
        <v>48</v>
      </c>
      <c r="E654" s="2" t="s">
        <v>14</v>
      </c>
      <c r="F654" s="2" t="s">
        <v>15</v>
      </c>
      <c r="G654" s="2" t="s">
        <v>1897</v>
      </c>
      <c r="H654" s="2" t="s">
        <v>468</v>
      </c>
      <c r="I654" s="3" t="str">
        <f>IFERROR(__xludf.DUMMYFUNCTION("GOOGLETRANSLATE(C654,""fr"",""en"")"),"I am satisfied with the prices offered
I will subscribe to mid July
I am already a client home home and school insurance
Price challenges all competition")</f>
        <v>I am satisfied with the prices offered
I will subscribe to mid July
I am already a client home home and school insurance
Price challenges all competition</v>
      </c>
    </row>
    <row r="655" ht="15.75" customHeight="1">
      <c r="A655" s="2">
        <v>1.0</v>
      </c>
      <c r="B655" s="2" t="s">
        <v>1898</v>
      </c>
      <c r="C655" s="2" t="s">
        <v>1899</v>
      </c>
      <c r="D655" s="2" t="s">
        <v>1900</v>
      </c>
      <c r="E655" s="2" t="s">
        <v>127</v>
      </c>
      <c r="F655" s="2" t="s">
        <v>15</v>
      </c>
      <c r="G655" s="2" t="s">
        <v>1901</v>
      </c>
      <c r="H655" s="2" t="s">
        <v>477</v>
      </c>
      <c r="I655" s="3" t="str">
        <f>IFERROR(__xludf.DUMMYFUNCTION("GOOGLETRANSLATE(C655,""fr"",""en"")"),"To be fleeing absolutely, their insurance all risks is not one, flight suffered on my new scooter not guaranteed !!! They waste people with people, in short, I can't wait to terminate!")</f>
        <v>To be fleeing absolutely, their insurance all risks is not one, flight suffered on my new scooter not guaranteed !!! They waste people with people, in short, I can't wait to terminate!</v>
      </c>
    </row>
    <row r="656" ht="15.75" customHeight="1">
      <c r="A656" s="2">
        <v>3.0</v>
      </c>
      <c r="B656" s="2" t="s">
        <v>1902</v>
      </c>
      <c r="C656" s="2" t="s">
        <v>1903</v>
      </c>
      <c r="D656" s="2" t="s">
        <v>28</v>
      </c>
      <c r="E656" s="2" t="s">
        <v>14</v>
      </c>
      <c r="F656" s="2" t="s">
        <v>15</v>
      </c>
      <c r="G656" s="2" t="s">
        <v>1268</v>
      </c>
      <c r="H656" s="2" t="s">
        <v>50</v>
      </c>
      <c r="I656" s="3" t="str">
        <f>IFERROR(__xludf.DUMMYFUNCTION("GOOGLETRANSLATE(C656,""fr"",""en"")"),"I would like to be able to revise all the contributions of my multiple contracts downwards and more easily meet my advisor, or by phone")</f>
        <v>I would like to be able to revise all the contributions of my multiple contracts downwards and more easily meet my advisor, or by phone</v>
      </c>
    </row>
    <row r="657" ht="15.75" customHeight="1">
      <c r="A657" s="2">
        <v>5.0</v>
      </c>
      <c r="B657" s="2" t="s">
        <v>1904</v>
      </c>
      <c r="C657" s="2" t="s">
        <v>1905</v>
      </c>
      <c r="D657" s="2" t="s">
        <v>48</v>
      </c>
      <c r="E657" s="2" t="s">
        <v>14</v>
      </c>
      <c r="F657" s="2" t="s">
        <v>15</v>
      </c>
      <c r="G657" s="2" t="s">
        <v>978</v>
      </c>
      <c r="H657" s="2" t="s">
        <v>50</v>
      </c>
      <c r="I657" s="3" t="str">
        <f>IFERROR(__xludf.DUMMYFUNCTION("GOOGLETRANSLATE(C657,""fr"",""en"")"),"Satisfied with the price and automatic registration of the partner.
Flexibility of interesting offers as needed.
Quick subscription.
Choice of payment missing no quarter.")</f>
        <v>Satisfied with the price and automatic registration of the partner.
Flexibility of interesting offers as needed.
Quick subscription.
Choice of payment missing no quarter.</v>
      </c>
    </row>
    <row r="658" ht="15.75" customHeight="1">
      <c r="A658" s="2">
        <v>4.0</v>
      </c>
      <c r="B658" s="2" t="s">
        <v>1906</v>
      </c>
      <c r="C658" s="2" t="s">
        <v>1907</v>
      </c>
      <c r="D658" s="2" t="s">
        <v>13</v>
      </c>
      <c r="E658" s="2" t="s">
        <v>14</v>
      </c>
      <c r="F658" s="2" t="s">
        <v>15</v>
      </c>
      <c r="G658" s="2" t="s">
        <v>752</v>
      </c>
      <c r="H658" s="2" t="s">
        <v>17</v>
      </c>
      <c r="I658" s="3" t="str">
        <f>IFERROR(__xludf.DUMMYFUNCTION("GOOGLETRANSLATE(C658,""fr"",""en"")"),"Price ok. No experience so no really opinion
Price ok. No experience so no really opinion
Price ok. No experience so no really opinion")</f>
        <v>Price ok. No experience so no really opinion
Price ok. No experience so no really opinion
Price ok. No experience so no really opinion</v>
      </c>
    </row>
    <row r="659" ht="15.75" customHeight="1">
      <c r="A659" s="2">
        <v>4.0</v>
      </c>
      <c r="B659" s="2" t="s">
        <v>1908</v>
      </c>
      <c r="C659" s="2" t="s">
        <v>1909</v>
      </c>
      <c r="D659" s="2" t="s">
        <v>48</v>
      </c>
      <c r="E659" s="2" t="s">
        <v>14</v>
      </c>
      <c r="F659" s="2" t="s">
        <v>15</v>
      </c>
      <c r="G659" s="2" t="s">
        <v>1910</v>
      </c>
      <c r="H659" s="2" t="s">
        <v>29</v>
      </c>
      <c r="I659" s="3" t="str">
        <f>IFERROR(__xludf.DUMMYFUNCTION("GOOGLETRANSLATE(C659,""fr"",""en"")"),"SATISFIED ! The site is easy to use, everything is quite intuitive, the subscription is fast and effective and concerning the prices, they remain reasonable.")</f>
        <v>SATISFIED ! The site is easy to use, everything is quite intuitive, the subscription is fast and effective and concerning the prices, they remain reasonable.</v>
      </c>
    </row>
    <row r="660" ht="15.75" customHeight="1">
      <c r="A660" s="2">
        <v>1.0</v>
      </c>
      <c r="B660" s="2" t="s">
        <v>1911</v>
      </c>
      <c r="C660" s="2" t="s">
        <v>1912</v>
      </c>
      <c r="D660" s="2" t="s">
        <v>48</v>
      </c>
      <c r="E660" s="2" t="s">
        <v>14</v>
      </c>
      <c r="F660" s="2" t="s">
        <v>15</v>
      </c>
      <c r="G660" s="2" t="s">
        <v>1913</v>
      </c>
      <c r="H660" s="2" t="s">
        <v>612</v>
      </c>
      <c r="I660" s="3" t="str">
        <f>IFERROR(__xludf.DUMMYFUNCTION("GOOGLETRANSLATE(C660,""fr"",""en"")"),"Insurance to flee. Abusive increase despite the bonus. I was at 564 EUR per year and I go to 599 this year. I go to competition and leave them with their lie. Despite the explanations of customer service, I find that the increase is not justified")</f>
        <v>Insurance to flee. Abusive increase despite the bonus. I was at 564 EUR per year and I go to 599 this year. I go to competition and leave them with their lie. Despite the explanations of customer service, I find that the increase is not justified</v>
      </c>
    </row>
    <row r="661" ht="15.75" customHeight="1">
      <c r="A661" s="2">
        <v>4.0</v>
      </c>
      <c r="B661" s="2" t="s">
        <v>1914</v>
      </c>
      <c r="C661" s="2" t="s">
        <v>1915</v>
      </c>
      <c r="D661" s="2" t="s">
        <v>28</v>
      </c>
      <c r="E661" s="2" t="s">
        <v>14</v>
      </c>
      <c r="F661" s="2" t="s">
        <v>15</v>
      </c>
      <c r="G661" s="2" t="s">
        <v>1477</v>
      </c>
      <c r="H661" s="2" t="s">
        <v>89</v>
      </c>
      <c r="I661" s="3" t="str">
        <f>IFERROR(__xludf.DUMMYFUNCTION("GOOGLETRANSLATE(C661,""fr"",""en"")"),"Satisfied with the services mmaid I will make it up on all of my contracts and see what is even more interesting
The advisers are always very friendly")</f>
        <v>Satisfied with the services mmaid I will make it up on all of my contracts and see what is even more interesting
The advisers are always very friendly</v>
      </c>
    </row>
    <row r="662" ht="15.75" customHeight="1">
      <c r="A662" s="2">
        <v>4.0</v>
      </c>
      <c r="B662" s="2" t="s">
        <v>1916</v>
      </c>
      <c r="C662" s="2" t="s">
        <v>1917</v>
      </c>
      <c r="D662" s="2" t="s">
        <v>48</v>
      </c>
      <c r="E662" s="2" t="s">
        <v>14</v>
      </c>
      <c r="F662" s="2" t="s">
        <v>15</v>
      </c>
      <c r="G662" s="2" t="s">
        <v>1918</v>
      </c>
      <c r="H662" s="2" t="s">
        <v>50</v>
      </c>
      <c r="I662" s="3" t="str">
        <f>IFERROR(__xludf.DUMMYFUNCTION("GOOGLETRANSLATE(C662,""fr"",""en"")"),"I am satisfied with the quality/price ratio. I opted for direct insurance as 1st car insurance. I am satisfied with it. Hoping that this continues")</f>
        <v>I am satisfied with the quality/price ratio. I opted for direct insurance as 1st car insurance. I am satisfied with it. Hoping that this continues</v>
      </c>
    </row>
    <row r="663" ht="15.75" customHeight="1">
      <c r="A663" s="2">
        <v>2.0</v>
      </c>
      <c r="B663" s="2" t="s">
        <v>1919</v>
      </c>
      <c r="C663" s="2" t="s">
        <v>1920</v>
      </c>
      <c r="D663" s="2" t="s">
        <v>155</v>
      </c>
      <c r="E663" s="2" t="s">
        <v>14</v>
      </c>
      <c r="F663" s="2" t="s">
        <v>15</v>
      </c>
      <c r="G663" s="2" t="s">
        <v>231</v>
      </c>
      <c r="H663" s="2" t="s">
        <v>231</v>
      </c>
      <c r="I663" s="3" t="str">
        <f>IFERROR(__xludf.DUMMYFUNCTION("GOOGLETRANSLATE(C663,""fr"",""en"")"),"Deplorable! Partial support for damage, extension deadlines, lack of communication, accomplice expertise, run away from Allianz! Other insurances are much more serious.")</f>
        <v>Deplorable! Partial support for damage, extension deadlines, lack of communication, accomplice expertise, run away from Allianz! Other insurances are much more serious.</v>
      </c>
    </row>
    <row r="664" ht="15.75" customHeight="1">
      <c r="A664" s="2">
        <v>5.0</v>
      </c>
      <c r="B664" s="2" t="s">
        <v>1921</v>
      </c>
      <c r="C664" s="2" t="s">
        <v>1922</v>
      </c>
      <c r="D664" s="2" t="s">
        <v>13</v>
      </c>
      <c r="E664" s="2" t="s">
        <v>14</v>
      </c>
      <c r="F664" s="2" t="s">
        <v>15</v>
      </c>
      <c r="G664" s="2" t="s">
        <v>1923</v>
      </c>
      <c r="H664" s="2" t="s">
        <v>50</v>
      </c>
      <c r="I664" s="3" t="str">
        <f>IFERROR(__xludf.DUMMYFUNCTION("GOOGLETRANSLATE(C664,""fr"",""en"")"),"The prices are competitive and the site is very intuitive
The service is fast and the insurance has good covers
To be continued for Housing Quote")</f>
        <v>The prices are competitive and the site is very intuitive
The service is fast and the insurance has good covers
To be continued for Housing Quote</v>
      </c>
    </row>
    <row r="665" ht="15.75" customHeight="1">
      <c r="A665" s="2">
        <v>3.0</v>
      </c>
      <c r="B665" s="2" t="s">
        <v>1924</v>
      </c>
      <c r="C665" s="2" t="s">
        <v>1925</v>
      </c>
      <c r="D665" s="2" t="s">
        <v>669</v>
      </c>
      <c r="E665" s="2" t="s">
        <v>44</v>
      </c>
      <c r="F665" s="2" t="s">
        <v>15</v>
      </c>
      <c r="G665" s="2" t="s">
        <v>1923</v>
      </c>
      <c r="H665" s="2" t="s">
        <v>50</v>
      </c>
      <c r="I665" s="3" t="str">
        <f>IFERROR(__xludf.DUMMYFUNCTION("GOOGLETRANSLATE(C665,""fr"",""en"")"),"Mutual employer therefore obigentory.
is not strictly useful to take our money and never refund anything ""correctly""
For 7 months that I have been with them, I have never paid so much dependent
Fortunately I go, but I do not recommend this group")</f>
        <v>Mutual employer therefore obigentory.
is not strictly useful to take our money and never refund anything "correctly"
For 7 months that I have been with them, I have never paid so much dependent
Fortunately I go, but I do not recommend this group</v>
      </c>
    </row>
    <row r="666" ht="15.75" customHeight="1">
      <c r="A666" s="2">
        <v>4.0</v>
      </c>
      <c r="B666" s="2" t="s">
        <v>1926</v>
      </c>
      <c r="C666" s="2" t="s">
        <v>1927</v>
      </c>
      <c r="D666" s="2" t="s">
        <v>13</v>
      </c>
      <c r="E666" s="2" t="s">
        <v>14</v>
      </c>
      <c r="F666" s="2" t="s">
        <v>15</v>
      </c>
      <c r="G666" s="2" t="s">
        <v>1910</v>
      </c>
      <c r="H666" s="2" t="s">
        <v>29</v>
      </c>
      <c r="I666" s="3" t="str">
        <f>IFERROR(__xludf.DUMMYFUNCTION("GOOGLETRANSLATE(C666,""fr"",""en"")"),"I am satisfied by the price with regard to the service I have still not had the opportunity to use it.")</f>
        <v>I am satisfied by the price with regard to the service I have still not had the opportunity to use it.</v>
      </c>
    </row>
    <row r="667" ht="15.75" customHeight="1">
      <c r="A667" s="2">
        <v>5.0</v>
      </c>
      <c r="B667" s="2" t="s">
        <v>1928</v>
      </c>
      <c r="C667" s="2" t="s">
        <v>1929</v>
      </c>
      <c r="D667" s="2" t="s">
        <v>13</v>
      </c>
      <c r="E667" s="2" t="s">
        <v>14</v>
      </c>
      <c r="F667" s="2" t="s">
        <v>15</v>
      </c>
      <c r="G667" s="2" t="s">
        <v>1930</v>
      </c>
      <c r="H667" s="2" t="s">
        <v>287</v>
      </c>
      <c r="I667" s="3" t="str">
        <f>IFERROR(__xludf.DUMMYFUNCTION("GOOGLETRANSLATE(C667,""fr"",""en"")"),"I insured myself at Lolivier for the value for money, of course the franchise, is a little more expensive but I found in this insurance a lot of satisfaction finally having had to change my windshield I leu phone and I had a counselor Already very pleasan"&amp;"t and courteous who offered me their partner garage but I refused having made my little mechanic available and with whom I am used to it did not make me a problem I had to advance the money and sent the invoice he M ""reimbursed very quickly here is good "&amp;"experience with this insurance for the moment")</f>
        <v>I insured myself at Lolivier for the value for money, of course the franchise, is a little more expensive but I found in this insurance a lot of satisfaction finally having had to change my windshield I leu phone and I had a counselor Already very pleasant and courteous who offered me their partner garage but I refused having made my little mechanic available and with whom I am used to it did not make me a problem I had to advance the money and sent the invoice he M "reimbursed very quickly here is good experience with this insurance for the moment</v>
      </c>
    </row>
    <row r="668" ht="15.75" customHeight="1">
      <c r="A668" s="2">
        <v>1.0</v>
      </c>
      <c r="B668" s="2" t="s">
        <v>1931</v>
      </c>
      <c r="C668" s="2" t="s">
        <v>1932</v>
      </c>
      <c r="D668" s="2" t="s">
        <v>102</v>
      </c>
      <c r="E668" s="2" t="s">
        <v>14</v>
      </c>
      <c r="F668" s="2" t="s">
        <v>15</v>
      </c>
      <c r="G668" s="2" t="s">
        <v>1933</v>
      </c>
      <c r="H668" s="2" t="s">
        <v>604</v>
      </c>
      <c r="I668" s="3" t="str">
        <f>IFERROR(__xludf.DUMMYFUNCTION("GOOGLETRANSLATE(C668,""fr"",""en"")"),"Flee the maaf !!! Insured for more than 30 years, noted as an excellent driver with a 50% life bonus on my 2 vehicles, what was not my stupor to receive a letter which terminated the contract of one of my vehicles for an excess of claims "" Non -responsib"&amp;"le ""over the last 5 years!")</f>
        <v>Flee the maaf !!! Insured for more than 30 years, noted as an excellent driver with a 50% life bonus on my 2 vehicles, what was not my stupor to receive a letter which terminated the contract of one of my vehicles for an excess of claims " Non -responsible "over the last 5 years!</v>
      </c>
    </row>
    <row r="669" ht="15.75" customHeight="1">
      <c r="A669" s="2">
        <v>4.0</v>
      </c>
      <c r="B669" s="2" t="s">
        <v>1934</v>
      </c>
      <c r="C669" s="2" t="s">
        <v>1935</v>
      </c>
      <c r="D669" s="2" t="s">
        <v>13</v>
      </c>
      <c r="E669" s="2" t="s">
        <v>14</v>
      </c>
      <c r="F669" s="2" t="s">
        <v>15</v>
      </c>
      <c r="G669" s="2" t="s">
        <v>1936</v>
      </c>
      <c r="H669" s="2" t="s">
        <v>21</v>
      </c>
      <c r="I669" s="3" t="str">
        <f>IFERROR(__xludf.DUMMYFUNCTION("GOOGLETRANSLATE(C669,""fr"",""en"")"),"Prices suit me
Service satisfied
Fast efficient pleasant professional concise
Fast efficient pleasant professional concise
Service satisfied")</f>
        <v>Prices suit me
Service satisfied
Fast efficient pleasant professional concise
Fast efficient pleasant professional concise
Service satisfied</v>
      </c>
    </row>
    <row r="670" ht="15.75" customHeight="1">
      <c r="A670" s="2">
        <v>1.0</v>
      </c>
      <c r="B670" s="2" t="s">
        <v>1937</v>
      </c>
      <c r="C670" s="2" t="s">
        <v>1938</v>
      </c>
      <c r="D670" s="2" t="s">
        <v>787</v>
      </c>
      <c r="E670" s="2" t="s">
        <v>44</v>
      </c>
      <c r="F670" s="2" t="s">
        <v>15</v>
      </c>
      <c r="G670" s="2" t="s">
        <v>1555</v>
      </c>
      <c r="H670" s="2" t="s">
        <v>99</v>
      </c>
      <c r="I670" s="3" t="str">
        <f>IFERROR(__xludf.DUMMYFUNCTION("GOOGLETRANSLATE(C670,""fr"",""en"")"),"The service has deteriorated strongly for a year. Unbearable deadlines for reimbursements (important optical invoice still not reimbursed after 6 weeks). Customer service very difficult to reach. No response to complaints. Promise to be recalled by an unf"&amp;"ortunate manager.
To flee")</f>
        <v>The service has deteriorated strongly for a year. Unbearable deadlines for reimbursements (important optical invoice still not reimbursed after 6 weeks). Customer service very difficult to reach. No response to complaints. Promise to be recalled by an unfortunate manager.
To flee</v>
      </c>
    </row>
    <row r="671" ht="15.75" customHeight="1">
      <c r="A671" s="2">
        <v>1.0</v>
      </c>
      <c r="B671" s="2" t="s">
        <v>1939</v>
      </c>
      <c r="C671" s="2" t="s">
        <v>1940</v>
      </c>
      <c r="D671" s="2" t="s">
        <v>97</v>
      </c>
      <c r="E671" s="2" t="s">
        <v>242</v>
      </c>
      <c r="F671" s="2" t="s">
        <v>15</v>
      </c>
      <c r="G671" s="2" t="s">
        <v>1941</v>
      </c>
      <c r="H671" s="2" t="s">
        <v>298</v>
      </c>
      <c r="I671" s="3" t="str">
        <f>IFERROR(__xludf.DUMMYFUNCTION("GOOGLETRANSLATE(C671,""fr"",""en"")"),"Operated on 01/15/19 and 1/08/209 The dossier is not treated.")</f>
        <v>Operated on 01/15/19 and 1/08/209 The dossier is not treated.</v>
      </c>
    </row>
    <row r="672" ht="15.75" customHeight="1">
      <c r="A672" s="2">
        <v>1.0</v>
      </c>
      <c r="B672" s="2" t="s">
        <v>1942</v>
      </c>
      <c r="C672" s="2" t="s">
        <v>1943</v>
      </c>
      <c r="D672" s="2" t="s">
        <v>390</v>
      </c>
      <c r="E672" s="2" t="s">
        <v>242</v>
      </c>
      <c r="F672" s="2" t="s">
        <v>15</v>
      </c>
      <c r="G672" s="2" t="s">
        <v>1944</v>
      </c>
      <c r="H672" s="2" t="s">
        <v>231</v>
      </c>
      <c r="I672" s="3" t="str">
        <f>IFERROR(__xludf.DUMMYFUNCTION("GOOGLETRANSLATE(C672,""fr"",""en"")"),"At the beginning of September, I send all the documents in Cardif concerning banking endorsements and the notarial deed for a modification of the quota (passage from 75 to 100%). The people of Cardif are unable to manage a file, to read the documents, do "&amp;"everything and anything (you send lots of documents that are not the right ones, send you wrong information ...). For almost 2 months, I could not be assured while my loan was underway (2015), and after multiple phone calls to try to make them understand "&amp;"that there are Cardif that Cardif does not know how to manage, I just had the certificate that is still wrong today because the durations do not ready that they have registered do not correspond in any way to what I have informed about the documents or on"&amp;" the bank endorsements. One advice, flee Cardif, that's what I'm going to do.")</f>
        <v>At the beginning of September, I send all the documents in Cardif concerning banking endorsements and the notarial deed for a modification of the quota (passage from 75 to 100%). The people of Cardif are unable to manage a file, to read the documents, do everything and anything (you send lots of documents that are not the right ones, send you wrong information ...). For almost 2 months, I could not be assured while my loan was underway (2015), and after multiple phone calls to try to make them understand that there are Cardif that Cardif does not know how to manage, I just had the certificate that is still wrong today because the durations do not ready that they have registered do not correspond in any way to what I have informed about the documents or on the bank endorsements. One advice, flee Cardif, that's what I'm going to do.</v>
      </c>
    </row>
    <row r="673" ht="15.75" customHeight="1">
      <c r="A673" s="2">
        <v>1.0</v>
      </c>
      <c r="B673" s="2" t="s">
        <v>1945</v>
      </c>
      <c r="C673" s="2" t="s">
        <v>1946</v>
      </c>
      <c r="D673" s="2" t="s">
        <v>13</v>
      </c>
      <c r="E673" s="2" t="s">
        <v>14</v>
      </c>
      <c r="F673" s="2" t="s">
        <v>15</v>
      </c>
      <c r="G673" s="2" t="s">
        <v>1093</v>
      </c>
      <c r="H673" s="2" t="s">
        <v>40</v>
      </c>
      <c r="I673" s="3" t="str">
        <f>IFERROR(__xludf.DUMMYFUNCTION("GOOGLETRANSLATE(C673,""fr"",""en"")"),"Victim of an accident by a driver who fell back without seeing me, with a 5 -year -old vehicle the Ollivier Assurance Auto was not of any help to the expert who minored the rating of the rating My vehicle pretended that they also held the user tires into "&amp;"account, and when I provide it with bills for changing parts in July 2017, so that it takes into account in the amount to reimburse me, it claims that the changed parts are normal wear and tear. Fortunately, I was not struck by a driver without insurance,"&amp;" or who would have fled, I do not know what support the Ollivier would have brought me. The only help they offer to me is to send a letter with A/R to their Qualite direction, it would be easier for them to follow all of my emails, but again no support fr"&amp;"om the Ollivier.")</f>
        <v>Victim of an accident by a driver who fell back without seeing me, with a 5 -year -old vehicle the Ollivier Assurance Auto was not of any help to the expert who minored the rating of the rating My vehicle pretended that they also held the user tires into account, and when I provide it with bills for changing parts in July 2017, so that it takes into account in the amount to reimburse me, it claims that the changed parts are normal wear and tear. Fortunately, I was not struck by a driver without insurance, or who would have fled, I do not know what support the Ollivier would have brought me. The only help they offer to me is to send a letter with A/R to their Qualite direction, it would be easier for them to follow all of my emails, but again no support from the Ollivier.</v>
      </c>
    </row>
    <row r="674" ht="15.75" customHeight="1">
      <c r="A674" s="2">
        <v>5.0</v>
      </c>
      <c r="B674" s="2" t="s">
        <v>1947</v>
      </c>
      <c r="C674" s="2" t="s">
        <v>1948</v>
      </c>
      <c r="D674" s="2" t="s">
        <v>28</v>
      </c>
      <c r="E674" s="2" t="s">
        <v>14</v>
      </c>
      <c r="F674" s="2" t="s">
        <v>15</v>
      </c>
      <c r="G674" s="2" t="s">
        <v>1667</v>
      </c>
      <c r="H674" s="2" t="s">
        <v>29</v>
      </c>
      <c r="I674" s="3" t="str">
        <f>IFERROR(__xludf.DUMMYFUNCTION("GOOGLETRANSLATE(C674,""fr"",""en"")"),"I am always satisfied with the GMF and for more than 20 years I have been with them. The advisers are always listening and always find a solution")</f>
        <v>I am always satisfied with the GMF and for more than 20 years I have been with them. The advisers are always listening and always find a solution</v>
      </c>
    </row>
    <row r="675" ht="15.75" customHeight="1">
      <c r="A675" s="2">
        <v>2.0</v>
      </c>
      <c r="B675" s="2" t="s">
        <v>1949</v>
      </c>
      <c r="C675" s="2" t="s">
        <v>1950</v>
      </c>
      <c r="D675" s="2" t="s">
        <v>48</v>
      </c>
      <c r="E675" s="2" t="s">
        <v>14</v>
      </c>
      <c r="F675" s="2" t="s">
        <v>15</v>
      </c>
      <c r="G675" s="2" t="s">
        <v>45</v>
      </c>
      <c r="H675" s="2" t="s">
        <v>25</v>
      </c>
      <c r="I675" s="3" t="str">
        <f>IFERROR(__xludf.DUMMYFUNCTION("GOOGLETRANSLATE(C675,""fr"",""en"")"),"When establishing a contract with Direct Insurance (and paying three months in advance), everything seems possible.
I had explained my situation with the advisor who seemed more in a hurry to cash the money
What to advise me well. Result of the races I "&amp;"paid more than 100 euros in the wind because my file is not admissible.
In short, a mediocre insurance company like any other. Be sure to have the necessary documents and ignore what you are told on the phone!")</f>
        <v>When establishing a contract with Direct Insurance (and paying three months in advance), everything seems possible.
I had explained my situation with the advisor who seemed more in a hurry to cash the money
What to advise me well. Result of the races I paid more than 100 euros in the wind because my file is not admissible.
In short, a mediocre insurance company like any other. Be sure to have the necessary documents and ignore what you are told on the phone!</v>
      </c>
    </row>
    <row r="676" ht="15.75" customHeight="1">
      <c r="A676" s="2">
        <v>3.0</v>
      </c>
      <c r="B676" s="2" t="s">
        <v>1951</v>
      </c>
      <c r="C676" s="2" t="s">
        <v>1952</v>
      </c>
      <c r="D676" s="2" t="s">
        <v>48</v>
      </c>
      <c r="E676" s="2" t="s">
        <v>14</v>
      </c>
      <c r="F676" s="2" t="s">
        <v>15</v>
      </c>
      <c r="G676" s="2" t="s">
        <v>1021</v>
      </c>
      <c r="H676" s="2" t="s">
        <v>89</v>
      </c>
      <c r="I676" s="3" t="str">
        <f>IFERROR(__xludf.DUMMYFUNCTION("GOOGLETRANSLATE(C676,""fr"",""en"")"),"I am satisfied with the service, the prices allow me to be able to ensure a car without ruining myself and the guarantees that I am given suit me perfectly")</f>
        <v>I am satisfied with the service, the prices allow me to be able to ensure a car without ruining myself and the guarantees that I am given suit me perfectly</v>
      </c>
    </row>
    <row r="677" ht="15.75" customHeight="1">
      <c r="A677" s="2">
        <v>3.0</v>
      </c>
      <c r="B677" s="2" t="s">
        <v>1953</v>
      </c>
      <c r="C677" s="2" t="s">
        <v>1954</v>
      </c>
      <c r="D677" s="2" t="s">
        <v>83</v>
      </c>
      <c r="E677" s="2" t="s">
        <v>14</v>
      </c>
      <c r="F677" s="2" t="s">
        <v>15</v>
      </c>
      <c r="G677" s="2" t="s">
        <v>203</v>
      </c>
      <c r="H677" s="2" t="s">
        <v>204</v>
      </c>
      <c r="I677" s="3" t="str">
        <f>IFERROR(__xludf.DUMMYFUNCTION("GOOGLETRANSLATE(C677,""fr"",""en"")"),"I do not recommend the Matmut, I have been waiting for a disaster for 3 months following vandalism, ask you for very intimate documents, you balance from service to flee!")</f>
        <v>I do not recommend the Matmut, I have been waiting for a disaster for 3 months following vandalism, ask you for very intimate documents, you balance from service to flee!</v>
      </c>
    </row>
    <row r="678" ht="15.75" customHeight="1">
      <c r="A678" s="2">
        <v>3.0</v>
      </c>
      <c r="B678" s="2" t="s">
        <v>1955</v>
      </c>
      <c r="C678" s="2" t="s">
        <v>1956</v>
      </c>
      <c r="D678" s="2" t="s">
        <v>135</v>
      </c>
      <c r="E678" s="2" t="s">
        <v>44</v>
      </c>
      <c r="F678" s="2" t="s">
        <v>15</v>
      </c>
      <c r="G678" s="2" t="s">
        <v>1957</v>
      </c>
      <c r="H678" s="2" t="s">
        <v>784</v>
      </c>
      <c r="I678" s="3" t="str">
        <f>IFERROR(__xludf.DUMMYFUNCTION("GOOGLETRANSLATE(C678,""fr"",""en"")"),"I thank Fairouz for his listening, his understanding, and his kindness
On the other hand, waiting time too long, not coordination in your services,
distressing
")</f>
        <v>I thank Fairouz for his listening, his understanding, and his kindness
On the other hand, waiting time too long, not coordination in your services,
distressing
</v>
      </c>
    </row>
    <row r="679" ht="15.75" customHeight="1">
      <c r="A679" s="2">
        <v>4.0</v>
      </c>
      <c r="B679" s="2" t="s">
        <v>1958</v>
      </c>
      <c r="C679" s="2" t="s">
        <v>1959</v>
      </c>
      <c r="D679" s="2" t="s">
        <v>176</v>
      </c>
      <c r="E679" s="2" t="s">
        <v>14</v>
      </c>
      <c r="F679" s="2" t="s">
        <v>15</v>
      </c>
      <c r="G679" s="2" t="s">
        <v>1960</v>
      </c>
      <c r="H679" s="2" t="s">
        <v>178</v>
      </c>
      <c r="I679" s="3" t="str">
        <f>IFERROR(__xludf.DUMMYFUNCTION("GOOGLETRANSLATE(C679,""fr"",""en"")"),"New customer I am satisfied. Easy to reach them, very welcoming staff. I hope it will last.")</f>
        <v>New customer I am satisfied. Easy to reach them, very welcoming staff. I hope it will last.</v>
      </c>
    </row>
    <row r="680" ht="15.75" customHeight="1">
      <c r="A680" s="2">
        <v>4.0</v>
      </c>
      <c r="B680" s="2" t="s">
        <v>1961</v>
      </c>
      <c r="C680" s="2" t="s">
        <v>1962</v>
      </c>
      <c r="D680" s="2" t="s">
        <v>48</v>
      </c>
      <c r="E680" s="2" t="s">
        <v>14</v>
      </c>
      <c r="F680" s="2" t="s">
        <v>15</v>
      </c>
      <c r="G680" s="2" t="s">
        <v>1577</v>
      </c>
      <c r="H680" s="2" t="s">
        <v>50</v>
      </c>
      <c r="I680" s="3" t="str">
        <f>IFERROR(__xludf.DUMMYFUNCTION("GOOGLETRANSLATE(C680,""fr"",""en"")"),"Price rather well placed in relation to competition and facilitated to make it evolve according to the options. Easy to use site for the final choice of his contract.")</f>
        <v>Price rather well placed in relation to competition and facilitated to make it evolve according to the options. Easy to use site for the final choice of his contract.</v>
      </c>
    </row>
    <row r="681" ht="15.75" customHeight="1">
      <c r="A681" s="2">
        <v>4.0</v>
      </c>
      <c r="B681" s="2" t="s">
        <v>1963</v>
      </c>
      <c r="C681" s="2" t="s">
        <v>1964</v>
      </c>
      <c r="D681" s="2" t="s">
        <v>48</v>
      </c>
      <c r="E681" s="2" t="s">
        <v>14</v>
      </c>
      <c r="F681" s="2" t="s">
        <v>15</v>
      </c>
      <c r="G681" s="2" t="s">
        <v>1253</v>
      </c>
      <c r="H681" s="2" t="s">
        <v>99</v>
      </c>
      <c r="I681" s="3" t="str">
        <f>IFERROR(__xludf.DUMMYFUNCTION("GOOGLETRANSLATE(C681,""fr"",""en"")"),"I am satisfied with the services and the price remains affordable.
I will not hesitate to recommend direct insurance around me.
Or even do my other vehicles")</f>
        <v>I am satisfied with the services and the price remains affordable.
I will not hesitate to recommend direct insurance around me.
Or even do my other vehicles</v>
      </c>
    </row>
    <row r="682" ht="15.75" customHeight="1">
      <c r="A682" s="2">
        <v>5.0</v>
      </c>
      <c r="B682" s="2" t="s">
        <v>1965</v>
      </c>
      <c r="C682" s="2" t="s">
        <v>1966</v>
      </c>
      <c r="D682" s="2" t="s">
        <v>48</v>
      </c>
      <c r="E682" s="2" t="s">
        <v>14</v>
      </c>
      <c r="F682" s="2" t="s">
        <v>15</v>
      </c>
      <c r="G682" s="2" t="s">
        <v>1967</v>
      </c>
      <c r="H682" s="2" t="s">
        <v>67</v>
      </c>
      <c r="I682" s="3" t="str">
        <f>IFERROR(__xludf.DUMMYFUNCTION("GOOGLETRANSLATE(C682,""fr"",""en"")"),"Am very satisfied with the reception and the information transmitted during my first call. Pending a new call in order to validate the quotes that have been offered to me.")</f>
        <v>Am very satisfied with the reception and the information transmitted during my first call. Pending a new call in order to validate the quotes that have been offered to me.</v>
      </c>
    </row>
    <row r="683" ht="15.75" customHeight="1">
      <c r="A683" s="2">
        <v>3.0</v>
      </c>
      <c r="B683" s="2" t="s">
        <v>1968</v>
      </c>
      <c r="C683" s="2" t="s">
        <v>1969</v>
      </c>
      <c r="D683" s="2" t="s">
        <v>135</v>
      </c>
      <c r="E683" s="2" t="s">
        <v>44</v>
      </c>
      <c r="F683" s="2" t="s">
        <v>15</v>
      </c>
      <c r="G683" s="2" t="s">
        <v>1970</v>
      </c>
      <c r="H683" s="2" t="s">
        <v>392</v>
      </c>
      <c r="I683" s="3" t="str">
        <f>IFERROR(__xludf.DUMMYFUNCTION("GOOGLETRANSLATE(C683,""fr"",""en"")"),"An advisor by the name of Salima knew how to answer all my questions, the exchange was very pleasant I come out of this call with all the answers that I was looking for as well as the quiet mind.")</f>
        <v>An advisor by the name of Salima knew how to answer all my questions, the exchange was very pleasant I come out of this call with all the answers that I was looking for as well as the quiet mind.</v>
      </c>
    </row>
    <row r="684" ht="15.75" customHeight="1">
      <c r="A684" s="2">
        <v>2.0</v>
      </c>
      <c r="B684" s="2" t="s">
        <v>1971</v>
      </c>
      <c r="C684" s="2" t="s">
        <v>1972</v>
      </c>
      <c r="D684" s="2" t="s">
        <v>28</v>
      </c>
      <c r="E684" s="2" t="s">
        <v>14</v>
      </c>
      <c r="F684" s="2" t="s">
        <v>15</v>
      </c>
      <c r="G684" s="2" t="s">
        <v>1503</v>
      </c>
      <c r="H684" s="2" t="s">
        <v>204</v>
      </c>
      <c r="I684" s="3" t="str">
        <f>IFERROR(__xludf.DUMMYFUNCTION("GOOGLETRANSLATE(C684,""fr"",""en"")"),"Having had a non -responsible disaster my vehicle was towed by a convenience store and then be taken to the garage. The expert spent 4 days later. During the observation he reported a friction on the rear bumper. However, my vehicle being new there was no"&amp;" scratch except the damage linked to the disaster. Everyone returns the ball and the GMF explains to me that it will be at my expense because speech against speech. So my word has no value in the face of providers with dubious methods who do not assume th"&amp;"eir misdeeds.
I am very disappointed, especially when I am explained to me that it is that equipment. In short, in principle we are supposed to take responsibility. The northern peripheral convenience store is to be avoided, but GMF Assistance explains t"&amp;"o me that this service provider is the most important north of Paris. Basically, I assured I am necessarily a liar. No comment")</f>
        <v>Having had a non -responsible disaster my vehicle was towed by a convenience store and then be taken to the garage. The expert spent 4 days later. During the observation he reported a friction on the rear bumper. However, my vehicle being new there was no scratch except the damage linked to the disaster. Everyone returns the ball and the GMF explains to me that it will be at my expense because speech against speech. So my word has no value in the face of providers with dubious methods who do not assume their misdeeds.
I am very disappointed, especially when I am explained to me that it is that equipment. In short, in principle we are supposed to take responsibility. The northern peripheral convenience store is to be avoided, but GMF Assistance explains to me that this service provider is the most important north of Paris. Basically, I assured I am necessarily a liar. No comment</v>
      </c>
    </row>
    <row r="685" ht="15.75" customHeight="1">
      <c r="A685" s="2">
        <v>1.0</v>
      </c>
      <c r="B685" s="2" t="s">
        <v>1973</v>
      </c>
      <c r="C685" s="2" t="s">
        <v>1974</v>
      </c>
      <c r="D685" s="2" t="s">
        <v>83</v>
      </c>
      <c r="E685" s="2" t="s">
        <v>285</v>
      </c>
      <c r="F685" s="2" t="s">
        <v>15</v>
      </c>
      <c r="G685" s="2" t="s">
        <v>1975</v>
      </c>
      <c r="H685" s="2" t="s">
        <v>628</v>
      </c>
      <c r="I685" s="3" t="str">
        <f>IFERROR(__xludf.DUMMYFUNCTION("GOOGLETRANSLATE(C685,""fr"",""en"")"),"This is a fact on a quote by phone and the La Matmut asks us for the sum of the quote I have nothing sign and this letters and being liked me recommended so that I pay mat wall this step as well as I would never recommend")</f>
        <v>This is a fact on a quote by phone and the La Matmut asks us for the sum of the quote I have nothing sign and this letters and being liked me recommended so that I pay mat wall this step as well as I would never recommend</v>
      </c>
    </row>
    <row r="686" ht="15.75" customHeight="1">
      <c r="A686" s="2">
        <v>3.0</v>
      </c>
      <c r="B686" s="2" t="s">
        <v>1976</v>
      </c>
      <c r="C686" s="2" t="s">
        <v>1977</v>
      </c>
      <c r="D686" s="2" t="s">
        <v>48</v>
      </c>
      <c r="E686" s="2" t="s">
        <v>14</v>
      </c>
      <c r="F686" s="2" t="s">
        <v>15</v>
      </c>
      <c r="G686" s="2" t="s">
        <v>1897</v>
      </c>
      <c r="H686" s="2" t="s">
        <v>468</v>
      </c>
      <c r="I686" s="3" t="str">
        <f>IFERROR(__xludf.DUMMYFUNCTION("GOOGLETRANSLATE(C686,""fr"",""en"")"),"Taken interesting that meets my expectations, to refine nevertheless. But it's a start and I'm happy to follow maybe with a telecsoiller")</f>
        <v>Taken interesting that meets my expectations, to refine nevertheless. But it's a start and I'm happy to follow maybe with a telecsoiller</v>
      </c>
    </row>
    <row r="687" ht="15.75" customHeight="1">
      <c r="A687" s="2">
        <v>1.0</v>
      </c>
      <c r="B687" s="2" t="s">
        <v>1978</v>
      </c>
      <c r="C687" s="2" t="s">
        <v>1979</v>
      </c>
      <c r="D687" s="2" t="s">
        <v>155</v>
      </c>
      <c r="E687" s="2" t="s">
        <v>285</v>
      </c>
      <c r="F687" s="2" t="s">
        <v>15</v>
      </c>
      <c r="G687" s="2" t="s">
        <v>1980</v>
      </c>
      <c r="H687" s="2" t="s">
        <v>562</v>
      </c>
      <c r="I687" s="3" t="str">
        <f>IFERROR(__xludf.DUMMYFUNCTION("GOOGLETRANSLATE(C687,""fr"",""en"")"),"Impossible to reach someone or to be reimbursed for claims. I realize this year and choose more expensive but capable of carrying out a file.
My disaster is not, however, a big amount: they would have returned it by keeping me a few more months ...
"&amp;"In short to flee!")</f>
        <v>Impossible to reach someone or to be reimbursed for claims. I realize this year and choose more expensive but capable of carrying out a file.
My disaster is not, however, a big amount: they would have returned it by keeping me a few more months ...
In short to flee!</v>
      </c>
    </row>
    <row r="688" ht="15.75" customHeight="1">
      <c r="A688" s="2">
        <v>2.0</v>
      </c>
      <c r="B688" s="2" t="s">
        <v>1981</v>
      </c>
      <c r="C688" s="2" t="s">
        <v>1982</v>
      </c>
      <c r="D688" s="2" t="s">
        <v>105</v>
      </c>
      <c r="E688" s="2" t="s">
        <v>38</v>
      </c>
      <c r="F688" s="2" t="s">
        <v>15</v>
      </c>
      <c r="G688" s="2" t="s">
        <v>1983</v>
      </c>
      <c r="H688" s="2" t="s">
        <v>477</v>
      </c>
      <c r="I688" s="3" t="str">
        <f>IFERROR(__xludf.DUMMYFUNCTION("GOOGLETRANSLATE(C688,""fr"",""en"")"),"I was stopped on August 13 until December then I was dismissed in December for incapacity today we are on February 25 I have still had no additional salary I call all About 15 days and each time tell us that they are waiting for supporting documents when "&amp;"I saw with my former boss and everything was sent
When I call them impossible to speak with a manager and the person on the phone always says the same thing get closer to your former employer
I think they drag things but I would like to see their heads "&amp;"if it was them that we owed money I think we would quickly have the bailiff in front of our door")</f>
        <v>I was stopped on August 13 until December then I was dismissed in December for incapacity today we are on February 25 I have still had no additional salary I call all About 15 days and each time tell us that they are waiting for supporting documents when I saw with my former boss and everything was sent
When I call them impossible to speak with a manager and the person on the phone always says the same thing get closer to your former employer
I think they drag things but I would like to see their heads if it was them that we owed money I think we would quickly have the bailiff in front of our door</v>
      </c>
    </row>
    <row r="689" ht="15.75" customHeight="1">
      <c r="A689" s="2">
        <v>3.0</v>
      </c>
      <c r="B689" s="2" t="s">
        <v>1984</v>
      </c>
      <c r="C689" s="2" t="s">
        <v>1985</v>
      </c>
      <c r="D689" s="2" t="s">
        <v>126</v>
      </c>
      <c r="E689" s="2" t="s">
        <v>127</v>
      </c>
      <c r="F689" s="2" t="s">
        <v>15</v>
      </c>
      <c r="G689" s="2" t="s">
        <v>1295</v>
      </c>
      <c r="H689" s="2" t="s">
        <v>89</v>
      </c>
      <c r="I689" s="3" t="str">
        <f>IFERROR(__xludf.DUMMYFUNCTION("GOOGLETRANSLATE(C689,""fr"",""en"")"),"I just worked so I am waiting before I declare myself but for the moment I think that quality price I think it's not bad because at the competition that I have been able to contact it is cheaper.")</f>
        <v>I just worked so I am waiting before I declare myself but for the moment I think that quality price I think it's not bad because at the competition that I have been able to contact it is cheaper.</v>
      </c>
    </row>
    <row r="690" ht="15.75" customHeight="1">
      <c r="A690" s="2">
        <v>3.0</v>
      </c>
      <c r="B690" s="2" t="s">
        <v>1986</v>
      </c>
      <c r="C690" s="2" t="s">
        <v>1987</v>
      </c>
      <c r="D690" s="2" t="s">
        <v>110</v>
      </c>
      <c r="E690" s="2" t="s">
        <v>44</v>
      </c>
      <c r="F690" s="2" t="s">
        <v>15</v>
      </c>
      <c r="G690" s="2" t="s">
        <v>1988</v>
      </c>
      <c r="H690" s="2" t="s">
        <v>17</v>
      </c>
      <c r="I690" s="3" t="str">
        <f>IFERROR(__xludf.DUMMYFUNCTION("GOOGLETRANSLATE(C690,""fr"",""en"")"),"The subscription is fast and easy. To see support in the future.
I hope this will meet all of my expectations in terms of health coverage")</f>
        <v>The subscription is fast and easy. To see support in the future.
I hope this will meet all of my expectations in terms of health coverage</v>
      </c>
    </row>
    <row r="691" ht="15.75" customHeight="1">
      <c r="A691" s="2">
        <v>3.0</v>
      </c>
      <c r="B691" s="2" t="s">
        <v>1989</v>
      </c>
      <c r="C691" s="2" t="s">
        <v>1990</v>
      </c>
      <c r="D691" s="2" t="s">
        <v>13</v>
      </c>
      <c r="E691" s="2" t="s">
        <v>14</v>
      </c>
      <c r="F691" s="2" t="s">
        <v>15</v>
      </c>
      <c r="G691" s="2" t="s">
        <v>1991</v>
      </c>
      <c r="H691" s="2" t="s">
        <v>178</v>
      </c>
      <c r="I691" s="3" t="str">
        <f>IFERROR(__xludf.DUMMYFUNCTION("GOOGLETRANSLATE(C691,""fr"",""en"")"),"Customer for only 8 am, I have subscribed to automotive insurance at the Olivier Assurances just 8 am, that is 05/30/2017 at 4:00 pm, the operator who took care of my file sent me the document special provisions that I must sign and return.
However, in t"&amp;"he ""main driver"" part of this document there is an email address that is entered instead of the name and first name of the main driver.
So I cannot sign this document because it is a contractual document, the name and first name of the main driver are "&amp;"important, even essential.
Only an hour after subscribing, so I recalled but I had to wait 25 minutes instead of the 12 minutes while 1 hour before, for the subscription it was much faster.
I finally had someone on the end of the line which immediatel"&amp;"y reproached me that I could send this document by mail and that I did not need to call customer service for that.
I had the impression of being fooled because I had just subscribed there was not even 1 hour and I was already treated as a conflicting cus"&amp;"tomer with whom there were a lot of claims.
Especially since his colleague had just advised me to send the supporting documents scanned by email.
In short, I insisted that the document is modified by putting the names and surnames of the main driver i"&amp;"n place of the email in the 4 entry fields concerned.
The operator told me that she would do it after hanging up and that this error was due to the fact that I had made several quotes with the same email address, which should not be done.
I did not un"&amp;"derstand his remark because there is no feature on the site which prohibits using the same email address for several quotes?!
Isn't the customer potential entitled to make as many simulations as it wishes all the more since the choice of an insurer is no"&amp;"t trivial?
In short, I said that I was waiting for his email and that I trusted him because I could not sign the contract with such serious errors.
She thanked me for the confidence I gave her.
A few minutes later, I look at the so-called new docum"&amp;"ent that I have received and I realize that there has been no modification and that the error is still there.
What did she do ? Nothing ?! I don't understand...
It is seriously panicked, because at the same time 24 hours, customer service seems not to r"&amp;"espond to requests which only concern changes in contact details in a contract.
I am seriously thinking about using the withdrawal period, because it scares me very.
If such simple requests are processed in this way, what will be a claim or urgent ass"&amp;"istance for example?
I sent an email from this problem to customer@olivier.fr, but I received an automatic response reporting that the response time is 7 to 10 days.
Gloups! How to do, knowing that I am supposed to return these signed documents within"&amp;" 10 days, we will say within 9 days now?
I would like to receive the document with the right correction so that I return it signed but I do not know who to address and I do not want to wait approximately 30 minutes to reach customer service for nothing"&amp;", because I do not have no assurance that my request will be correctly processed.
I have already paid cash, but I do not want to have my right of withdrawal play because I still want to trust them although it seems badly.
I also do not have access t"&amp;"o my personal space, while I am supposed to return the supporting documents.
I am still waiting all day of May 31 to see if my problem will be dealt with and thus know if I have to stay with them or not, even if I have the impression that it is not luc"&amp;"ky for me, it starts wrong.")</f>
        <v>Customer for only 8 am, I have subscribed to automotive insurance at the Olivier Assurances just 8 am, that is 05/30/2017 at 4:00 pm, the operator who took care of my file sent me the document special provisions that I must sign and return.
However, in the "main driver" part of this document there is an email address that is entered instead of the name and first name of the main driver.
So I cannot sign this document because it is a contractual document, the name and first name of the main driver are important, even essential.
Only an hour after subscribing, so I recalled but I had to wait 25 minutes instead of the 12 minutes while 1 hour before, for the subscription it was much faster.
I finally had someone on the end of the line which immediately reproached me that I could send this document by mail and that I did not need to call customer service for that.
I had the impression of being fooled because I had just subscribed there was not even 1 hour and I was already treated as a conflicting customer with whom there were a lot of claims.
Especially since his colleague had just advised me to send the supporting documents scanned by email.
In short, I insisted that the document is modified by putting the names and surnames of the main driver in place of the email in the 4 entry fields concerned.
The operator told me that she would do it after hanging up and that this error was due to the fact that I had made several quotes with the same email address, which should not be done.
I did not understand his remark because there is no feature on the site which prohibits using the same email address for several quotes?!
Isn't the customer potential entitled to make as many simulations as it wishes all the more since the choice of an insurer is not trivial?
In short, I said that I was waiting for his email and that I trusted him because I could not sign the contract with such serious errors.
She thanked me for the confidence I gave her.
A few minutes later, I look at the so-called new document that I have received and I realize that there has been no modification and that the error is still there.
What did she do ? Nothing ?! I don't understand...
It is seriously panicked, because at the same time 24 hours, customer service seems not to respond to requests which only concern changes in contact details in a contract.
I am seriously thinking about using the withdrawal period, because it scares me very.
If such simple requests are processed in this way, what will be a claim or urgent assistance for example?
I sent an email from this problem to customer@olivier.fr, but I received an automatic response reporting that the response time is 7 to 10 days.
Gloups! How to do, knowing that I am supposed to return these signed documents within 10 days, we will say within 9 days now?
I would like to receive the document with the right correction so that I return it signed but I do not know who to address and I do not want to wait approximately 30 minutes to reach customer service for nothing, because I do not have no assurance that my request will be correctly processed.
I have already paid cash, but I do not want to have my right of withdrawal play because I still want to trust them although it seems badly.
I also do not have access to my personal space, while I am supposed to return the supporting documents.
I am still waiting all day of May 31 to see if my problem will be dealt with and thus know if I have to stay with them or not, even if I have the impression that it is not lucky for me, it starts wrong.</v>
      </c>
    </row>
    <row r="692" ht="15.75" customHeight="1">
      <c r="A692" s="2">
        <v>4.0</v>
      </c>
      <c r="B692" s="2" t="s">
        <v>1992</v>
      </c>
      <c r="C692" s="2" t="s">
        <v>1993</v>
      </c>
      <c r="D692" s="2" t="s">
        <v>48</v>
      </c>
      <c r="E692" s="2" t="s">
        <v>14</v>
      </c>
      <c r="F692" s="2" t="s">
        <v>15</v>
      </c>
      <c r="G692" s="2" t="s">
        <v>1994</v>
      </c>
      <c r="H692" s="2" t="s">
        <v>29</v>
      </c>
      <c r="I692" s="3" t="str">
        <f>IFERROR(__xludf.DUMMYFUNCTION("GOOGLETRANSLATE(C692,""fr"",""en"")"),"I am satisfied with your service always listening. And the effectiveness of advisers.
Easy to subscribe. I recommend this insurance to everyone.")</f>
        <v>I am satisfied with your service always listening. And the effectiveness of advisers.
Easy to subscribe. I recommend this insurance to everyone.</v>
      </c>
    </row>
    <row r="693" ht="15.75" customHeight="1">
      <c r="A693" s="2">
        <v>1.0</v>
      </c>
      <c r="B693" s="2" t="s">
        <v>1995</v>
      </c>
      <c r="C693" s="2" t="s">
        <v>1996</v>
      </c>
      <c r="D693" s="2" t="s">
        <v>176</v>
      </c>
      <c r="E693" s="2" t="s">
        <v>285</v>
      </c>
      <c r="F693" s="2" t="s">
        <v>15</v>
      </c>
      <c r="G693" s="2" t="s">
        <v>39</v>
      </c>
      <c r="H693" s="2" t="s">
        <v>40</v>
      </c>
      <c r="I693" s="3" t="str">
        <f>IFERROR(__xludf.DUMMYFUNCTION("GOOGLETRANSLATE(C693,""fr"",""en"")"),"The defense/appeal component of multi -risk insurance is a hoax and deception, given the conventions between insurers. Road accident officials are defended by lawyers, when the wounded, innocent victims, it is the double penalty: betrayed, despised, humil"&amp;"iated, flouted! It's villainous and unbearable!")</f>
        <v>The defense/appeal component of multi -risk insurance is a hoax and deception, given the conventions between insurers. Road accident officials are defended by lawyers, when the wounded, innocent victims, it is the double penalty: betrayed, despised, humiliated, flouted! It's villainous and unbearable!</v>
      </c>
    </row>
    <row r="694" ht="15.75" customHeight="1">
      <c r="A694" s="2">
        <v>1.0</v>
      </c>
      <c r="B694" s="2" t="s">
        <v>1997</v>
      </c>
      <c r="C694" s="2" t="s">
        <v>1998</v>
      </c>
      <c r="D694" s="2" t="s">
        <v>53</v>
      </c>
      <c r="E694" s="2" t="s">
        <v>44</v>
      </c>
      <c r="F694" s="2" t="s">
        <v>15</v>
      </c>
      <c r="G694" s="2" t="s">
        <v>1999</v>
      </c>
      <c r="H694" s="2" t="s">
        <v>164</v>
      </c>
      <c r="I694" s="3" t="str">
        <f>IFERROR(__xludf.DUMMYFUNCTION("GOOGLETRANSLATE(C694,""fr"",""en"")"),"Not reliable, all pretexts are good not to make reimbursements.
Voluntary errors in calculating their shares to avoid management of glasses, the optical center had to take it several times before the agreement.
Etc., etc ....
In short, don't go there")</f>
        <v>Not reliable, all pretexts are good not to make reimbursements.
Voluntary errors in calculating their shares to avoid management of glasses, the optical center had to take it several times before the agreement.
Etc., etc ....
In short, don't go there</v>
      </c>
    </row>
    <row r="695" ht="15.75" customHeight="1">
      <c r="A695" s="2">
        <v>5.0</v>
      </c>
      <c r="B695" s="2" t="s">
        <v>2000</v>
      </c>
      <c r="C695" s="2" t="s">
        <v>2001</v>
      </c>
      <c r="D695" s="2" t="s">
        <v>13</v>
      </c>
      <c r="E695" s="2" t="s">
        <v>14</v>
      </c>
      <c r="F695" s="2" t="s">
        <v>15</v>
      </c>
      <c r="G695" s="2" t="s">
        <v>2002</v>
      </c>
      <c r="H695" s="2" t="s">
        <v>89</v>
      </c>
      <c r="I695" s="3" t="str">
        <f>IFERROR(__xludf.DUMMYFUNCTION("GOOGLETRANSLATE(C695,""fr"",""en"")"),"Easily produced, super customer service, pleasant and patient advisers, attractive prices for a young driver and a rewarded loyalty.")</f>
        <v>Easily produced, super customer service, pleasant and patient advisers, attractive prices for a young driver and a rewarded loyalty.</v>
      </c>
    </row>
    <row r="696" ht="15.75" customHeight="1">
      <c r="A696" s="2">
        <v>1.0</v>
      </c>
      <c r="B696" s="2" t="s">
        <v>2003</v>
      </c>
      <c r="C696" s="2" t="s">
        <v>2004</v>
      </c>
      <c r="D696" s="2" t="s">
        <v>48</v>
      </c>
      <c r="E696" s="2" t="s">
        <v>14</v>
      </c>
      <c r="F696" s="2" t="s">
        <v>15</v>
      </c>
      <c r="G696" s="2" t="s">
        <v>2005</v>
      </c>
      <c r="H696" s="2" t="s">
        <v>729</v>
      </c>
      <c r="I696" s="3" t="str">
        <f>IFERROR(__xludf.DUMMYFUNCTION("GOOGLETRANSLATE(C696,""fr"",""en"")"),"Panne assistance why? To make you waste your time there are the same rated the slightest contact it is incapable I await my tow truck since 9 a.m. The foutage of ******* there are no respect for its mined customers spoiled and still count the day if you d"&amp;"o not want to work resigned")</f>
        <v>Panne assistance why? To make you waste your time there are the same rated the slightest contact it is incapable I await my tow truck since 9 a.m. The foutage of ******* there are no respect for its mined customers spoiled and still count the day if you do not want to work resigned</v>
      </c>
    </row>
    <row r="697" ht="15.75" customHeight="1">
      <c r="A697" s="2">
        <v>4.0</v>
      </c>
      <c r="B697" s="2" t="s">
        <v>2006</v>
      </c>
      <c r="C697" s="2" t="s">
        <v>2007</v>
      </c>
      <c r="D697" s="2" t="s">
        <v>48</v>
      </c>
      <c r="E697" s="2" t="s">
        <v>14</v>
      </c>
      <c r="F697" s="2" t="s">
        <v>15</v>
      </c>
      <c r="G697" s="2" t="s">
        <v>1936</v>
      </c>
      <c r="H697" s="2" t="s">
        <v>21</v>
      </c>
      <c r="I697" s="3" t="str">
        <f>IFERROR(__xludf.DUMMYFUNCTION("GOOGLETRANSLATE(C697,""fr"",""en"")"),"It should have prices for drivers driving less than 5000 km per year
I have 50,000km on the clock The car is a first hand and is followed regularly by the Renault garage by Quincy under Sénart")</f>
        <v>It should have prices for drivers driving less than 5000 km per year
I have 50,000km on the clock The car is a first hand and is followed regularly by the Renault garage by Quincy under Sénart</v>
      </c>
    </row>
    <row r="698" ht="15.75" customHeight="1">
      <c r="A698" s="2">
        <v>1.0</v>
      </c>
      <c r="B698" s="2" t="s">
        <v>2008</v>
      </c>
      <c r="C698" s="2" t="s">
        <v>2009</v>
      </c>
      <c r="D698" s="2" t="s">
        <v>121</v>
      </c>
      <c r="E698" s="2" t="s">
        <v>285</v>
      </c>
      <c r="F698" s="2" t="s">
        <v>15</v>
      </c>
      <c r="G698" s="2" t="s">
        <v>2010</v>
      </c>
      <c r="H698" s="2" t="s">
        <v>1383</v>
      </c>
      <c r="I698" s="3" t="str">
        <f>IFERROR(__xludf.DUMMYFUNCTION("GOOGLETRANSLATE(C698,""fr"",""en"")"),"The flight occurred on a Sunday and I called the assistance my pavilion was open and I did not feel safe the assistance had no name to give me for security and they said to look for me -Mend if I had not found this company they should have sent guardiansh"&amp;"ip
Securing was temporarily ensured and it was very cold the shutter and the double glazing were broken a week after the double glazing was replaced then the component I did not feel safe until the two had been replaced")</f>
        <v>The flight occurred on a Sunday and I called the assistance my pavilion was open and I did not feel safe the assistance had no name to give me for security and they said to look for me -Mend if I had not found this company they should have sent guardianship
Securing was temporarily ensured and it was very cold the shutter and the double glazing were broken a week after the double glazing was replaced then the component I did not feel safe until the two had been replaced</v>
      </c>
    </row>
    <row r="699" ht="15.75" customHeight="1">
      <c r="A699" s="2">
        <v>4.0</v>
      </c>
      <c r="B699" s="2" t="s">
        <v>2011</v>
      </c>
      <c r="C699" s="2" t="s">
        <v>2012</v>
      </c>
      <c r="D699" s="2" t="s">
        <v>126</v>
      </c>
      <c r="E699" s="2" t="s">
        <v>127</v>
      </c>
      <c r="F699" s="2" t="s">
        <v>15</v>
      </c>
      <c r="G699" s="2" t="s">
        <v>1185</v>
      </c>
      <c r="H699" s="2" t="s">
        <v>25</v>
      </c>
      <c r="I699" s="3" t="str">
        <f>IFERROR(__xludf.DUMMYFUNCTION("GOOGLETRANSLATE(C699,""fr"",""en"")"),"Very good service and very competitive price, it is therefore now for use and especially if I see the quality of the service and any refund")</f>
        <v>Very good service and very competitive price, it is therefore now for use and especially if I see the quality of the service and any refund</v>
      </c>
    </row>
    <row r="700" ht="15.75" customHeight="1">
      <c r="A700" s="2">
        <v>4.0</v>
      </c>
      <c r="B700" s="2" t="s">
        <v>2013</v>
      </c>
      <c r="C700" s="2" t="s">
        <v>2014</v>
      </c>
      <c r="D700" s="2" t="s">
        <v>48</v>
      </c>
      <c r="E700" s="2" t="s">
        <v>14</v>
      </c>
      <c r="F700" s="2" t="s">
        <v>15</v>
      </c>
      <c r="G700" s="2" t="s">
        <v>1818</v>
      </c>
      <c r="H700" s="2" t="s">
        <v>50</v>
      </c>
      <c r="I700" s="3" t="str">
        <f>IFERROR(__xludf.DUMMYFUNCTION("GOOGLETRANSLATE(C700,""fr"",""en"")"),"I am satisfied with your work .....
Thank you very much and see you soon ... To the whole Direct Insurance team
I am happy with availability of commitment")</f>
        <v>I am satisfied with your work .....
Thank you very much and see you soon ... To the whole Direct Insurance team
I am happy with availability of commitment</v>
      </c>
    </row>
    <row r="701" ht="15.75" customHeight="1">
      <c r="A701" s="2">
        <v>4.0</v>
      </c>
      <c r="B701" s="2" t="s">
        <v>2015</v>
      </c>
      <c r="C701" s="2" t="s">
        <v>2016</v>
      </c>
      <c r="D701" s="2" t="s">
        <v>48</v>
      </c>
      <c r="E701" s="2" t="s">
        <v>14</v>
      </c>
      <c r="F701" s="2" t="s">
        <v>15</v>
      </c>
      <c r="G701" s="2" t="s">
        <v>2017</v>
      </c>
      <c r="H701" s="2" t="s">
        <v>99</v>
      </c>
      <c r="I701" s="3" t="str">
        <f>IFERROR(__xludf.DUMMYFUNCTION("GOOGLETRANSLATE(C701,""fr"",""en"")"),"Not much to say for the moment. The experience hitherto is satisfactory. Sur Insurance Auto and Maison. Let us wait to see how the management of a disaster will go.")</f>
        <v>Not much to say for the moment. The experience hitherto is satisfactory. Sur Insurance Auto and Maison. Let us wait to see how the management of a disaster will go.</v>
      </c>
    </row>
    <row r="702" ht="15.75" customHeight="1">
      <c r="A702" s="2">
        <v>4.0</v>
      </c>
      <c r="B702" s="2" t="s">
        <v>2018</v>
      </c>
      <c r="C702" s="2" t="s">
        <v>2019</v>
      </c>
      <c r="D702" s="2" t="s">
        <v>13</v>
      </c>
      <c r="E702" s="2" t="s">
        <v>14</v>
      </c>
      <c r="F702" s="2" t="s">
        <v>15</v>
      </c>
      <c r="G702" s="2" t="s">
        <v>1549</v>
      </c>
      <c r="H702" s="2" t="s">
        <v>25</v>
      </c>
      <c r="I702" s="3" t="str">
        <f>IFERROR(__xludf.DUMMYFUNCTION("GOOGLETRANSLATE(C702,""fr"",""en"")"),"I am satisfied with the price and speed The site is well used and easy for people who do not have the ability of the internet thank you very much I very satisfied")</f>
        <v>I am satisfied with the price and speed The site is well used and easy for people who do not have the ability of the internet thank you very much I very satisfied</v>
      </c>
    </row>
    <row r="703" ht="15.75" customHeight="1">
      <c r="A703" s="2">
        <v>4.0</v>
      </c>
      <c r="B703" s="2" t="s">
        <v>2020</v>
      </c>
      <c r="C703" s="2" t="s">
        <v>2021</v>
      </c>
      <c r="D703" s="2" t="s">
        <v>48</v>
      </c>
      <c r="E703" s="2" t="s">
        <v>285</v>
      </c>
      <c r="F703" s="2" t="s">
        <v>15</v>
      </c>
      <c r="G703" s="2" t="s">
        <v>2022</v>
      </c>
      <c r="H703" s="2" t="s">
        <v>185</v>
      </c>
      <c r="I703" s="3" t="str">
        <f>IFERROR(__xludf.DUMMYFUNCTION("GOOGLETRANSLATE(C703,""fr"",""en"")"),"I am satisfied with direct insurance services
Cheaper and more responsive than certain companies, thank you for your seriousness and the prices that you applied
")</f>
        <v>I am satisfied with direct insurance services
Cheaper and more responsive than certain companies, thank you for your seriousness and the prices that you applied
</v>
      </c>
    </row>
    <row r="704" ht="15.75" customHeight="1">
      <c r="A704" s="2">
        <v>5.0</v>
      </c>
      <c r="B704" s="2" t="s">
        <v>2023</v>
      </c>
      <c r="C704" s="2" t="s">
        <v>2024</v>
      </c>
      <c r="D704" s="2" t="s">
        <v>13</v>
      </c>
      <c r="E704" s="2" t="s">
        <v>14</v>
      </c>
      <c r="F704" s="2" t="s">
        <v>15</v>
      </c>
      <c r="G704" s="2" t="s">
        <v>1745</v>
      </c>
      <c r="H704" s="2" t="s">
        <v>25</v>
      </c>
      <c r="I704" s="3" t="str">
        <f>IFERROR(__xludf.DUMMYFUNCTION("GOOGLETRANSLATE(C704,""fr"",""en"")"),"Very good service, the contact on the phone was very pleasant, clear and fast.
Prices are the best on the market I have found, given my situation (10 years abroad without car insurance)")</f>
        <v>Very good service, the contact on the phone was very pleasant, clear and fast.
Prices are the best on the market I have found, given my situation (10 years abroad without car insurance)</v>
      </c>
    </row>
    <row r="705" ht="15.75" customHeight="1">
      <c r="A705" s="2">
        <v>2.0</v>
      </c>
      <c r="B705" s="2" t="s">
        <v>2025</v>
      </c>
      <c r="C705" s="2" t="s">
        <v>2026</v>
      </c>
      <c r="D705" s="2" t="s">
        <v>167</v>
      </c>
      <c r="E705" s="2" t="s">
        <v>33</v>
      </c>
      <c r="F705" s="2" t="s">
        <v>15</v>
      </c>
      <c r="G705" s="2" t="s">
        <v>2027</v>
      </c>
      <c r="H705" s="2" t="s">
        <v>497</v>
      </c>
      <c r="I705" s="3" t="str">
        <f>IFERROR(__xludf.DUMMYFUNCTION("GOOGLETRANSLATE(C705,""fr"",""en"")"),"My mom contributed and since she is not dead at 70 all that she contributed is in pure loss of lively this insurance, if you contribute it is for them if you are not 70 years old. 70 years old you lose everything
")</f>
        <v>My mom contributed and since she is not dead at 70 all that she contributed is in pure loss of lively this insurance, if you contribute it is for them if you are not 70 years old. 70 years old you lose everything
</v>
      </c>
    </row>
    <row r="706" ht="15.75" customHeight="1">
      <c r="A706" s="2">
        <v>5.0</v>
      </c>
      <c r="B706" s="2" t="s">
        <v>2028</v>
      </c>
      <c r="C706" s="2" t="s">
        <v>2029</v>
      </c>
      <c r="D706" s="2" t="s">
        <v>48</v>
      </c>
      <c r="E706" s="2" t="s">
        <v>14</v>
      </c>
      <c r="F706" s="2" t="s">
        <v>15</v>
      </c>
      <c r="G706" s="2" t="s">
        <v>345</v>
      </c>
      <c r="H706" s="2" t="s">
        <v>50</v>
      </c>
      <c r="I706" s="3" t="str">
        <f>IFERROR(__xludf.DUMMYFUNCTION("GOOGLETRANSLATE(C706,""fr"",""en"")"),"It is a new insurance contract for which I found the price very attractive, it is the only point of comparison on which I can rely for the moment.")</f>
        <v>It is a new insurance contract for which I found the price very attractive, it is the only point of comparison on which I can rely for the moment.</v>
      </c>
    </row>
    <row r="707" ht="15.75" customHeight="1">
      <c r="A707" s="2">
        <v>4.0</v>
      </c>
      <c r="B707" s="2" t="s">
        <v>2030</v>
      </c>
      <c r="C707" s="2" t="s">
        <v>2031</v>
      </c>
      <c r="D707" s="2" t="s">
        <v>2032</v>
      </c>
      <c r="E707" s="2" t="s">
        <v>229</v>
      </c>
      <c r="F707" s="2" t="s">
        <v>15</v>
      </c>
      <c r="G707" s="2" t="s">
        <v>737</v>
      </c>
      <c r="H707" s="2" t="s">
        <v>99</v>
      </c>
      <c r="I707" s="3" t="str">
        <f>IFERROR(__xludf.DUMMYFUNCTION("GOOGLETRANSLATE(C707,""fr"",""en"")"),"Always advise to answer questions.
Precise and fast on the answers brought.
Attractive rates for an activity creator.")</f>
        <v>Always advise to answer questions.
Precise and fast on the answers brought.
Attractive rates for an activity creator.</v>
      </c>
    </row>
    <row r="708" ht="15.75" customHeight="1">
      <c r="A708" s="2">
        <v>1.0</v>
      </c>
      <c r="B708" s="2" t="s">
        <v>2033</v>
      </c>
      <c r="C708" s="2" t="s">
        <v>2034</v>
      </c>
      <c r="D708" s="2" t="s">
        <v>228</v>
      </c>
      <c r="E708" s="2" t="s">
        <v>14</v>
      </c>
      <c r="F708" s="2" t="s">
        <v>15</v>
      </c>
      <c r="G708" s="2" t="s">
        <v>1329</v>
      </c>
      <c r="H708" s="2" t="s">
        <v>67</v>
      </c>
      <c r="I708" s="3" t="str">
        <f>IFERROR(__xludf.DUMMYFUNCTION("GOOGLETRANSLATE(C708,""fr"",""en"")"),"Insured chy axa since 2004 no accident responsible until I was the victim of vandalism on my vow there 7 months which ensured all risks and since problems for repairing my vow thank you Axa")</f>
        <v>Insured chy axa since 2004 no accident responsible until I was the victim of vandalism on my vow there 7 months which ensured all risks and since problems for repairing my vow thank you Axa</v>
      </c>
    </row>
    <row r="709" ht="15.75" customHeight="1">
      <c r="A709" s="2">
        <v>5.0</v>
      </c>
      <c r="B709" s="2" t="s">
        <v>2035</v>
      </c>
      <c r="C709" s="2" t="s">
        <v>2036</v>
      </c>
      <c r="D709" s="2" t="s">
        <v>28</v>
      </c>
      <c r="E709" s="2" t="s">
        <v>14</v>
      </c>
      <c r="F709" s="2" t="s">
        <v>15</v>
      </c>
      <c r="G709" s="2" t="s">
        <v>34</v>
      </c>
      <c r="H709" s="2" t="s">
        <v>25</v>
      </c>
      <c r="I709" s="3" t="str">
        <f>IFERROR(__xludf.DUMMYFUNCTION("GOOGLETRANSLATE(C709,""fr"",""en"")"),"I am very satisfied with the fast and efficient reception
It is for this reason that I have always been a member since
My interlocutor was very professional")</f>
        <v>I am very satisfied with the fast and efficient reception
It is for this reason that I have always been a member since
My interlocutor was very professional</v>
      </c>
    </row>
    <row r="710" ht="15.75" customHeight="1">
      <c r="A710" s="2">
        <v>1.0</v>
      </c>
      <c r="B710" s="2" t="s">
        <v>2037</v>
      </c>
      <c r="C710" s="2" t="s">
        <v>2038</v>
      </c>
      <c r="D710" s="2" t="s">
        <v>53</v>
      </c>
      <c r="E710" s="2" t="s">
        <v>44</v>
      </c>
      <c r="F710" s="2" t="s">
        <v>15</v>
      </c>
      <c r="G710" s="2" t="s">
        <v>2039</v>
      </c>
      <c r="H710" s="2" t="s">
        <v>204</v>
      </c>
      <c r="I710" s="3" t="str">
        <f>IFERROR(__xludf.DUMMYFUNCTION("GOOGLETRANSLATE(C710,""fr"",""en"")"),"After several reminders and an email in the complaint service, I still have not refund an invoice sent on 7/01. This is not the first time that I have to relaunch to obtain a refund, but there it becomes long after more than a month.")</f>
        <v>After several reminders and an email in the complaint service, I still have not refund an invoice sent on 7/01. This is not the first time that I have to relaunch to obtain a refund, but there it becomes long after more than a month.</v>
      </c>
    </row>
    <row r="711" ht="15.75" customHeight="1">
      <c r="A711" s="2">
        <v>3.0</v>
      </c>
      <c r="B711" s="2" t="s">
        <v>2040</v>
      </c>
      <c r="C711" s="2" t="s">
        <v>2041</v>
      </c>
      <c r="D711" s="2" t="s">
        <v>48</v>
      </c>
      <c r="E711" s="2" t="s">
        <v>14</v>
      </c>
      <c r="F711" s="2" t="s">
        <v>15</v>
      </c>
      <c r="G711" s="2" t="s">
        <v>1145</v>
      </c>
      <c r="H711" s="2" t="s">
        <v>21</v>
      </c>
      <c r="I711" s="3" t="str">
        <f>IFERROR(__xludf.DUMMYFUNCTION("GOOGLETRANSLATE(C711,""fr"",""en"")"),"I am satisfied with the service overall.
For the price, it is mixed since I only ensured one vehicle in two at home, seeing one of your competitors offers me much better.")</f>
        <v>I am satisfied with the service overall.
For the price, it is mixed since I only ensured one vehicle in two at home, seeing one of your competitors offers me much better.</v>
      </c>
    </row>
    <row r="712" ht="15.75" customHeight="1">
      <c r="A712" s="2">
        <v>5.0</v>
      </c>
      <c r="B712" s="2" t="s">
        <v>2042</v>
      </c>
      <c r="C712" s="2" t="s">
        <v>2043</v>
      </c>
      <c r="D712" s="2" t="s">
        <v>126</v>
      </c>
      <c r="E712" s="2" t="s">
        <v>127</v>
      </c>
      <c r="F712" s="2" t="s">
        <v>15</v>
      </c>
      <c r="G712" s="2" t="s">
        <v>2044</v>
      </c>
      <c r="H712" s="2" t="s">
        <v>17</v>
      </c>
      <c r="I712" s="3" t="str">
        <f>IFERROR(__xludf.DUMMYFUNCTION("GOOGLETRANSLATE(C712,""fr"",""en"")"),"satisfied c well except this form which is endless
Please no longer impose these heavy and unproductive formulas
have a good day
Best regards
")</f>
        <v>satisfied c well except this form which is endless
Please no longer impose these heavy and unproductive formulas
have a good day
Best regards
</v>
      </c>
    </row>
    <row r="713" ht="15.75" customHeight="1">
      <c r="A713" s="2">
        <v>5.0</v>
      </c>
      <c r="B713" s="2" t="s">
        <v>2045</v>
      </c>
      <c r="C713" s="2" t="s">
        <v>2046</v>
      </c>
      <c r="D713" s="2" t="s">
        <v>13</v>
      </c>
      <c r="E713" s="2" t="s">
        <v>14</v>
      </c>
      <c r="F713" s="2" t="s">
        <v>15</v>
      </c>
      <c r="G713" s="2" t="s">
        <v>2047</v>
      </c>
      <c r="H713" s="2" t="s">
        <v>50</v>
      </c>
      <c r="I713" s="3" t="str">
        <f>IFERROR(__xludf.DUMMYFUNCTION("GOOGLETRANSLATE(C713,""fr"",""en"")"),"Perfect telephone service, the information corresponds to the quote carried out online.
Very pleasant staff during the finalization of the subscription.
I recommend my eyes closed.")</f>
        <v>Perfect telephone service, the information corresponds to the quote carried out online.
Very pleasant staff during the finalization of the subscription.
I recommend my eyes closed.</v>
      </c>
    </row>
    <row r="714" ht="15.75" customHeight="1">
      <c r="A714" s="2">
        <v>3.0</v>
      </c>
      <c r="B714" s="2" t="s">
        <v>2048</v>
      </c>
      <c r="C714" s="2" t="s">
        <v>2049</v>
      </c>
      <c r="D714" s="2" t="s">
        <v>176</v>
      </c>
      <c r="E714" s="2" t="s">
        <v>14</v>
      </c>
      <c r="F714" s="2" t="s">
        <v>15</v>
      </c>
      <c r="G714" s="2" t="s">
        <v>2050</v>
      </c>
      <c r="H714" s="2" t="s">
        <v>164</v>
      </c>
      <c r="I714" s="3" t="str">
        <f>IFERROR(__xludf.DUMMYFUNCTION("GOOGLETRANSLATE(C714,""fr"",""en"")"),"I cannot say what and good or not because I have never a claim at home since I have provided that its continues as it. . Conclusion for me I plan to do quotes elsewhere what I have started on this day and to see there is to sacred difference.")</f>
        <v>I cannot say what and good or not because I have never a claim at home since I have provided that its continues as it. . Conclusion for me I plan to do quotes elsewhere what I have started on this day and to see there is to sacred difference.</v>
      </c>
    </row>
    <row r="715" ht="15.75" customHeight="1">
      <c r="A715" s="2">
        <v>5.0</v>
      </c>
      <c r="B715" s="2" t="s">
        <v>2051</v>
      </c>
      <c r="C715" s="2" t="s">
        <v>2052</v>
      </c>
      <c r="D715" s="2" t="s">
        <v>13</v>
      </c>
      <c r="E715" s="2" t="s">
        <v>14</v>
      </c>
      <c r="F715" s="2" t="s">
        <v>15</v>
      </c>
      <c r="G715" s="2" t="s">
        <v>717</v>
      </c>
      <c r="H715" s="2" t="s">
        <v>85</v>
      </c>
      <c r="I715" s="3" t="str">
        <f>IFERROR(__xludf.DUMMYFUNCTION("GOOGLETRANSLATE(C715,""fr"",""en"")"),"Very good care after a break in ice which I have been the victim. Correct franchise and ease of use of the Internet service. This easy support helps a lot when the breakage is coming is not planned.")</f>
        <v>Very good care after a break in ice which I have been the victim. Correct franchise and ease of use of the Internet service. This easy support helps a lot when the breakage is coming is not planned.</v>
      </c>
    </row>
    <row r="716" ht="15.75" customHeight="1">
      <c r="A716" s="2">
        <v>4.0</v>
      </c>
      <c r="B716" s="2" t="s">
        <v>2053</v>
      </c>
      <c r="C716" s="2" t="s">
        <v>2054</v>
      </c>
      <c r="D716" s="2" t="s">
        <v>126</v>
      </c>
      <c r="E716" s="2" t="s">
        <v>127</v>
      </c>
      <c r="F716" s="2" t="s">
        <v>15</v>
      </c>
      <c r="G716" s="2" t="s">
        <v>24</v>
      </c>
      <c r="H716" s="2" t="s">
        <v>25</v>
      </c>
      <c r="I716" s="3" t="str">
        <f>IFERROR(__xludf.DUMMYFUNCTION("GOOGLETRANSLATE(C716,""fr"",""en"")"),"The April Moto site is very easy and simple and quick
quotes are detailed
The advisers answer questions and emails
I am satisfied")</f>
        <v>The April Moto site is very easy and simple and quick
quotes are detailed
The advisers answer questions and emails
I am satisfied</v>
      </c>
    </row>
    <row r="717" ht="15.75" customHeight="1">
      <c r="A717" s="2">
        <v>4.0</v>
      </c>
      <c r="B717" s="2" t="s">
        <v>2055</v>
      </c>
      <c r="C717" s="2" t="s">
        <v>2056</v>
      </c>
      <c r="D717" s="2" t="s">
        <v>48</v>
      </c>
      <c r="E717" s="2" t="s">
        <v>14</v>
      </c>
      <c r="F717" s="2" t="s">
        <v>15</v>
      </c>
      <c r="G717" s="2" t="s">
        <v>369</v>
      </c>
      <c r="H717" s="2" t="s">
        <v>50</v>
      </c>
      <c r="I717" s="3" t="str">
        <f>IFERROR(__xludf.DUMMYFUNCTION("GOOGLETRANSLATE(C717,""fr"",""en"")"),"Affordable price, simple and effective subscription, I am satisfied with the insurance services offered by Direct Insurance. It is the cheapest among all the insurance offered on the internet")</f>
        <v>Affordable price, simple and effective subscription, I am satisfied with the insurance services offered by Direct Insurance. It is the cheapest among all the insurance offered on the internet</v>
      </c>
    </row>
    <row r="718" ht="15.75" customHeight="1">
      <c r="A718" s="2">
        <v>4.0</v>
      </c>
      <c r="B718" s="2" t="s">
        <v>2057</v>
      </c>
      <c r="C718" s="2" t="s">
        <v>2058</v>
      </c>
      <c r="D718" s="2" t="s">
        <v>126</v>
      </c>
      <c r="E718" s="2" t="s">
        <v>127</v>
      </c>
      <c r="F718" s="2" t="s">
        <v>15</v>
      </c>
      <c r="G718" s="2" t="s">
        <v>308</v>
      </c>
      <c r="H718" s="2" t="s">
        <v>89</v>
      </c>
      <c r="I718" s="3" t="str">
        <f>IFERROR(__xludf.DUMMYFUNCTION("GOOGLETRANSLATE(C718,""fr"",""en"")"),"Very easy and very attractive prices, on the other hand it is unbearable to receive several shots of pubs and other EMs ... Deurs after having saved my number on your site.")</f>
        <v>Very easy and very attractive prices, on the other hand it is unbearable to receive several shots of pubs and other EMs ... Deurs after having saved my number on your site.</v>
      </c>
    </row>
    <row r="719" ht="15.75" customHeight="1">
      <c r="A719" s="2">
        <v>1.0</v>
      </c>
      <c r="B719" s="2" t="s">
        <v>2059</v>
      </c>
      <c r="C719" s="2" t="s">
        <v>2060</v>
      </c>
      <c r="D719" s="2" t="s">
        <v>228</v>
      </c>
      <c r="E719" s="2" t="s">
        <v>285</v>
      </c>
      <c r="F719" s="2" t="s">
        <v>15</v>
      </c>
      <c r="G719" s="2" t="s">
        <v>1698</v>
      </c>
      <c r="H719" s="2" t="s">
        <v>612</v>
      </c>
      <c r="I719" s="3" t="str">
        <f>IFERROR(__xludf.DUMMYFUNCTION("GOOGLETRANSLATE(C719,""fr"",""en"")"),"Declaration of a claim 06 2018, 10 months after still no rendering")</f>
        <v>Declaration of a claim 06 2018, 10 months after still no rendering</v>
      </c>
    </row>
    <row r="720" ht="15.75" customHeight="1">
      <c r="A720" s="2">
        <v>1.0</v>
      </c>
      <c r="B720" s="2" t="s">
        <v>2061</v>
      </c>
      <c r="C720" s="2" t="s">
        <v>2062</v>
      </c>
      <c r="D720" s="2" t="s">
        <v>83</v>
      </c>
      <c r="E720" s="2" t="s">
        <v>285</v>
      </c>
      <c r="F720" s="2" t="s">
        <v>15</v>
      </c>
      <c r="G720" s="2" t="s">
        <v>1864</v>
      </c>
      <c r="H720" s="2" t="s">
        <v>468</v>
      </c>
      <c r="I720" s="3" t="str">
        <f>IFERROR(__xludf.DUMMYFUNCTION("GOOGLETRANSLATE(C720,""fr"",""en"")"),"Deplorable customer service. We laugh at the customer. This insurance does everything to drag the compensation files so that customers get bored and give up asserting the application of the insurance contract.")</f>
        <v>Deplorable customer service. We laugh at the customer. This insurance does everything to drag the compensation files so that customers get bored and give up asserting the application of the insurance contract.</v>
      </c>
    </row>
    <row r="721" ht="15.75" customHeight="1">
      <c r="A721" s="2">
        <v>1.0</v>
      </c>
      <c r="B721" s="2" t="s">
        <v>2063</v>
      </c>
      <c r="C721" s="2" t="s">
        <v>2064</v>
      </c>
      <c r="D721" s="2" t="s">
        <v>105</v>
      </c>
      <c r="E721" s="2" t="s">
        <v>38</v>
      </c>
      <c r="F721" s="2" t="s">
        <v>15</v>
      </c>
      <c r="G721" s="2" t="s">
        <v>1649</v>
      </c>
      <c r="H721" s="2" t="s">
        <v>1383</v>
      </c>
      <c r="I721" s="3" t="str">
        <f>IFERROR(__xludf.DUMMYFUNCTION("GOOGLETRANSLATE(C721,""fr"",""en"")"),"My mother has just died very disabled in nursing homes has never been able to benefit from her SAFIR contract, her handicap was insufficient for this contract, you have to become a vegetable. She paid for more than 25 years for nothing. Safir is a money p"&amp;"ump")</f>
        <v>My mother has just died very disabled in nursing homes has never been able to benefit from her SAFIR contract, her handicap was insufficient for this contract, you have to become a vegetable. She paid for more than 25 years for nothing. Safir is a money pump</v>
      </c>
    </row>
    <row r="722" ht="15.75" customHeight="1">
      <c r="A722" s="2">
        <v>4.0</v>
      </c>
      <c r="B722" s="2" t="s">
        <v>2065</v>
      </c>
      <c r="C722" s="2" t="s">
        <v>2066</v>
      </c>
      <c r="D722" s="2" t="s">
        <v>48</v>
      </c>
      <c r="E722" s="2" t="s">
        <v>14</v>
      </c>
      <c r="F722" s="2" t="s">
        <v>15</v>
      </c>
      <c r="G722" s="2" t="s">
        <v>2067</v>
      </c>
      <c r="H722" s="2" t="s">
        <v>25</v>
      </c>
      <c r="I722" s="3" t="str">
        <f>IFERROR(__xludf.DUMMYFUNCTION("GOOGLETRANSLATE(C722,""fr"",""en"")"),"No particular concerns except that the only time I had to contact you the person did not speak very well French which complicated the exchange and as much to tell you that the kindness was not at the rendering -you.")</f>
        <v>No particular concerns except that the only time I had to contact you the person did not speak very well French which complicated the exchange and as much to tell you that the kindness was not at the rendering -you.</v>
      </c>
    </row>
    <row r="723" ht="15.75" customHeight="1">
      <c r="A723" s="2">
        <v>1.0</v>
      </c>
      <c r="B723" s="2" t="s">
        <v>2068</v>
      </c>
      <c r="C723" s="2" t="s">
        <v>2069</v>
      </c>
      <c r="D723" s="2" t="s">
        <v>155</v>
      </c>
      <c r="E723" s="2" t="s">
        <v>14</v>
      </c>
      <c r="F723" s="2" t="s">
        <v>15</v>
      </c>
      <c r="G723" s="2" t="s">
        <v>2070</v>
      </c>
      <c r="H723" s="2" t="s">
        <v>173</v>
      </c>
      <c r="I723" s="3" t="str">
        <f>IFERROR(__xludf.DUMMYFUNCTION("GOOGLETRANSLATE(C723,""fr"",""en"")"),"accident has been arrived for 4 months, still not completely compensated, they say that they will be paid and then we must remember and you have to feed on their designing")</f>
        <v>accident has been arrived for 4 months, still not completely compensated, they say that they will be paid and then we must remember and you have to feed on their designing</v>
      </c>
    </row>
    <row r="724" ht="15.75" customHeight="1">
      <c r="A724" s="2">
        <v>4.0</v>
      </c>
      <c r="B724" s="2" t="s">
        <v>2071</v>
      </c>
      <c r="C724" s="2" t="s">
        <v>2072</v>
      </c>
      <c r="D724" s="2" t="s">
        <v>92</v>
      </c>
      <c r="E724" s="2" t="s">
        <v>44</v>
      </c>
      <c r="F724" s="2" t="s">
        <v>15</v>
      </c>
      <c r="G724" s="2" t="s">
        <v>2073</v>
      </c>
      <c r="H724" s="2" t="s">
        <v>635</v>
      </c>
      <c r="I724" s="3" t="str">
        <f>IFERROR(__xludf.DUMMYFUNCTION("GOOGLETRANSLATE(C724,""fr"",""en"")"),"Mutual Recommendable! It should not be forgotten that this organization reimburses medical costs but also ensures the additional salary, protects if one meets a delicate situation (disability, dependence). And for my part, I have nothing to complain about"&amp;" the advisers always listening.")</f>
        <v>Mutual Recommendable! It should not be forgotten that this organization reimburses medical costs but also ensures the additional salary, protects if one meets a delicate situation (disability, dependence). And for my part, I have nothing to complain about the advisers always listening.</v>
      </c>
    </row>
    <row r="725" ht="15.75" customHeight="1">
      <c r="A725" s="2">
        <v>2.0</v>
      </c>
      <c r="B725" s="2" t="s">
        <v>2074</v>
      </c>
      <c r="C725" s="2" t="s">
        <v>2075</v>
      </c>
      <c r="D725" s="2" t="s">
        <v>319</v>
      </c>
      <c r="E725" s="2" t="s">
        <v>285</v>
      </c>
      <c r="F725" s="2" t="s">
        <v>15</v>
      </c>
      <c r="G725" s="2" t="s">
        <v>1090</v>
      </c>
      <c r="H725" s="2" t="s">
        <v>40</v>
      </c>
      <c r="I725" s="3" t="str">
        <f>IFERROR(__xludf.DUMMYFUNCTION("GOOGLETRANSLATE(C725,""fr"",""en"")"),"The troubles start when you have a disaster: never in the warranty. A platform formed to retort that you are not guaranteed. A not funny sketch. Ex. DS The framework of a PNO: ""No your garage door (part of it seems good guaranteed ...) damaged is not gua"&amp;"ranteed"": in good faith, we fall from the naked ...")</f>
        <v>The troubles start when you have a disaster: never in the warranty. A platform formed to retort that you are not guaranteed. A not funny sketch. Ex. DS The framework of a PNO: "No your garage door (part of it seems good guaranteed ...) damaged is not guaranteed": in good faith, we fall from the naked ...</v>
      </c>
    </row>
    <row r="726" ht="15.75" customHeight="1">
      <c r="A726" s="2">
        <v>1.0</v>
      </c>
      <c r="B726" s="2" t="s">
        <v>2076</v>
      </c>
      <c r="C726" s="2" t="s">
        <v>2077</v>
      </c>
      <c r="D726" s="2" t="s">
        <v>102</v>
      </c>
      <c r="E726" s="2" t="s">
        <v>14</v>
      </c>
      <c r="F726" s="2" t="s">
        <v>15</v>
      </c>
      <c r="G726" s="2" t="s">
        <v>714</v>
      </c>
      <c r="H726" s="2" t="s">
        <v>298</v>
      </c>
      <c r="I726" s="3" t="str">
        <f>IFERROR(__xludf.DUMMYFUNCTION("GOOGLETRANSLATE(C726,""fr"",""en"")"),"I strongly advise against. I am a longtime client and they do not hesitate to put sticks in the wheels and treat you as a number. They do nothing to make matters worse. Very disappointing. And the telephone reception, I am not even talking about it. Flee "&amp;"this insurance")</f>
        <v>I strongly advise against. I am a longtime client and they do not hesitate to put sticks in the wheels and treat you as a number. They do nothing to make matters worse. Very disappointing. And the telephone reception, I am not even talking about it. Flee this insurance</v>
      </c>
    </row>
    <row r="727" ht="15.75" customHeight="1">
      <c r="A727" s="2">
        <v>3.0</v>
      </c>
      <c r="B727" s="2" t="s">
        <v>2078</v>
      </c>
      <c r="C727" s="2" t="s">
        <v>2079</v>
      </c>
      <c r="D727" s="2" t="s">
        <v>126</v>
      </c>
      <c r="E727" s="2" t="s">
        <v>127</v>
      </c>
      <c r="F727" s="2" t="s">
        <v>15</v>
      </c>
      <c r="G727" s="2" t="s">
        <v>2080</v>
      </c>
      <c r="H727" s="2" t="s">
        <v>29</v>
      </c>
      <c r="I727" s="3" t="str">
        <f>IFERROR(__xludf.DUMMYFUNCTION("GOOGLETRANSLATE(C727,""fr"",""en"")"),"Satisfied with the price despite that now he has better, but good customer with them for almost 20 years .....
On the other hand, customer service declines from year to year, not necessarily from humans behind the phone.")</f>
        <v>Satisfied with the price despite that now he has better, but good customer with them for almost 20 years .....
On the other hand, customer service declines from year to year, not necessarily from humans behind the phone.</v>
      </c>
    </row>
    <row r="728" ht="15.75" customHeight="1">
      <c r="A728" s="2">
        <v>5.0</v>
      </c>
      <c r="B728" s="2" t="s">
        <v>2081</v>
      </c>
      <c r="C728" s="2" t="s">
        <v>2082</v>
      </c>
      <c r="D728" s="2" t="s">
        <v>330</v>
      </c>
      <c r="E728" s="2" t="s">
        <v>44</v>
      </c>
      <c r="F728" s="2" t="s">
        <v>15</v>
      </c>
      <c r="G728" s="2" t="s">
        <v>2083</v>
      </c>
      <c r="H728" s="2" t="s">
        <v>67</v>
      </c>
      <c r="I728" s="3" t="str">
        <f>IFERROR(__xludf.DUMMYFUNCTION("GOOGLETRANSLATE(C728,""fr"",""en"")"),"Listening, fast and efficient customer service. Advisers fully identify our requests and respond easily and quickly. The contributions are correct as well as the reimbursements!")</f>
        <v>Listening, fast and efficient customer service. Advisers fully identify our requests and respond easily and quickly. The contributions are correct as well as the reimbursements!</v>
      </c>
    </row>
    <row r="729" ht="15.75" customHeight="1">
      <c r="A729" s="2">
        <v>1.0</v>
      </c>
      <c r="B729" s="2" t="s">
        <v>2084</v>
      </c>
      <c r="C729" s="2" t="s">
        <v>2085</v>
      </c>
      <c r="D729" s="2" t="s">
        <v>48</v>
      </c>
      <c r="E729" s="2" t="s">
        <v>14</v>
      </c>
      <c r="F729" s="2" t="s">
        <v>15</v>
      </c>
      <c r="G729" s="2" t="s">
        <v>1721</v>
      </c>
      <c r="H729" s="2" t="s">
        <v>60</v>
      </c>
      <c r="I729" s="3" t="str">
        <f>IFERROR(__xludf.DUMMYFUNCTION("GOOGLETRANSLATE(C729,""fr"",""en"")"),"The worst ensure, not only did they not want to repair my car despite everything all the rissue ensures they qualified 100 % responsible parking accident and the right customer 085 I go to the penalty 1.15 Customer satisfaction Zero")</f>
        <v>The worst ensure, not only did they not want to repair my car despite everything all the rissue ensures they qualified 100 % responsible parking accident and the right customer 085 I go to the penalty 1.15 Customer satisfaction Zero</v>
      </c>
    </row>
    <row r="730" ht="15.75" customHeight="1">
      <c r="A730" s="2">
        <v>1.0</v>
      </c>
      <c r="B730" s="2" t="s">
        <v>2086</v>
      </c>
      <c r="C730" s="2" t="s">
        <v>2087</v>
      </c>
      <c r="D730" s="2" t="s">
        <v>48</v>
      </c>
      <c r="E730" s="2" t="s">
        <v>14</v>
      </c>
      <c r="F730" s="2" t="s">
        <v>15</v>
      </c>
      <c r="G730" s="2" t="s">
        <v>2088</v>
      </c>
      <c r="H730" s="2" t="s">
        <v>185</v>
      </c>
      <c r="I730" s="3" t="str">
        <f>IFERROR(__xludf.DUMMYFUNCTION("GOOGLETRANSLATE(C730,""fr"",""en"")"),"Strongly not recommended. Does not respect the quotes issued and following my refusal does not reimburse the funds paid in proportion. I had to insist to be reimbursed and for 2 days of insurance, 0.5 % they reimbursed me only 90 % of the sum. To avoid.")</f>
        <v>Strongly not recommended. Does not respect the quotes issued and following my refusal does not reimburse the funds paid in proportion. I had to insist to be reimbursed and for 2 days of insurance, 0.5 % they reimbursed me only 90 % of the sum. To avoid.</v>
      </c>
    </row>
    <row r="731" ht="15.75" customHeight="1">
      <c r="A731" s="2">
        <v>3.0</v>
      </c>
      <c r="B731" s="2" t="s">
        <v>2089</v>
      </c>
      <c r="C731" s="2" t="s">
        <v>2090</v>
      </c>
      <c r="D731" s="2" t="s">
        <v>48</v>
      </c>
      <c r="E731" s="2" t="s">
        <v>14</v>
      </c>
      <c r="F731" s="2" t="s">
        <v>15</v>
      </c>
      <c r="G731" s="2" t="s">
        <v>2091</v>
      </c>
      <c r="H731" s="2" t="s">
        <v>628</v>
      </c>
      <c r="I731" s="3" t="str">
        <f>IFERROR(__xludf.DUMMYFUNCTION("GOOGLETRANSLATE(C731,""fr"",""en"")"),"If you want legal coverage at the best price, it's perfect. If you want to be defended, get a piece of advice or provide an additional vehicle, forget: you are not answered if written request on the personal space and you are refused an email if you join "&amp;"an advisor by phone. Here. You must know it.")</f>
        <v>If you want legal coverage at the best price, it's perfect. If you want to be defended, get a piece of advice or provide an additional vehicle, forget: you are not answered if written request on the personal space and you are refused an email if you join an advisor by phone. Here. You must know it.</v>
      </c>
    </row>
    <row r="732" ht="15.75" customHeight="1">
      <c r="A732" s="2">
        <v>4.0</v>
      </c>
      <c r="B732" s="2" t="s">
        <v>2092</v>
      </c>
      <c r="C732" s="2" t="s">
        <v>2093</v>
      </c>
      <c r="D732" s="2" t="s">
        <v>13</v>
      </c>
      <c r="E732" s="2" t="s">
        <v>14</v>
      </c>
      <c r="F732" s="2" t="s">
        <v>15</v>
      </c>
      <c r="G732" s="2" t="s">
        <v>136</v>
      </c>
      <c r="H732" s="2" t="s">
        <v>89</v>
      </c>
      <c r="I732" s="3" t="str">
        <f>IFERROR(__xludf.DUMMYFUNCTION("GOOGLETRANSLATE(C732,""fr"",""en"")"),"Satisfied with customer relations and the explanations necessary for the subscription of the quote for automotive insurance. The offer is interesting on commitments/")</f>
        <v>Satisfied with customer relations and the explanations necessary for the subscription of the quote for automotive insurance. The offer is interesting on commitments/</v>
      </c>
    </row>
    <row r="733" ht="15.75" customHeight="1">
      <c r="A733" s="2">
        <v>1.0</v>
      </c>
      <c r="B733" s="2" t="s">
        <v>2094</v>
      </c>
      <c r="C733" s="2" t="s">
        <v>2095</v>
      </c>
      <c r="D733" s="2" t="s">
        <v>48</v>
      </c>
      <c r="E733" s="2" t="s">
        <v>14</v>
      </c>
      <c r="F733" s="2" t="s">
        <v>15</v>
      </c>
      <c r="G733" s="2" t="s">
        <v>2096</v>
      </c>
      <c r="H733" s="2" t="s">
        <v>189</v>
      </c>
      <c r="I733" s="3" t="str">
        <f>IFERROR(__xludf.DUMMYFUNCTION("GOOGLETRANSLATE(C733,""fr"",""en"")"),"Certainly insurance that aims to be the lowest, at least the first year to captivate new customers. Indeed, the first year is interesting, then the second year, +17%, the third year 21% and that without ever having accidents! Suddenly, I have terminated f"&amp;"or the principle because no commercial call despite my request to know the reason and negotiate the price. To avoid !")</f>
        <v>Certainly insurance that aims to be the lowest, at least the first year to captivate new customers. Indeed, the first year is interesting, then the second year, +17%, the third year 21% and that without ever having accidents! Suddenly, I have terminated for the principle because no commercial call despite my request to know the reason and negotiate the price. To avoid !</v>
      </c>
    </row>
    <row r="734" ht="15.75" customHeight="1">
      <c r="A734" s="2">
        <v>5.0</v>
      </c>
      <c r="B734" s="2" t="s">
        <v>2097</v>
      </c>
      <c r="C734" s="2" t="s">
        <v>2098</v>
      </c>
      <c r="D734" s="2" t="s">
        <v>372</v>
      </c>
      <c r="E734" s="2" t="s">
        <v>127</v>
      </c>
      <c r="F734" s="2" t="s">
        <v>15</v>
      </c>
      <c r="G734" s="2" t="s">
        <v>1555</v>
      </c>
      <c r="H734" s="2" t="s">
        <v>99</v>
      </c>
      <c r="I734" s="3" t="str">
        <f>IFERROR(__xludf.DUMMYFUNCTION("GOOGLETRANSLATE(C734,""fr"",""en"")"),"At the start always suspicious of online insurance (suspicion probably linked to my age), I must admit that I was pleasantly surprised by the quality of telephone exchanges with the employees of this insurance company. In particular, I was able to appreci"&amp;"ate the professionalism, the responsiveness and the kindness of my interlocutors. Regarding my insurance contract itself, the possibility of modulating it according to the period (we pilot its motorcycle less in winter which remains most often in the gara"&amp;"ge during this period) is a significant advantage. The prices are in any case very correct.")</f>
        <v>At the start always suspicious of online insurance (suspicion probably linked to my age), I must admit that I was pleasantly surprised by the quality of telephone exchanges with the employees of this insurance company. In particular, I was able to appreciate the professionalism, the responsiveness and the kindness of my interlocutors. Regarding my insurance contract itself, the possibility of modulating it according to the period (we pilot its motorcycle less in winter which remains most often in the garage during this period) is a significant advantage. The prices are in any case very correct.</v>
      </c>
    </row>
    <row r="735" ht="15.75" customHeight="1">
      <c r="A735" s="2">
        <v>1.0</v>
      </c>
      <c r="B735" s="2" t="s">
        <v>2099</v>
      </c>
      <c r="C735" s="2" t="s">
        <v>2100</v>
      </c>
      <c r="D735" s="2" t="s">
        <v>176</v>
      </c>
      <c r="E735" s="2" t="s">
        <v>14</v>
      </c>
      <c r="F735" s="2" t="s">
        <v>15</v>
      </c>
      <c r="G735" s="2" t="s">
        <v>2101</v>
      </c>
      <c r="H735" s="2" t="s">
        <v>94</v>
      </c>
      <c r="I735" s="3" t="str">
        <f>IFERROR(__xludf.DUMMYFUNCTION("GOOGLETRANSLATE(C735,""fr"",""en"")"),"I have been in the Macif for 2 years and I had an accident that was not my fault. Today I will find myself unemployed because they refuse to send me a dated document certifying the resumption of my vehicle that my employer asks me. In addition on the phon"&amp;"e, they tell you before departure that the fuel costs are your responsibility and on the return they ask you for the supporting documents !! If I lose my job I change insurer immediately. This is the fact that I ask them for this document they answer me e"&amp;"very time they have a lot to do (me too) and if you politely insist they just hang up on the nose! A lack of seriousness and a big one I get away with the clients' Egard.")</f>
        <v>I have been in the Macif for 2 years and I had an accident that was not my fault. Today I will find myself unemployed because they refuse to send me a dated document certifying the resumption of my vehicle that my employer asks me. In addition on the phone, they tell you before departure that the fuel costs are your responsibility and on the return they ask you for the supporting documents !! If I lose my job I change insurer immediately. This is the fact that I ask them for this document they answer me every time they have a lot to do (me too) and if you politely insist they just hang up on the nose! A lack of seriousness and a big one I get away with the clients' Egard.</v>
      </c>
    </row>
    <row r="736" ht="15.75" customHeight="1">
      <c r="A736" s="2">
        <v>1.0</v>
      </c>
      <c r="B736" s="2" t="s">
        <v>2102</v>
      </c>
      <c r="C736" s="2" t="s">
        <v>2103</v>
      </c>
      <c r="D736" s="2" t="s">
        <v>121</v>
      </c>
      <c r="E736" s="2" t="s">
        <v>285</v>
      </c>
      <c r="F736" s="2" t="s">
        <v>15</v>
      </c>
      <c r="G736" s="2" t="s">
        <v>1708</v>
      </c>
      <c r="H736" s="2" t="s">
        <v>21</v>
      </c>
      <c r="I736" s="3" t="str">
        <f>IFERROR(__xludf.DUMMYFUNCTION("GOOGLETRANSLATE(C736,""fr"",""en"")"),"Maifice was an attractive organism a few years ago.
The files were processed with humanity, confidence reigned between the member and his delegation.
Unfortunately, this is no longer the case today despite all the advertisements that run.
")</f>
        <v>Maifice was an attractive organism a few years ago.
The files were processed with humanity, confidence reigned between the member and his delegation.
Unfortunately, this is no longer the case today despite all the advertisements that run.
</v>
      </c>
    </row>
    <row r="737" ht="15.75" customHeight="1">
      <c r="A737" s="2">
        <v>5.0</v>
      </c>
      <c r="B737" s="2" t="s">
        <v>2104</v>
      </c>
      <c r="C737" s="2" t="s">
        <v>2105</v>
      </c>
      <c r="D737" s="2" t="s">
        <v>126</v>
      </c>
      <c r="E737" s="2" t="s">
        <v>127</v>
      </c>
      <c r="F737" s="2" t="s">
        <v>15</v>
      </c>
      <c r="G737" s="2" t="s">
        <v>981</v>
      </c>
      <c r="H737" s="2" t="s">
        <v>21</v>
      </c>
      <c r="I737" s="3" t="str">
        <f>IFERROR(__xludf.DUMMYFUNCTION("GOOGLETRANSLATE(C737,""fr"",""en"")"),"Very satisfied with the April service I will recommend quick and effective the prices are reasonable and the request is effective site very clear and well explained")</f>
        <v>Very satisfied with the April service I will recommend quick and effective the prices are reasonable and the request is effective site very clear and well explained</v>
      </c>
    </row>
    <row r="738" ht="15.75" customHeight="1">
      <c r="A738" s="2">
        <v>2.0</v>
      </c>
      <c r="B738" s="2" t="s">
        <v>2106</v>
      </c>
      <c r="C738" s="2" t="s">
        <v>2107</v>
      </c>
      <c r="D738" s="2" t="s">
        <v>155</v>
      </c>
      <c r="E738" s="2" t="s">
        <v>14</v>
      </c>
      <c r="F738" s="2" t="s">
        <v>15</v>
      </c>
      <c r="G738" s="2" t="s">
        <v>2108</v>
      </c>
      <c r="H738" s="2" t="s">
        <v>164</v>
      </c>
      <c r="I738" s="3" t="str">
        <f>IFERROR(__xludf.DUMMYFUNCTION("GOOGLETRANSLATE(C738,""fr"",""en"")"),"Horrible !!!! I have just taken out a car contract with them, to finalize this one we must send documents (so far everything is normal)
However, it has been a month since I send multiple emails and calls to provide your documents and no response, the ema"&amp;"ils end up being received by Allianz because the mailboxes are saturated (automatic return indicating that there is no more room to provide Our email)
By phone I am told everything is ok, the next day I receive an email to tell me your file is not comple"&amp;"te, ""be careful you will lose the 3 months of insurance paid if you do not provide the documents"" I refer the documents and the The next day it starts again with a different person. And by phone it's the same!
No file follow -up, no customer service, I"&amp;" do not understand that a company can turn by functioning like that ... what a great error to subscribe to them! And again for the moment I just want to finish my subscription, that it will be when I have a disaster ...")</f>
        <v>Horrible !!!! I have just taken out a car contract with them, to finalize this one we must send documents (so far everything is normal)
However, it has been a month since I send multiple emails and calls to provide your documents and no response, the emails end up being received by Allianz because the mailboxes are saturated (automatic return indicating that there is no more room to provide Our email)
By phone I am told everything is ok, the next day I receive an email to tell me your file is not complete, "be careful you will lose the 3 months of insurance paid if you do not provide the documents" I refer the documents and the The next day it starts again with a different person. And by phone it's the same!
No file follow -up, no customer service, I do not understand that a company can turn by functioning like that ... what a great error to subscribe to them! And again for the moment I just want to finish my subscription, that it will be when I have a disaster ...</v>
      </c>
    </row>
    <row r="739" ht="15.75" customHeight="1">
      <c r="A739" s="2">
        <v>5.0</v>
      </c>
      <c r="B739" s="2" t="s">
        <v>2109</v>
      </c>
      <c r="C739" s="2" t="s">
        <v>2110</v>
      </c>
      <c r="D739" s="2" t="s">
        <v>135</v>
      </c>
      <c r="E739" s="2" t="s">
        <v>44</v>
      </c>
      <c r="F739" s="2" t="s">
        <v>15</v>
      </c>
      <c r="G739" s="2" t="s">
        <v>2111</v>
      </c>
      <c r="H739" s="2" t="s">
        <v>211</v>
      </c>
      <c r="I739" s="3" t="str">
        <f>IFERROR(__xludf.DUMMYFUNCTION("GOOGLETRANSLATE(C739,""fr"",""en"")"),"It is a well -organized organization, I have been saddinherent since January 1, 2015 and they are able to provide quality service while changing the tools made available to us. A start -up that lives with its time I imagine.")</f>
        <v>It is a well -organized organization, I have been saddinherent since January 1, 2015 and they are able to provide quality service while changing the tools made available to us. A start -up that lives with its time I imagine.</v>
      </c>
    </row>
    <row r="740" ht="15.75" customHeight="1">
      <c r="A740" s="2">
        <v>3.0</v>
      </c>
      <c r="B740" s="2" t="s">
        <v>2112</v>
      </c>
      <c r="C740" s="2" t="s">
        <v>2113</v>
      </c>
      <c r="D740" s="2" t="s">
        <v>13</v>
      </c>
      <c r="E740" s="2" t="s">
        <v>14</v>
      </c>
      <c r="F740" s="2" t="s">
        <v>15</v>
      </c>
      <c r="G740" s="2" t="s">
        <v>1798</v>
      </c>
      <c r="H740" s="2" t="s">
        <v>50</v>
      </c>
      <c r="I740" s="3" t="str">
        <f>IFERROR(__xludf.DUMMYFUNCTION("GOOGLETRANSLATE(C740,""fr"",""en"")"),"I can be satisfied I have two cars insured here but the monthly payments are expensive for two cars
In addition, it has been more than a year that I am assured")</f>
        <v>I can be satisfied I have two cars insured here but the monthly payments are expensive for two cars
In addition, it has been more than a year that I am assured</v>
      </c>
    </row>
    <row r="741" ht="15.75" customHeight="1">
      <c r="A741" s="2">
        <v>4.0</v>
      </c>
      <c r="B741" s="2" t="s">
        <v>2114</v>
      </c>
      <c r="C741" s="2" t="s">
        <v>2115</v>
      </c>
      <c r="D741" s="2" t="s">
        <v>48</v>
      </c>
      <c r="E741" s="2" t="s">
        <v>14</v>
      </c>
      <c r="F741" s="2" t="s">
        <v>15</v>
      </c>
      <c r="G741" s="2" t="s">
        <v>1241</v>
      </c>
      <c r="H741" s="2" t="s">
        <v>50</v>
      </c>
      <c r="I741" s="3" t="str">
        <f>IFERROR(__xludf.DUMMYFUNCTION("GOOGLETRANSLATE(C741,""fr"",""en"")"),"Satisfied everything went well
And prices suit me
 Satisfied everything went well
And prices suit me
Satisfied everything went well
And prices suit me")</f>
        <v>Satisfied everything went well
And prices suit me
 Satisfied everything went well
And prices suit me
Satisfied everything went well
And prices suit me</v>
      </c>
    </row>
    <row r="742" ht="15.75" customHeight="1">
      <c r="A742" s="2">
        <v>5.0</v>
      </c>
      <c r="B742" s="2" t="s">
        <v>2116</v>
      </c>
      <c r="C742" s="2" t="s">
        <v>2117</v>
      </c>
      <c r="D742" s="2" t="s">
        <v>126</v>
      </c>
      <c r="E742" s="2" t="s">
        <v>127</v>
      </c>
      <c r="F742" s="2" t="s">
        <v>15</v>
      </c>
      <c r="G742" s="2" t="s">
        <v>2118</v>
      </c>
      <c r="H742" s="2" t="s">
        <v>17</v>
      </c>
      <c r="I742" s="3" t="str">
        <f>IFERROR(__xludf.DUMMYFUNCTION("GOOGLETRANSLATE(C742,""fr"",""en"")"),"I was convinced of this insurance by the attractive price. The procedures to ensure the vehicle are very simple and fast. I was contacted by phone to clear up on the details of the offer.
I am satisfied with the price and the service offered.")</f>
        <v>I was convinced of this insurance by the attractive price. The procedures to ensure the vehicle are very simple and fast. I was contacted by phone to clear up on the details of the offer.
I am satisfied with the price and the service offered.</v>
      </c>
    </row>
    <row r="743" ht="15.75" customHeight="1">
      <c r="A743" s="2">
        <v>5.0</v>
      </c>
      <c r="B743" s="2" t="s">
        <v>2119</v>
      </c>
      <c r="C743" s="2" t="s">
        <v>2120</v>
      </c>
      <c r="D743" s="2" t="s">
        <v>372</v>
      </c>
      <c r="E743" s="2" t="s">
        <v>127</v>
      </c>
      <c r="F743" s="2" t="s">
        <v>15</v>
      </c>
      <c r="G743" s="2" t="s">
        <v>1994</v>
      </c>
      <c r="H743" s="2" t="s">
        <v>29</v>
      </c>
      <c r="I743" s="3" t="str">
        <f>IFERROR(__xludf.DUMMYFUNCTION("GOOGLETRANSLATE(C743,""fr"",""en"")"),"I am satisfied with the price and the options offered. It would be nice to make a special price for professional motorcyclists such as gendarmerie/police or exceptional convoy bikers")</f>
        <v>I am satisfied with the price and the options offered. It would be nice to make a special price for professional motorcyclists such as gendarmerie/police or exceptional convoy bikers</v>
      </c>
    </row>
    <row r="744" ht="15.75" customHeight="1">
      <c r="A744" s="2">
        <v>1.0</v>
      </c>
      <c r="B744" s="2" t="s">
        <v>2121</v>
      </c>
      <c r="C744" s="2" t="s">
        <v>2122</v>
      </c>
      <c r="D744" s="2" t="s">
        <v>155</v>
      </c>
      <c r="E744" s="2" t="s">
        <v>14</v>
      </c>
      <c r="F744" s="2" t="s">
        <v>15</v>
      </c>
      <c r="G744" s="2" t="s">
        <v>777</v>
      </c>
      <c r="H744" s="2" t="s">
        <v>89</v>
      </c>
      <c r="I744" s="3" t="str">
        <f>IFERROR(__xludf.DUMMYFUNCTION("GOOGLETRANSLATE(C744,""fr"",""en"")"),"A disaster impossible to reach
No sinister termination following better covered and cheaper contract by Hamon law impossible to join a contract advisor transfer from Eallianz to Allianz Connection impossible on the site and telephone still pending and ha"&amp;"ngs big time to flee")</f>
        <v>A disaster impossible to reach
No sinister termination following better covered and cheaper contract by Hamon law impossible to join a contract advisor transfer from Eallianz to Allianz Connection impossible on the site and telephone still pending and hangs big time to flee</v>
      </c>
    </row>
    <row r="745" ht="15.75" customHeight="1">
      <c r="A745" s="2">
        <v>2.0</v>
      </c>
      <c r="B745" s="2" t="s">
        <v>2123</v>
      </c>
      <c r="C745" s="2" t="s">
        <v>2124</v>
      </c>
      <c r="D745" s="2" t="s">
        <v>228</v>
      </c>
      <c r="E745" s="2" t="s">
        <v>127</v>
      </c>
      <c r="F745" s="2" t="s">
        <v>15</v>
      </c>
      <c r="G745" s="2" t="s">
        <v>2125</v>
      </c>
      <c r="H745" s="2" t="s">
        <v>25</v>
      </c>
      <c r="I745" s="3" t="str">
        <f>IFERROR(__xludf.DUMMYFUNCTION("GOOGLETRANSLATE(C745,""fr"",""en"")"),"I cannot say anything about the speed of reimbursement, because I did not have an accident. On the other hand the price increases too much: an example on the last request, adding ""regulatory"" taxes in contribution to the attacks of 25.81 €, a shame !! 1"&amp;") Motorcycle insurance
                                                                             2) Insurers have done, thanks to the super profit covid.
                                                                             3) When you need af"&amp;"ter years to pay, there is no one left (valid for many insurers).
Changed to AMV, see in the long term.
I do not want to receive advertising and other email on my email. Delete my account: Thank you.")</f>
        <v>I cannot say anything about the speed of reimbursement, because I did not have an accident. On the other hand the price increases too much: an example on the last request, adding "regulatory" taxes in contribution to the attacks of 25.81 €, a shame !! 1) Motorcycle insurance
                                                                             2) Insurers have done, thanks to the super profit covid.
                                                                             3) When you need after years to pay, there is no one left (valid for many insurers).
Changed to AMV, see in the long term.
I do not want to receive advertising and other email on my email. Delete my account: Thank you.</v>
      </c>
    </row>
    <row r="746" ht="15.75" customHeight="1">
      <c r="A746" s="2">
        <v>5.0</v>
      </c>
      <c r="B746" s="2" t="s">
        <v>2126</v>
      </c>
      <c r="C746" s="2" t="s">
        <v>2127</v>
      </c>
      <c r="D746" s="2" t="s">
        <v>126</v>
      </c>
      <c r="E746" s="2" t="s">
        <v>127</v>
      </c>
      <c r="F746" s="2" t="s">
        <v>15</v>
      </c>
      <c r="G746" s="2" t="s">
        <v>1821</v>
      </c>
      <c r="H746" s="2" t="s">
        <v>99</v>
      </c>
      <c r="I746" s="3" t="str">
        <f>IFERROR(__xludf.DUMMYFUNCTION("GOOGLETRANSLATE(C746,""fr"",""en"")"),"I am very satisfied with the prices I highly recommend this insurance you can go there close insurance near profesionelle Quick quote.")</f>
        <v>I am very satisfied with the prices I highly recommend this insurance you can go there close insurance near profesionelle Quick quote.</v>
      </c>
    </row>
    <row r="747" ht="15.75" customHeight="1">
      <c r="A747" s="2">
        <v>3.0</v>
      </c>
      <c r="B747" s="2" t="s">
        <v>2128</v>
      </c>
      <c r="C747" s="2" t="s">
        <v>2129</v>
      </c>
      <c r="D747" s="2" t="s">
        <v>228</v>
      </c>
      <c r="E747" s="2" t="s">
        <v>33</v>
      </c>
      <c r="F747" s="2" t="s">
        <v>15</v>
      </c>
      <c r="G747" s="2" t="s">
        <v>24</v>
      </c>
      <c r="H747" s="2" t="s">
        <v>25</v>
      </c>
      <c r="I747" s="3" t="str">
        <f>IFERROR(__xludf.DUMMYFUNCTION("GOOGLETRANSLATE(C747,""fr"",""en"")"),"On the advice of my agent AXA, I replaced on March 16 my old Libretto contract subscribed in 1993 by a perpetiv'piano contract much more interesting according to my agent.
To date, I have no news on my new contract despite several reminders at my agent.
"&amp;"
I ask myself questions about the seriousness of Axa Vie.")</f>
        <v>On the advice of my agent AXA, I replaced on March 16 my old Libretto contract subscribed in 1993 by a perpetiv'piano contract much more interesting according to my agent.
To date, I have no news on my new contract despite several reminders at my agent.
I ask myself questions about the seriousness of Axa Vie.</v>
      </c>
    </row>
    <row r="748" ht="15.75" customHeight="1">
      <c r="A748" s="2">
        <v>5.0</v>
      </c>
      <c r="B748" s="2" t="s">
        <v>2130</v>
      </c>
      <c r="C748" s="2" t="s">
        <v>2131</v>
      </c>
      <c r="D748" s="2" t="s">
        <v>372</v>
      </c>
      <c r="E748" s="2" t="s">
        <v>127</v>
      </c>
      <c r="F748" s="2" t="s">
        <v>15</v>
      </c>
      <c r="G748" s="2" t="s">
        <v>1652</v>
      </c>
      <c r="H748" s="2" t="s">
        <v>900</v>
      </c>
      <c r="I748" s="3" t="str">
        <f>IFERROR(__xludf.DUMMYFUNCTION("GOOGLETRANSLATE(C748,""fr"",""en"")"),"It's been a lot of years that we have been at a m v ​​everything has always gone very well without counting that value for money there is really nothing to say and in such they are very kind and do what was not agreed need to remind them")</f>
        <v>It's been a lot of years that we have been at a m v ​​everything has always gone very well without counting that value for money there is really nothing to say and in such they are very kind and do what was not agreed need to remind them</v>
      </c>
    </row>
    <row r="749" ht="15.75" customHeight="1">
      <c r="A749" s="2">
        <v>4.0</v>
      </c>
      <c r="B749" s="2" t="s">
        <v>2132</v>
      </c>
      <c r="C749" s="2" t="s">
        <v>2133</v>
      </c>
      <c r="D749" s="2" t="s">
        <v>48</v>
      </c>
      <c r="E749" s="2" t="s">
        <v>14</v>
      </c>
      <c r="F749" s="2" t="s">
        <v>15</v>
      </c>
      <c r="G749" s="2" t="s">
        <v>706</v>
      </c>
      <c r="H749" s="2" t="s">
        <v>67</v>
      </c>
      <c r="I749" s="3" t="str">
        <f>IFERROR(__xludf.DUMMYFUNCTION("GOOGLETRANSLATE(C749,""fr"",""en"")"),"Best offer available today. Customer service responds online. Promotional offer a little long to unlock. Very kind online advisor and good file follow -up")</f>
        <v>Best offer available today. Customer service responds online. Promotional offer a little long to unlock. Very kind online advisor and good file follow -up</v>
      </c>
    </row>
    <row r="750" ht="15.75" customHeight="1">
      <c r="A750" s="2">
        <v>1.0</v>
      </c>
      <c r="B750" s="2" t="s">
        <v>2134</v>
      </c>
      <c r="C750" s="2" t="s">
        <v>2135</v>
      </c>
      <c r="D750" s="2" t="s">
        <v>121</v>
      </c>
      <c r="E750" s="2" t="s">
        <v>14</v>
      </c>
      <c r="F750" s="2" t="s">
        <v>15</v>
      </c>
      <c r="G750" s="2" t="s">
        <v>2136</v>
      </c>
      <c r="H750" s="2" t="s">
        <v>80</v>
      </c>
      <c r="I750" s="3" t="str">
        <f>IFERROR(__xludf.DUMMYFUNCTION("GOOGLETRANSLATE(C750,""fr"",""en"")"),"Be careful do not have to have never subscribed to this insurance if you are fleeing there as quickly as possible we burned my vehicle on January 27, it ensures fast management but these not the case of all they drag the file A maximum first of all in ter"&amp;"ms of the expertise of the vehicle, it was until making oil analysis in the laboratory after seeing that my vehicle was well maintained it asks me to justify how I buy my vehicle knowing which costs no more than € 6,500 on the walk they drag the case by s"&amp;"aying that it obliges to ask according to the law while after putting in a law firm he certify that this law does not concern that the large sums suspect and that there in this case these authorize by law, in short I am no choice but to take a lawyer at m"&amp;"y expense to solve the problem, they all do not reimburse you in asking for documents that do not ask Do not get fooled")</f>
        <v>Be careful do not have to have never subscribed to this insurance if you are fleeing there as quickly as possible we burned my vehicle on January 27, it ensures fast management but these not the case of all they drag the file A maximum first of all in terms of the expertise of the vehicle, it was until making oil analysis in the laboratory after seeing that my vehicle was well maintained it asks me to justify how I buy my vehicle knowing which costs no more than € 6,500 on the walk they drag the case by saying that it obliges to ask according to the law while after putting in a law firm he certify that this law does not concern that the large sums suspect and that there in this case these authorize by law, in short I am no choice but to take a lawyer at my expense to solve the problem, they all do not reimburse you in asking for documents that do not ask Do not get fooled</v>
      </c>
    </row>
    <row r="751" ht="15.75" customHeight="1">
      <c r="A751" s="2">
        <v>4.0</v>
      </c>
      <c r="B751" s="2" t="s">
        <v>2137</v>
      </c>
      <c r="C751" s="2" t="s">
        <v>2138</v>
      </c>
      <c r="D751" s="2" t="s">
        <v>13</v>
      </c>
      <c r="E751" s="2" t="s">
        <v>14</v>
      </c>
      <c r="F751" s="2" t="s">
        <v>15</v>
      </c>
      <c r="G751" s="2" t="s">
        <v>2139</v>
      </c>
      <c r="H751" s="2" t="s">
        <v>305</v>
      </c>
      <c r="I751" s="3" t="str">
        <f>IFERROR(__xludf.DUMMYFUNCTION("GOOGLETRANSLATE(C751,""fr"",""en"")"),"A quality insurer")</f>
        <v>A quality insurer</v>
      </c>
    </row>
    <row r="752" ht="15.75" customHeight="1">
      <c r="A752" s="2">
        <v>5.0</v>
      </c>
      <c r="B752" s="2" t="s">
        <v>2140</v>
      </c>
      <c r="C752" s="2" t="s">
        <v>2141</v>
      </c>
      <c r="D752" s="2" t="s">
        <v>135</v>
      </c>
      <c r="E752" s="2" t="s">
        <v>44</v>
      </c>
      <c r="F752" s="2" t="s">
        <v>15</v>
      </c>
      <c r="G752" s="2" t="s">
        <v>1558</v>
      </c>
      <c r="H752" s="2" t="s">
        <v>149</v>
      </c>
      <c r="I752" s="3" t="str">
        <f>IFERROR(__xludf.DUMMYFUNCTION("GOOGLETRANSLATE(C752,""fr"",""en"")"),"very listening to the problems encounters and found a solution")</f>
        <v>very listening to the problems encounters and found a solution</v>
      </c>
    </row>
    <row r="753" ht="15.75" customHeight="1">
      <c r="A753" s="2">
        <v>1.0</v>
      </c>
      <c r="B753" s="2" t="s">
        <v>2142</v>
      </c>
      <c r="C753" s="2" t="s">
        <v>2143</v>
      </c>
      <c r="D753" s="2" t="s">
        <v>102</v>
      </c>
      <c r="E753" s="2" t="s">
        <v>14</v>
      </c>
      <c r="F753" s="2" t="s">
        <v>15</v>
      </c>
      <c r="G753" s="2" t="s">
        <v>2091</v>
      </c>
      <c r="H753" s="2" t="s">
        <v>628</v>
      </c>
      <c r="I753" s="3" t="str">
        <f>IFERROR(__xludf.DUMMYFUNCTION("GOOGLETRANSLATE(C753,""fr"",""en"")"),"Prohibitive rate: 505 euros for Smart for Two of 2015. For small roule contract (700 km per year) without accident_vehule. In a firm garage, it even in residence closes_le everything in calm sector_150 euros less on average at the competitor_ identical co"&amp;"ntract: scandalous. Mutual insurance: curious design.")</f>
        <v>Prohibitive rate: 505 euros for Smart for Two of 2015. For small roule contract (700 km per year) without accident_vehule. In a firm garage, it even in residence closes_le everything in calm sector_150 euros less on average at the competitor_ identical contract: scandalous. Mutual insurance: curious design.</v>
      </c>
    </row>
    <row r="754" ht="15.75" customHeight="1">
      <c r="A754" s="2">
        <v>1.0</v>
      </c>
      <c r="B754" s="2" t="s">
        <v>2144</v>
      </c>
      <c r="C754" s="2" t="s">
        <v>2145</v>
      </c>
      <c r="D754" s="2" t="s">
        <v>48</v>
      </c>
      <c r="E754" s="2" t="s">
        <v>14</v>
      </c>
      <c r="F754" s="2" t="s">
        <v>15</v>
      </c>
      <c r="G754" s="2" t="s">
        <v>216</v>
      </c>
      <c r="H754" s="2" t="s">
        <v>99</v>
      </c>
      <c r="I754" s="3" t="str">
        <f>IFERROR(__xludf.DUMMYFUNCTION("GOOGLETRANSLATE(C754,""fr"",""en"")"),"I am dissatisfied with the quality of service that you grant to the processing of my file. I have to relaunch myself to be informed of monitoring my file, you are unreachable. We hung up directly when we were on appeal and you asked me to wait. This is re"&amp;"ally not what we expect from an insurance company, especially when one is the victim of a disaster!")</f>
        <v>I am dissatisfied with the quality of service that you grant to the processing of my file. I have to relaunch myself to be informed of monitoring my file, you are unreachable. We hung up directly when we were on appeal and you asked me to wait. This is really not what we expect from an insurance company, especially when one is the victim of a disaster!</v>
      </c>
    </row>
    <row r="755" ht="15.75" customHeight="1">
      <c r="A755" s="2">
        <v>1.0</v>
      </c>
      <c r="B755" s="2" t="s">
        <v>2146</v>
      </c>
      <c r="C755" s="2" t="s">
        <v>2147</v>
      </c>
      <c r="D755" s="2" t="s">
        <v>787</v>
      </c>
      <c r="E755" s="2" t="s">
        <v>44</v>
      </c>
      <c r="F755" s="2" t="s">
        <v>15</v>
      </c>
      <c r="G755" s="2" t="s">
        <v>2148</v>
      </c>
      <c r="H755" s="2" t="s">
        <v>185</v>
      </c>
      <c r="I755" s="3" t="str">
        <f>IFERROR(__xludf.DUMMYFUNCTION("GOOGLETRANSLATE(C755,""fr"",""en"")"),"Reimbursements impossible to have for employees! I can say that the service rendered is shameful!
As a HR I will never call on Mercer again because the level of dissatisfaction is really too high.")</f>
        <v>Reimbursements impossible to have for employees! I can say that the service rendered is shameful!
As a HR I will never call on Mercer again because the level of dissatisfaction is really too high.</v>
      </c>
    </row>
    <row r="756" ht="15.75" customHeight="1">
      <c r="A756" s="2">
        <v>1.0</v>
      </c>
      <c r="B756" s="2" t="s">
        <v>2149</v>
      </c>
      <c r="C756" s="2" t="s">
        <v>2150</v>
      </c>
      <c r="D756" s="2" t="s">
        <v>48</v>
      </c>
      <c r="E756" s="2" t="s">
        <v>285</v>
      </c>
      <c r="F756" s="2" t="s">
        <v>15</v>
      </c>
      <c r="G756" s="2" t="s">
        <v>2151</v>
      </c>
      <c r="H756" s="2" t="s">
        <v>80</v>
      </c>
      <c r="I756" s="3" t="str">
        <f>IFERROR(__xludf.DUMMYFUNCTION("GOOGLETRANSLATE(C756,""fr"",""en"")"),"After a few days insured at Direct Insurance, I had the unpleasant surprise to have been terminated by insurance!
For insurance that was to cost me € 187/year, it cost me € 65 for 20 days, or € 1,186/year!
To flee!")</f>
        <v>After a few days insured at Direct Insurance, I had the unpleasant surprise to have been terminated by insurance!
For insurance that was to cost me € 187/year, it cost me € 65 for 20 days, or € 1,186/year!
To flee!</v>
      </c>
    </row>
    <row r="757" ht="15.75" customHeight="1">
      <c r="A757" s="2">
        <v>1.0</v>
      </c>
      <c r="B757" s="2" t="s">
        <v>2152</v>
      </c>
      <c r="C757" s="2" t="s">
        <v>2153</v>
      </c>
      <c r="D757" s="2" t="s">
        <v>2154</v>
      </c>
      <c r="E757" s="2" t="s">
        <v>285</v>
      </c>
      <c r="F757" s="2" t="s">
        <v>15</v>
      </c>
      <c r="G757" s="2" t="s">
        <v>476</v>
      </c>
      <c r="H757" s="2" t="s">
        <v>477</v>
      </c>
      <c r="I757" s="3" t="str">
        <f>IFERROR(__xludf.DUMMYFUNCTION("GOOGLETRANSLATE(C757,""fr"",""en"")"),"Shameful, difficult to see impossible to reach the agency of Ajaccio on the phone I dare to imagine in the event of a real disaster the time so that these insurers in total lack of professionalism act")</f>
        <v>Shameful, difficult to see impossible to reach the agency of Ajaccio on the phone I dare to imagine in the event of a real disaster the time so that these insurers in total lack of professionalism act</v>
      </c>
    </row>
    <row r="758" ht="15.75" customHeight="1">
      <c r="A758" s="2">
        <v>4.0</v>
      </c>
      <c r="B758" s="2" t="s">
        <v>2155</v>
      </c>
      <c r="C758" s="2" t="s">
        <v>2156</v>
      </c>
      <c r="D758" s="2" t="s">
        <v>13</v>
      </c>
      <c r="E758" s="2" t="s">
        <v>14</v>
      </c>
      <c r="F758" s="2" t="s">
        <v>15</v>
      </c>
      <c r="G758" s="2" t="s">
        <v>354</v>
      </c>
      <c r="H758" s="2" t="s">
        <v>50</v>
      </c>
      <c r="I758" s="3" t="str">
        <f>IFERROR(__xludf.DUMMYFUNCTION("GOOGLETRANSLATE(C758,""fr"",""en"")"),"Simple, attractive price, practical. To see after there is a sinister. It is at this point that we see reactivity, the quality of the insurance company.")</f>
        <v>Simple, attractive price, practical. To see after there is a sinister. It is at this point that we see reactivity, the quality of the insurance company.</v>
      </c>
    </row>
    <row r="759" ht="15.75" customHeight="1">
      <c r="A759" s="2">
        <v>5.0</v>
      </c>
      <c r="B759" s="2" t="s">
        <v>2157</v>
      </c>
      <c r="C759" s="2" t="s">
        <v>2158</v>
      </c>
      <c r="D759" s="2" t="s">
        <v>475</v>
      </c>
      <c r="E759" s="2" t="s">
        <v>242</v>
      </c>
      <c r="F759" s="2" t="s">
        <v>15</v>
      </c>
      <c r="G759" s="2" t="s">
        <v>2159</v>
      </c>
      <c r="H759" s="2" t="s">
        <v>392</v>
      </c>
      <c r="I759" s="3" t="str">
        <f>IFERROR(__xludf.DUMMYFUNCTION("GOOGLETRANSLATE(C759,""fr"",""en"")"),"The best market insurance in terms of guarantees and prices. All the negative opinions I can read are not founded because it is a lack of understanding of customers. Everyone forgets that it is an insurance delegation and that changes in guarantees or ter"&amp;"minations can only be done with the agreement of the recipient, that is to say the bank, and in writing. Those who are taken when they did not follow up, should turn against their intermediary who triggered without their agreement. When you provide the ri"&amp;"ght documents, Metlife is very responsive and if something is missing, they write you or send you an email directly.")</f>
        <v>The best market insurance in terms of guarantees and prices. All the negative opinions I can read are not founded because it is a lack of understanding of customers. Everyone forgets that it is an insurance delegation and that changes in guarantees or terminations can only be done with the agreement of the recipient, that is to say the bank, and in writing. Those who are taken when they did not follow up, should turn against their intermediary who triggered without their agreement. When you provide the right documents, Metlife is very responsive and if something is missing, they write you or send you an email directly.</v>
      </c>
    </row>
    <row r="760" ht="15.75" customHeight="1">
      <c r="A760" s="2">
        <v>1.0</v>
      </c>
      <c r="B760" s="2" t="s">
        <v>2160</v>
      </c>
      <c r="C760" s="2" t="s">
        <v>2161</v>
      </c>
      <c r="D760" s="2" t="s">
        <v>48</v>
      </c>
      <c r="E760" s="2" t="s">
        <v>14</v>
      </c>
      <c r="F760" s="2" t="s">
        <v>15</v>
      </c>
      <c r="G760" s="2" t="s">
        <v>2162</v>
      </c>
      <c r="H760" s="2" t="s">
        <v>501</v>
      </c>
      <c r="I760" s="3" t="str">
        <f>IFERROR(__xludf.DUMMYFUNCTION("GOOGLETRANSLATE(C760,""fr"",""en"")"),"Hello,
I had a 100% non -responsible hanging and I am assured all risk with the tranquility pack I waited for 1 month to have expertise. The expert estimated my irreparable car he offered me 8500th she is listed at the argus at 11300th
To be flea !! To "&amp;"flee")</f>
        <v>Hello,
I had a 100% non -responsible hanging and I am assured all risk with the tranquility pack I waited for 1 month to have expertise. The expert estimated my irreparable car he offered me 8500th she is listed at the argus at 11300th
To be flea !! To flee</v>
      </c>
    </row>
    <row r="761" ht="15.75" customHeight="1">
      <c r="A761" s="2">
        <v>1.0</v>
      </c>
      <c r="B761" s="2" t="s">
        <v>2163</v>
      </c>
      <c r="C761" s="2" t="s">
        <v>2164</v>
      </c>
      <c r="D761" s="2" t="s">
        <v>116</v>
      </c>
      <c r="E761" s="2" t="s">
        <v>14</v>
      </c>
      <c r="F761" s="2" t="s">
        <v>15</v>
      </c>
      <c r="G761" s="2" t="s">
        <v>2165</v>
      </c>
      <c r="H761" s="2" t="s">
        <v>211</v>
      </c>
      <c r="I761" s="3" t="str">
        <f>IFERROR(__xludf.DUMMYFUNCTION("GOOGLETRANSLATE(C761,""fr"",""en"")"),"Subscription of a new contract for my new car knowing that I was already ensured for my old vehicle without any problem. I therefore subscribed without problem, paid for the 2 months of advances sent all the documents in time and seeing that I did not rec"&amp;"eive my final green card I have apele and the surprise .. I am told that I am terminated because that the mine type number of the contract does not correspond to that of the gray card.
However I had not provided any number when registering by phone the a"&amp;"dvisor put the number she wanted and result c me who pays for the costs. But the height is who do not want to reimburse the month that I paid for washing. Active insurance do not even venture there. I also initiated legal proceedings they had no right to "&amp;"terminate me !!!!
According to my lawyer they will pay me a damn damage and interest.
It will give them a good Lecon.")</f>
        <v>Subscription of a new contract for my new car knowing that I was already ensured for my old vehicle without any problem. I therefore subscribed without problem, paid for the 2 months of advances sent all the documents in time and seeing that I did not receive my final green card I have apele and the surprise .. I am told that I am terminated because that the mine type number of the contract does not correspond to that of the gray card.
However I had not provided any number when registering by phone the advisor put the number she wanted and result c me who pays for the costs. But the height is who do not want to reimburse the month that I paid for washing. Active insurance do not even venture there. I also initiated legal proceedings they had no right to terminate me !!!!
According to my lawyer they will pay me a damn damage and interest.
It will give them a good Lecon.</v>
      </c>
    </row>
    <row r="762" ht="15.75" customHeight="1">
      <c r="A762" s="2">
        <v>1.0</v>
      </c>
      <c r="B762" s="2" t="s">
        <v>2166</v>
      </c>
      <c r="C762" s="2" t="s">
        <v>2167</v>
      </c>
      <c r="D762" s="2" t="s">
        <v>400</v>
      </c>
      <c r="E762" s="2" t="s">
        <v>14</v>
      </c>
      <c r="F762" s="2" t="s">
        <v>15</v>
      </c>
      <c r="G762" s="2" t="s">
        <v>2168</v>
      </c>
      <c r="H762" s="2" t="s">
        <v>107</v>
      </c>
      <c r="I762" s="3" t="str">
        <f>IFERROR(__xludf.DUMMYFUNCTION("GOOGLETRANSLATE(C762,""fr"",""en"")"),"My dad had an accident on February 2, he is not wrong, the expert and Pacifica do not want to take care of the repairs, unheard of !!! The expert does not explain the damage on the car and calls us a liar like Pacifica. He asks me to do a counter expertis"&amp;"e at my expense but I asked by email the motivation of the refusal as well as the technical analysis, but no answer, they do not even respond to the registered mail")</f>
        <v>My dad had an accident on February 2, he is not wrong, the expert and Pacifica do not want to take care of the repairs, unheard of !!! The expert does not explain the damage on the car and calls us a liar like Pacifica. He asks me to do a counter expertise at my expense but I asked by email the motivation of the refusal as well as the technical analysis, but no answer, they do not even respond to the registered mail</v>
      </c>
    </row>
    <row r="763" ht="15.75" customHeight="1">
      <c r="A763" s="2">
        <v>2.0</v>
      </c>
      <c r="B763" s="2" t="s">
        <v>2169</v>
      </c>
      <c r="C763" s="2" t="s">
        <v>2170</v>
      </c>
      <c r="D763" s="2" t="s">
        <v>48</v>
      </c>
      <c r="E763" s="2" t="s">
        <v>14</v>
      </c>
      <c r="F763" s="2" t="s">
        <v>15</v>
      </c>
      <c r="G763" s="2" t="s">
        <v>2171</v>
      </c>
      <c r="H763" s="2" t="s">
        <v>67</v>
      </c>
      <c r="I763" s="3" t="str">
        <f>IFERROR(__xludf.DUMMYFUNCTION("GOOGLETRANSLATE(C763,""fr"",""en"")"),"I am very little satisfied with what Direct Insurance does to keep your customers, you are clearly pushing us from your home to return and take advantage of a contract as a new customer, the proof, nearly 250th difference which I do not Can not take advan"&amp;"tage of because I am already at home, result I will probably leave next month and maybe return to 1 year or 2. It is neither beneficial for you, nor for us customers.")</f>
        <v>I am very little satisfied with what Direct Insurance does to keep your customers, you are clearly pushing us from your home to return and take advantage of a contract as a new customer, the proof, nearly 250th difference which I do not Can not take advantage of because I am already at home, result I will probably leave next month and maybe return to 1 year or 2. It is neither beneficial for you, nor for us customers.</v>
      </c>
    </row>
    <row r="764" ht="15.75" customHeight="1">
      <c r="A764" s="2">
        <v>2.0</v>
      </c>
      <c r="B764" s="2" t="s">
        <v>2172</v>
      </c>
      <c r="C764" s="2" t="s">
        <v>2173</v>
      </c>
      <c r="D764" s="2" t="s">
        <v>176</v>
      </c>
      <c r="E764" s="2" t="s">
        <v>127</v>
      </c>
      <c r="F764" s="2" t="s">
        <v>15</v>
      </c>
      <c r="G764" s="2" t="s">
        <v>2174</v>
      </c>
      <c r="H764" s="2" t="s">
        <v>535</v>
      </c>
      <c r="I764" s="3" t="str">
        <f>IFERROR(__xludf.DUMMYFUNCTION("GOOGLETRANSLATE(C764,""fr"",""en"")"),"I had an accident in England or I was supposed to be insured.
Result almost 1 year to be reimbursed the argus of my motorcycle. And the rest is still in progress.
I had to do the advance to repair my motorcycle. (3700EUR), and to return to France for th"&amp;"e repairs!
Impossible to send me a green card by email. Practical when we are far away ...
in short never
In addition, they did not reimburse me for a degate of water insurance ...
Fortunately I was a customer then more than 10 years old ...
They owe"&amp;" me more than 700EUR and come to piss me off for 90EUR contributions ....
Only positive point, the DGSI (filles which takes care of the abroad accidents) extremely reactive and easily reachable for free. But it's not the Macif lol")</f>
        <v>I had an accident in England or I was supposed to be insured.
Result almost 1 year to be reimbursed the argus of my motorcycle. And the rest is still in progress.
I had to do the advance to repair my motorcycle. (3700EUR), and to return to France for the repairs!
Impossible to send me a green card by email. Practical when we are far away ...
in short never
In addition, they did not reimburse me for a degate of water insurance ...
Fortunately I was a customer then more than 10 years old ...
They owe me more than 700EUR and come to piss me off for 90EUR contributions ....
Only positive point, the DGSI (filles which takes care of the abroad accidents) extremely reactive and easily reachable for free. But it's not the Macif lol</v>
      </c>
    </row>
    <row r="765" ht="15.75" customHeight="1">
      <c r="A765" s="2">
        <v>2.0</v>
      </c>
      <c r="B765" s="2" t="s">
        <v>2175</v>
      </c>
      <c r="C765" s="2" t="s">
        <v>2176</v>
      </c>
      <c r="D765" s="2" t="s">
        <v>176</v>
      </c>
      <c r="E765" s="2" t="s">
        <v>14</v>
      </c>
      <c r="F765" s="2" t="s">
        <v>15</v>
      </c>
      <c r="G765" s="2" t="s">
        <v>2177</v>
      </c>
      <c r="H765" s="2" t="s">
        <v>231</v>
      </c>
      <c r="I765" s="3" t="str">
        <f>IFERROR(__xludf.DUMMYFUNCTION("GOOGLETRANSLATE(C765,""fr"",""en"")"),"Advisor who hangs up the phone during the conversation, a little easy teleworking like that, as soon as we do not agree.
Inadmissible !!!
PS: it will not happen again, I will change insurer.")</f>
        <v>Advisor who hangs up the phone during the conversation, a little easy teleworking like that, as soon as we do not agree.
Inadmissible !!!
PS: it will not happen again, I will change insurer.</v>
      </c>
    </row>
    <row r="766" ht="15.75" customHeight="1">
      <c r="A766" s="2">
        <v>1.0</v>
      </c>
      <c r="B766" s="2" t="s">
        <v>2178</v>
      </c>
      <c r="C766" s="2" t="s">
        <v>2179</v>
      </c>
      <c r="D766" s="2" t="s">
        <v>28</v>
      </c>
      <c r="E766" s="2" t="s">
        <v>14</v>
      </c>
      <c r="F766" s="2" t="s">
        <v>15</v>
      </c>
      <c r="G766" s="2" t="s">
        <v>2180</v>
      </c>
      <c r="H766" s="2" t="s">
        <v>562</v>
      </c>
      <c r="I766" s="3" t="str">
        <f>IFERROR(__xludf.DUMMYFUNCTION("GOOGLETRANSLATE(C766,""fr"",""en"")"),"Company since 2013, paying more than 900 euros in annual subscription, I am terminated in 2017 for 3 non -responsible claims: an accident with third parties identified in 2015, a break of ice in 2017 (windshield) and a 3rd sinister then then That the pebb"&amp;"le which came to crack the windshield of my vehicle also touched the panoramic roof which is not considered as a break of ice. Result: I am considered a danger behind the wheel and terminated. Direction SOS MALUS AND OTHERS. It is frankly scandalous. GMF "&amp;"certainly human? I let you enjoy...")</f>
        <v>Company since 2013, paying more than 900 euros in annual subscription, I am terminated in 2017 for 3 non -responsible claims: an accident with third parties identified in 2015, a break of ice in 2017 (windshield) and a 3rd sinister then then That the pebble which came to crack the windshield of my vehicle also touched the panoramic roof which is not considered as a break of ice. Result: I am considered a danger behind the wheel and terminated. Direction SOS MALUS AND OTHERS. It is frankly scandalous. GMF certainly human? I let you enjoy...</v>
      </c>
    </row>
    <row r="767" ht="15.75" customHeight="1">
      <c r="A767" s="2">
        <v>1.0</v>
      </c>
      <c r="B767" s="2" t="s">
        <v>2181</v>
      </c>
      <c r="C767" s="2" t="s">
        <v>2182</v>
      </c>
      <c r="D767" s="2" t="s">
        <v>139</v>
      </c>
      <c r="E767" s="2" t="s">
        <v>127</v>
      </c>
      <c r="F767" s="2" t="s">
        <v>15</v>
      </c>
      <c r="G767" s="2" t="s">
        <v>199</v>
      </c>
      <c r="H767" s="2" t="s">
        <v>200</v>
      </c>
      <c r="I767" s="3" t="str">
        <f>IFERROR(__xludf.DUMMYFUNCTION("GOOGLETRANSLATE(C767,""fr"",""en"")"),"Nothing ! I do not manage to obtain my information statement, no way to reach the management service, we come across a service provider, a certain telephone platform, they have never reminded me for 6 months. I can't even insure my motorcycle!")</f>
        <v>Nothing ! I do not manage to obtain my information statement, no way to reach the management service, we come across a service provider, a certain telephone platform, they have never reminded me for 6 months. I can't even insure my motorcycle!</v>
      </c>
    </row>
    <row r="768" ht="15.75" customHeight="1">
      <c r="A768" s="2">
        <v>1.0</v>
      </c>
      <c r="B768" s="2" t="s">
        <v>2183</v>
      </c>
      <c r="C768" s="2" t="s">
        <v>2184</v>
      </c>
      <c r="D768" s="2" t="s">
        <v>48</v>
      </c>
      <c r="E768" s="2" t="s">
        <v>14</v>
      </c>
      <c r="F768" s="2" t="s">
        <v>15</v>
      </c>
      <c r="G768" s="2" t="s">
        <v>1107</v>
      </c>
      <c r="H768" s="2" t="s">
        <v>25</v>
      </c>
      <c r="I768" s="3" t="str">
        <f>IFERROR(__xludf.DUMMYFUNCTION("GOOGLETRANSLATE(C768,""fr"",""en"")"),"I already told you on the phone why I am dissatisfied
I already told you on the phone why I am dissatisfied
I already told you on the phone why I am dissatisfied
I already told you on the phone why I am dissatisfied
I already told you on the phone why"&amp;" I am dissatisfied
V")</f>
        <v>I already told you on the phone why I am dissatisfied
I already told you on the phone why I am dissatisfied
I already told you on the phone why I am dissatisfied
I already told you on the phone why I am dissatisfied
I already told you on the phone why I am dissatisfied
V</v>
      </c>
    </row>
    <row r="769" ht="15.75" customHeight="1">
      <c r="A769" s="2">
        <v>2.0</v>
      </c>
      <c r="B769" s="2" t="s">
        <v>2185</v>
      </c>
      <c r="C769" s="2" t="s">
        <v>2186</v>
      </c>
      <c r="D769" s="2" t="s">
        <v>787</v>
      </c>
      <c r="E769" s="2" t="s">
        <v>44</v>
      </c>
      <c r="F769" s="2" t="s">
        <v>15</v>
      </c>
      <c r="G769" s="2" t="s">
        <v>2187</v>
      </c>
      <c r="H769" s="2" t="s">
        <v>287</v>
      </c>
      <c r="I769" s="3" t="str">
        <f>IFERROR(__xludf.DUMMYFUNCTION("GOOGLETRANSLATE(C769,""fr"",""en"")"),"Since March 16, more than 2 months have been waiting for an answer on the management of a quote from my dentist. The Hot Line, contacted several times, answers me whenever my request will be processed during the following week, without result. Do I have t"&amp;"o change my mutual?")</f>
        <v>Since March 16, more than 2 months have been waiting for an answer on the management of a quote from my dentist. The Hot Line, contacted several times, answers me whenever my request will be processed during the following week, without result. Do I have to change my mutual?</v>
      </c>
    </row>
    <row r="770" ht="15.75" customHeight="1">
      <c r="A770" s="2">
        <v>5.0</v>
      </c>
      <c r="B770" s="2" t="s">
        <v>2188</v>
      </c>
      <c r="C770" s="2" t="s">
        <v>2189</v>
      </c>
      <c r="D770" s="2" t="s">
        <v>48</v>
      </c>
      <c r="E770" s="2" t="s">
        <v>14</v>
      </c>
      <c r="F770" s="2" t="s">
        <v>15</v>
      </c>
      <c r="G770" s="2" t="s">
        <v>193</v>
      </c>
      <c r="H770" s="2" t="s">
        <v>67</v>
      </c>
      <c r="I770" s="3" t="str">
        <f>IFERROR(__xludf.DUMMYFUNCTION("GOOGLETRANSLATE(C770,""fr"",""en"")"),"Simple, practical, fast and inexpensive. I think I'm going to put my two cars at home, I have to wait for my new mineralogical plates.
Yours")</f>
        <v>Simple, practical, fast and inexpensive. I think I'm going to put my two cars at home, I have to wait for my new mineralogical plates.
Yours</v>
      </c>
    </row>
    <row r="771" ht="15.75" customHeight="1">
      <c r="A771" s="2">
        <v>1.0</v>
      </c>
      <c r="B771" s="2" t="s">
        <v>2190</v>
      </c>
      <c r="C771" s="2" t="s">
        <v>2191</v>
      </c>
      <c r="D771" s="2" t="s">
        <v>121</v>
      </c>
      <c r="E771" s="2" t="s">
        <v>14</v>
      </c>
      <c r="F771" s="2" t="s">
        <v>15</v>
      </c>
      <c r="G771" s="2" t="s">
        <v>2192</v>
      </c>
      <c r="H771" s="2" t="s">
        <v>392</v>
      </c>
      <c r="I771" s="3" t="str">
        <f>IFERROR(__xludf.DUMMYFUNCTION("GOOGLETRANSLATE(C771,""fr"",""en"")"),"Be careful don't get you !! Do not call MAIF for an information request because they record your request as a disaster and therefore it appears on your information when you want to change your insurance. And so needless to tell you that the new insurance "&amp;"considers it as a real claim and therefore the penalty ect ... it's shameful !!!!")</f>
        <v>Be careful don't get you !! Do not call MAIF for an information request because they record your request as a disaster and therefore it appears on your information when you want to change your insurance. And so needless to tell you that the new insurance considers it as a real claim and therefore the penalty ect ... it's shameful !!!!</v>
      </c>
    </row>
    <row r="772" ht="15.75" customHeight="1">
      <c r="A772" s="2">
        <v>2.0</v>
      </c>
      <c r="B772" s="2" t="s">
        <v>2193</v>
      </c>
      <c r="C772" s="2" t="s">
        <v>2194</v>
      </c>
      <c r="D772" s="2" t="s">
        <v>48</v>
      </c>
      <c r="E772" s="2" t="s">
        <v>14</v>
      </c>
      <c r="F772" s="2" t="s">
        <v>15</v>
      </c>
      <c r="G772" s="2" t="s">
        <v>2195</v>
      </c>
      <c r="H772" s="2" t="s">
        <v>468</v>
      </c>
      <c r="I772" s="3" t="str">
        <f>IFERROR(__xludf.DUMMYFUNCTION("GOOGLETRANSLATE(C772,""fr"",""en"")"),"We are in possession of 4 vehicles in our home 1 only ES ensures at Direct Insurance currently damage that you do not ensure a quad which is part of the 4 vehicles")</f>
        <v>We are in possession of 4 vehicles in our home 1 only ES ensures at Direct Insurance currently damage that you do not ensure a quad which is part of the 4 vehicles</v>
      </c>
    </row>
    <row r="773" ht="15.75" customHeight="1">
      <c r="A773" s="2">
        <v>1.0</v>
      </c>
      <c r="B773" s="2" t="s">
        <v>2196</v>
      </c>
      <c r="C773" s="2" t="s">
        <v>2197</v>
      </c>
      <c r="D773" s="2" t="s">
        <v>400</v>
      </c>
      <c r="E773" s="2" t="s">
        <v>14</v>
      </c>
      <c r="F773" s="2" t="s">
        <v>15</v>
      </c>
      <c r="G773" s="2" t="s">
        <v>978</v>
      </c>
      <c r="H773" s="2" t="s">
        <v>50</v>
      </c>
      <c r="I773" s="3" t="str">
        <f>IFERROR(__xludf.DUMMYFUNCTION("GOOGLETRANSLATE(C773,""fr"",""en"")"),"Following a non -responsible disaster since car parked at my home and damage caused by a third party, I increase my insurance !! I have never seen that !!
More than 2 months that the disaster took place and Pacifica answers me we will not send a recovery"&amp;" letter every week! It's a joke ...
Very disappointed with this company")</f>
        <v>Following a non -responsible disaster since car parked at my home and damage caused by a third party, I increase my insurance !! I have never seen that !!
More than 2 months that the disaster took place and Pacifica answers me we will not send a recovery letter every week! It's a joke ...
Very disappointed with this company</v>
      </c>
    </row>
    <row r="774" ht="15.75" customHeight="1">
      <c r="A774" s="2">
        <v>3.0</v>
      </c>
      <c r="B774" s="2" t="s">
        <v>2198</v>
      </c>
      <c r="C774" s="2" t="s">
        <v>2199</v>
      </c>
      <c r="D774" s="2" t="s">
        <v>105</v>
      </c>
      <c r="E774" s="2" t="s">
        <v>44</v>
      </c>
      <c r="F774" s="2" t="s">
        <v>15</v>
      </c>
      <c r="G774" s="2" t="s">
        <v>2200</v>
      </c>
      <c r="H774" s="2" t="s">
        <v>604</v>
      </c>
      <c r="I774" s="3" t="str">
        <f>IFERROR(__xludf.DUMMYFUNCTION("GOOGLETRANSLATE(C774,""fr"",""en"")"),"I am affiliated with the AG2R by my employer more than 10,000 employees. I am on a long -term stop. I received my CPAM reimbursements in time. By cons AG2R it was very complicated. My pay service is fighting to obtain the AG2R reimbursements. I lived with"&amp;" just over 100 euros for a month. They cannot be reached.")</f>
        <v>I am affiliated with the AG2R by my employer more than 10,000 employees. I am on a long -term stop. I received my CPAM reimbursements in time. By cons AG2R it was very complicated. My pay service is fighting to obtain the AG2R reimbursements. I lived with just over 100 euros for a month. They cannot be reached.</v>
      </c>
    </row>
    <row r="775" ht="15.75" customHeight="1">
      <c r="A775" s="2">
        <v>5.0</v>
      </c>
      <c r="B775" s="2" t="s">
        <v>2201</v>
      </c>
      <c r="C775" s="2" t="s">
        <v>2202</v>
      </c>
      <c r="D775" s="2" t="s">
        <v>13</v>
      </c>
      <c r="E775" s="2" t="s">
        <v>14</v>
      </c>
      <c r="F775" s="2" t="s">
        <v>15</v>
      </c>
      <c r="G775" s="2" t="s">
        <v>89</v>
      </c>
      <c r="H775" s="2" t="s">
        <v>89</v>
      </c>
      <c r="I775" s="3" t="str">
        <f>IFERROR(__xludf.DUMMYFUNCTION("GOOGLETRANSLATE(C775,""fr"",""en"")"),"I am satisfied with the reception and explanation service and especially because it is very fast and very interesting in terms of price in comparison with other insurance")</f>
        <v>I am satisfied with the reception and explanation service and especially because it is very fast and very interesting in terms of price in comparison with other insurance</v>
      </c>
    </row>
    <row r="776" ht="15.75" customHeight="1">
      <c r="A776" s="2">
        <v>4.0</v>
      </c>
      <c r="B776" s="2" t="s">
        <v>2203</v>
      </c>
      <c r="C776" s="2" t="s">
        <v>2204</v>
      </c>
      <c r="D776" s="2" t="s">
        <v>13</v>
      </c>
      <c r="E776" s="2" t="s">
        <v>14</v>
      </c>
      <c r="F776" s="2" t="s">
        <v>15</v>
      </c>
      <c r="G776" s="2" t="s">
        <v>2205</v>
      </c>
      <c r="H776" s="2" t="s">
        <v>477</v>
      </c>
      <c r="I776" s="3" t="str">
        <f>IFERROR(__xludf.DUMMYFUNCTION("GOOGLETRANSLATE(C776,""fr"",""en"")"),"Sinister:
A loss supported very quickly, with a loan car at my disposal at my home the day following the claim.
Customer relationship:
Very pleasant staff on the phone, who knew how to provide the necessary answers.
Price :
Direct Insurance offered a"&amp;" more attractive price, but the file did not succeed, my choice fell on the olive tree.")</f>
        <v>Sinister:
A loss supported very quickly, with a loan car at my disposal at my home the day following the claim.
Customer relationship:
Very pleasant staff on the phone, who knew how to provide the necessary answers.
Price :
Direct Insurance offered a more attractive price, but the file did not succeed, my choice fell on the olive tree.</v>
      </c>
    </row>
    <row r="777" ht="15.75" customHeight="1">
      <c r="A777" s="2">
        <v>1.0</v>
      </c>
      <c r="B777" s="2" t="s">
        <v>2206</v>
      </c>
      <c r="C777" s="2" t="s">
        <v>2207</v>
      </c>
      <c r="D777" s="2" t="s">
        <v>319</v>
      </c>
      <c r="E777" s="2" t="s">
        <v>242</v>
      </c>
      <c r="F777" s="2" t="s">
        <v>15</v>
      </c>
      <c r="G777" s="2" t="s">
        <v>2208</v>
      </c>
      <c r="H777" s="2" t="s">
        <v>468</v>
      </c>
      <c r="I777" s="3" t="str">
        <f>IFERROR(__xludf.DUMMYFUNCTION("GOOGLETRANSLATE(C777,""fr"",""en"")"),"Too much expensive 250 to *270 €/month for 2 adults and 2 children, too complicated to follow, the health card complicates lay understanding of flows and reimbursements, cumulation of different reimbursements of different family members with different spe"&amp;"cialists ... . Impossible to know clearly or not at all that is reimbursed. Maltedly helped when you ask for explanations, never had the reimbursement statements except when I terminated !!")</f>
        <v>Too much expensive 250 to *270 €/month for 2 adults and 2 children, too complicated to follow, the health card complicates lay understanding of flows and reimbursements, cumulation of different reimbursements of different family members with different specialists ... . Impossible to know clearly or not at all that is reimbursed. Maltedly helped when you ask for explanations, never had the reimbursement statements except when I terminated !!</v>
      </c>
    </row>
    <row r="778" ht="15.75" customHeight="1">
      <c r="A778" s="2">
        <v>5.0</v>
      </c>
      <c r="B778" s="2" t="s">
        <v>2209</v>
      </c>
      <c r="C778" s="2" t="s">
        <v>2210</v>
      </c>
      <c r="D778" s="2" t="s">
        <v>13</v>
      </c>
      <c r="E778" s="2" t="s">
        <v>14</v>
      </c>
      <c r="F778" s="2" t="s">
        <v>15</v>
      </c>
      <c r="G778" s="2" t="s">
        <v>1873</v>
      </c>
      <c r="H778" s="2" t="s">
        <v>50</v>
      </c>
      <c r="I778" s="3" t="str">
        <f>IFERROR(__xludf.DUMMYFUNCTION("GOOGLETRANSLATE(C778,""fr"",""en"")"),"I am very satisfied, you are better than your competitors, I am happy to be customers at home, thank you very much, I hope I have made the right choice.")</f>
        <v>I am very satisfied, you are better than your competitors, I am happy to be customers at home, thank you very much, I hope I have made the right choice.</v>
      </c>
    </row>
    <row r="779" ht="15.75" customHeight="1">
      <c r="A779" s="2">
        <v>4.0</v>
      </c>
      <c r="B779" s="2" t="s">
        <v>2211</v>
      </c>
      <c r="C779" s="2" t="s">
        <v>2212</v>
      </c>
      <c r="D779" s="2" t="s">
        <v>110</v>
      </c>
      <c r="E779" s="2" t="s">
        <v>44</v>
      </c>
      <c r="F779" s="2" t="s">
        <v>15</v>
      </c>
      <c r="G779" s="2" t="s">
        <v>431</v>
      </c>
      <c r="H779" s="2" t="s">
        <v>17</v>
      </c>
      <c r="I779" s="3" t="str">
        <f>IFERROR(__xludf.DUMMYFUNCTION("GOOGLETRANSLATE(C779,""fr"",""en"")"),"Directing well by the site, fast and efficient This mutual is up to my expectations. I discover April and am satisfied for the care of the customer.")</f>
        <v>Directing well by the site, fast and efficient This mutual is up to my expectations. I discover April and am satisfied for the care of the customer.</v>
      </c>
    </row>
    <row r="780" ht="15.75" customHeight="1">
      <c r="A780" s="2">
        <v>3.0</v>
      </c>
      <c r="B780" s="2" t="s">
        <v>2213</v>
      </c>
      <c r="C780" s="2" t="s">
        <v>2214</v>
      </c>
      <c r="D780" s="2" t="s">
        <v>228</v>
      </c>
      <c r="E780" s="2" t="s">
        <v>14</v>
      </c>
      <c r="F780" s="2" t="s">
        <v>15</v>
      </c>
      <c r="G780" s="2" t="s">
        <v>1652</v>
      </c>
      <c r="H780" s="2" t="s">
        <v>900</v>
      </c>
      <c r="I780" s="3" t="str">
        <f>IFERROR(__xludf.DUMMYFUNCTION("GOOGLETRANSLATE(C780,""fr"",""en"")"),"Overall AXA makes insurer not too dishonest among my taste. It is true that it is more expensive than low-cost, but they do not try to steal unpretentious file fees or price changes 15 days after subscription. Remember, however, that the quality of the se"&amp;"rvice depends above all on your general agent. Being assured automobile and home, I am satisfied on my auto and motorcycle contras, less on the house following a very poorly managed water damage.")</f>
        <v>Overall AXA makes insurer not too dishonest among my taste. It is true that it is more expensive than low-cost, but they do not try to steal unpretentious file fees or price changes 15 days after subscription. Remember, however, that the quality of the service depends above all on your general agent. Being assured automobile and home, I am satisfied on my auto and motorcycle contras, less on the house following a very poorly managed water damage.</v>
      </c>
    </row>
    <row r="781" ht="15.75" customHeight="1">
      <c r="A781" s="2">
        <v>5.0</v>
      </c>
      <c r="B781" s="2" t="s">
        <v>2215</v>
      </c>
      <c r="C781" s="2" t="s">
        <v>2216</v>
      </c>
      <c r="D781" s="2" t="s">
        <v>13</v>
      </c>
      <c r="E781" s="2" t="s">
        <v>14</v>
      </c>
      <c r="F781" s="2" t="s">
        <v>15</v>
      </c>
      <c r="G781" s="2" t="s">
        <v>99</v>
      </c>
      <c r="H781" s="2" t="s">
        <v>99</v>
      </c>
      <c r="I781" s="3" t="str">
        <f>IFERROR(__xludf.DUMMYFUNCTION("GOOGLETRANSLATE(C781,""fr"",""en"")"),"Dear,
Thank you for being able to be part of your organization, thank you to the whole team, I am satisfied with your work and your pleasant quality of experiences. I beg you to accept madam, sir the expression of my distinguished greetings even")</f>
        <v>Dear,
Thank you for being able to be part of your organization, thank you to the whole team, I am satisfied with your work and your pleasant quality of experiences. I beg you to accept madam, sir the expression of my distinguished greetings even</v>
      </c>
    </row>
    <row r="782" ht="15.75" customHeight="1">
      <c r="A782" s="2">
        <v>5.0</v>
      </c>
      <c r="B782" s="2" t="s">
        <v>2217</v>
      </c>
      <c r="C782" s="2" t="s">
        <v>2218</v>
      </c>
      <c r="D782" s="2" t="s">
        <v>13</v>
      </c>
      <c r="E782" s="2" t="s">
        <v>14</v>
      </c>
      <c r="F782" s="2" t="s">
        <v>15</v>
      </c>
      <c r="G782" s="2" t="s">
        <v>1196</v>
      </c>
      <c r="H782" s="2" t="s">
        <v>17</v>
      </c>
      <c r="I782" s="3" t="str">
        <f>IFERROR(__xludf.DUMMYFUNCTION("GOOGLETRANSLATE(C782,""fr"",""en"")"),"Satisfied with the service.
Excellent performance
Very suitable price
Very good responsiveness of services
Favorable response to my request. I recommend")</f>
        <v>Satisfied with the service.
Excellent performance
Very suitable price
Very good responsiveness of services
Favorable response to my request. I recommend</v>
      </c>
    </row>
    <row r="783" ht="15.75" customHeight="1">
      <c r="A783" s="2">
        <v>1.0</v>
      </c>
      <c r="B783" s="2" t="s">
        <v>2219</v>
      </c>
      <c r="C783" s="2" t="s">
        <v>2220</v>
      </c>
      <c r="D783" s="2" t="s">
        <v>110</v>
      </c>
      <c r="E783" s="2" t="s">
        <v>242</v>
      </c>
      <c r="F783" s="2" t="s">
        <v>15</v>
      </c>
      <c r="G783" s="2" t="s">
        <v>1464</v>
      </c>
      <c r="H783" s="2" t="s">
        <v>900</v>
      </c>
      <c r="I783" s="3" t="str">
        <f>IFERROR(__xludf.DUMMYFUNCTION("GOOGLETRANSLATE(C783,""fr"",""en"")"),"Insurance to flee. Minimalist warranty, exorbitant price.
When my loan takes 656 euros and the April insurance arrives every quarter arrives, 666 euros !!! We can no longer reach both ends. My wife has a Crohn's disease Surprising is huge not in relation"&amp;" to the severity of her illness. I thought that insurance was there to help us not ruin us.")</f>
        <v>Insurance to flee. Minimalist warranty, exorbitant price.
When my loan takes 656 euros and the April insurance arrives every quarter arrives, 666 euros !!! We can no longer reach both ends. My wife has a Crohn's disease Surprising is huge not in relation to the severity of her illness. I thought that insurance was there to help us not ruin us.</v>
      </c>
    </row>
    <row r="784" ht="15.75" customHeight="1">
      <c r="A784" s="2">
        <v>1.0</v>
      </c>
      <c r="B784" s="2" t="s">
        <v>2221</v>
      </c>
      <c r="C784" s="2" t="s">
        <v>2222</v>
      </c>
      <c r="D784" s="2" t="s">
        <v>92</v>
      </c>
      <c r="E784" s="2" t="s">
        <v>44</v>
      </c>
      <c r="F784" s="2" t="s">
        <v>15</v>
      </c>
      <c r="G784" s="2" t="s">
        <v>2223</v>
      </c>
      <c r="H784" s="2" t="s">
        <v>604</v>
      </c>
      <c r="I784" s="3" t="str">
        <f>IFERROR(__xludf.DUMMYFUNCTION("GOOGLETRANSLATE(C784,""fr"",""en"")"),"Mutual zero ... Dear, non -existent customer service; reimbursements made but slow.
In addition, aggressive marketing.
In short, to flee urgently")</f>
        <v>Mutual zero ... Dear, non -existent customer service; reimbursements made but slow.
In addition, aggressive marketing.
In short, to flee urgently</v>
      </c>
    </row>
    <row r="785" ht="15.75" customHeight="1">
      <c r="A785" s="2">
        <v>1.0</v>
      </c>
      <c r="B785" s="2" t="s">
        <v>2224</v>
      </c>
      <c r="C785" s="2" t="s">
        <v>2225</v>
      </c>
      <c r="D785" s="2" t="s">
        <v>110</v>
      </c>
      <c r="E785" s="2" t="s">
        <v>44</v>
      </c>
      <c r="F785" s="2" t="s">
        <v>15</v>
      </c>
      <c r="G785" s="2" t="s">
        <v>2226</v>
      </c>
      <c r="H785" s="2" t="s">
        <v>497</v>
      </c>
      <c r="I785" s="3" t="str">
        <f>IFERROR(__xludf.DUMMYFUNCTION("GOOGLETRANSLATE(C785,""fr"",""en"")"),"Watch out for abusive business practices of Apfil and its brokers. The latter sold to my 83 -year -old mother -in -law in health insurance by practicing abuse of weakness and lying by telling her that his current insurance would no longer exist next year "&amp;"by making him sign a contract without option I will wear complaint and invites you to avoid this company with criminal practices")</f>
        <v>Watch out for abusive business practices of Apfil and its brokers. The latter sold to my 83 -year -old mother -in -law in health insurance by practicing abuse of weakness and lying by telling her that his current insurance would no longer exist next year by making him sign a contract without option I will wear complaint and invites you to avoid this company with criminal practices</v>
      </c>
    </row>
    <row r="786" ht="15.75" customHeight="1">
      <c r="A786" s="2">
        <v>5.0</v>
      </c>
      <c r="B786" s="2" t="s">
        <v>2227</v>
      </c>
      <c r="C786" s="2" t="s">
        <v>2228</v>
      </c>
      <c r="D786" s="2" t="s">
        <v>13</v>
      </c>
      <c r="E786" s="2" t="s">
        <v>14</v>
      </c>
      <c r="F786" s="2" t="s">
        <v>15</v>
      </c>
      <c r="G786" s="2" t="s">
        <v>1202</v>
      </c>
      <c r="H786" s="2" t="s">
        <v>50</v>
      </c>
      <c r="I786" s="3" t="str">
        <f>IFERROR(__xludf.DUMMYFUNCTION("GOOGLETRANSLATE(C786,""fr"",""en"")"),"I am very satisfied with this offer, in terms of prices, the advantages of this car insurance. Customer service, it's really interesting.")</f>
        <v>I am very satisfied with this offer, in terms of prices, the advantages of this car insurance. Customer service, it's really interesting.</v>
      </c>
    </row>
    <row r="787" ht="15.75" customHeight="1">
      <c r="A787" s="2">
        <v>3.0</v>
      </c>
      <c r="B787" s="2" t="s">
        <v>2229</v>
      </c>
      <c r="C787" s="2" t="s">
        <v>2230</v>
      </c>
      <c r="D787" s="2" t="s">
        <v>48</v>
      </c>
      <c r="E787" s="2" t="s">
        <v>14</v>
      </c>
      <c r="F787" s="2" t="s">
        <v>15</v>
      </c>
      <c r="G787" s="2" t="s">
        <v>2231</v>
      </c>
      <c r="H787" s="2" t="s">
        <v>25</v>
      </c>
      <c r="I787" s="3" t="str">
        <f>IFERROR(__xludf.DUMMYFUNCTION("GOOGLETRANSLATE(C787,""fr"",""en"")"),"I am very satisfied, conditions and prices, I would recommend this insurance to my family and friends, even to colleagues who are looking for good insurance.")</f>
        <v>I am very satisfied, conditions and prices, I would recommend this insurance to my family and friends, even to colleagues who are looking for good insurance.</v>
      </c>
    </row>
    <row r="788" ht="15.75" customHeight="1">
      <c r="A788" s="2">
        <v>4.0</v>
      </c>
      <c r="B788" s="2" t="s">
        <v>2232</v>
      </c>
      <c r="C788" s="2" t="s">
        <v>2233</v>
      </c>
      <c r="D788" s="2" t="s">
        <v>372</v>
      </c>
      <c r="E788" s="2" t="s">
        <v>127</v>
      </c>
      <c r="F788" s="2" t="s">
        <v>15</v>
      </c>
      <c r="G788" s="2" t="s">
        <v>542</v>
      </c>
      <c r="H788" s="2" t="s">
        <v>89</v>
      </c>
      <c r="I788" s="3" t="str">
        <f>IFERROR(__xludf.DUMMYFUNCTION("GOOGLETRANSLATE(C788,""fr"",""en"")"),"I am satisfied with the service
AMV is very responsive by phone
Too bad the number is surcharge
Amply satisfied with the service and the responsiveness of AMV")</f>
        <v>I am satisfied with the service
AMV is very responsive by phone
Too bad the number is surcharge
Amply satisfied with the service and the responsiveness of AMV</v>
      </c>
    </row>
    <row r="789" ht="15.75" customHeight="1">
      <c r="A789" s="2">
        <v>1.0</v>
      </c>
      <c r="B789" s="2" t="s">
        <v>2234</v>
      </c>
      <c r="C789" s="2" t="s">
        <v>2235</v>
      </c>
      <c r="D789" s="2" t="s">
        <v>228</v>
      </c>
      <c r="E789" s="2" t="s">
        <v>38</v>
      </c>
      <c r="F789" s="2" t="s">
        <v>15</v>
      </c>
      <c r="G789" s="2" t="s">
        <v>1225</v>
      </c>
      <c r="H789" s="2" t="s">
        <v>729</v>
      </c>
      <c r="I789" s="3" t="str">
        <f>IFERROR(__xludf.DUMMYFUNCTION("GOOGLETRANSLATE(C789,""fr"",""en"")"),"I will have put 0 star if it was possible! After the death of our father who had rubbed shoulders with AXA, a quarterly education annuity was to be paid to us to each child until our 26th birthday and this without obligation to continue studies and even i"&amp;"f the studies were finished! Well for 4 years we have not received any rents when we are still the required age ... a shame!")</f>
        <v>I will have put 0 star if it was possible! After the death of our father who had rubbed shoulders with AXA, a quarterly education annuity was to be paid to us to each child until our 26th birthday and this without obligation to continue studies and even if the studies were finished! Well for 4 years we have not received any rents when we are still the required age ... a shame!</v>
      </c>
    </row>
    <row r="790" ht="15.75" customHeight="1">
      <c r="A790" s="2">
        <v>5.0</v>
      </c>
      <c r="B790" s="2" t="s">
        <v>2236</v>
      </c>
      <c r="C790" s="2" t="s">
        <v>2237</v>
      </c>
      <c r="D790" s="2" t="s">
        <v>48</v>
      </c>
      <c r="E790" s="2" t="s">
        <v>14</v>
      </c>
      <c r="F790" s="2" t="s">
        <v>15</v>
      </c>
      <c r="G790" s="2" t="s">
        <v>1343</v>
      </c>
      <c r="H790" s="2" t="s">
        <v>21</v>
      </c>
      <c r="I790" s="3" t="str">
        <f>IFERROR(__xludf.DUMMYFUNCTION("GOOGLETRANSLATE(C790,""fr"",""en"")"),"very good welcome and listening to the pleasant and great person requests to help me with my insurance 10/10 you need petrsonnes like the one I had to come to you;")</f>
        <v>very good welcome and listening to the pleasant and great person requests to help me with my insurance 10/10 you need petrsonnes like the one I had to come to you;</v>
      </c>
    </row>
    <row r="791" ht="15.75" customHeight="1">
      <c r="A791" s="2">
        <v>5.0</v>
      </c>
      <c r="B791" s="2" t="s">
        <v>2238</v>
      </c>
      <c r="C791" s="2" t="s">
        <v>2239</v>
      </c>
      <c r="D791" s="2" t="s">
        <v>48</v>
      </c>
      <c r="E791" s="2" t="s">
        <v>14</v>
      </c>
      <c r="F791" s="2" t="s">
        <v>15</v>
      </c>
      <c r="G791" s="2" t="s">
        <v>1145</v>
      </c>
      <c r="H791" s="2" t="s">
        <v>21</v>
      </c>
      <c r="I791" s="3" t="str">
        <f>IFERROR(__xludf.DUMMYFUNCTION("GOOGLETRANSLATE(C791,""fr"",""en"")"),"I am very satisfied with the services and the direct insurance interface, easy to access immediate contact and attractive price, I recommend everyone to try")</f>
        <v>I am very satisfied with the services and the direct insurance interface, easy to access immediate contact and attractive price, I recommend everyone to try</v>
      </c>
    </row>
    <row r="792" ht="15.75" customHeight="1">
      <c r="A792" s="2">
        <v>2.0</v>
      </c>
      <c r="B792" s="2" t="s">
        <v>2240</v>
      </c>
      <c r="C792" s="2" t="s">
        <v>2241</v>
      </c>
      <c r="D792" s="2" t="s">
        <v>102</v>
      </c>
      <c r="E792" s="2" t="s">
        <v>14</v>
      </c>
      <c r="F792" s="2" t="s">
        <v>15</v>
      </c>
      <c r="G792" s="2" t="s">
        <v>70</v>
      </c>
      <c r="H792" s="2" t="s">
        <v>21</v>
      </c>
      <c r="I792" s="3" t="str">
        <f>IFERROR(__xludf.DUMMYFUNCTION("GOOGLETRANSLATE(C792,""fr"",""en"")"),"Big surprise when I wanted to ensure a new vehicle, the MAAF told me that it was impossible given the claims that I recorded:
2 in 2019 including one for vandalism on electric rear view mirror and 1 or by making a cerrier to park I hung my neighbor's car"&amp;" (so not a collision)
And they went up until 2017 forever vandalism on electric rear view mirror ...
It is the maafff .... was never informed of this future exclusion of insurance on a new vehicle, no! They continue to take you ...")</f>
        <v>Big surprise when I wanted to ensure a new vehicle, the MAAF told me that it was impossible given the claims that I recorded:
2 in 2019 including one for vandalism on electric rear view mirror and 1 or by making a cerrier to park I hung my neighbor's car (so not a collision)
And they went up until 2017 forever vandalism on electric rear view mirror ...
It is the maafff .... was never informed of this future exclusion of insurance on a new vehicle, no! They continue to take you ...</v>
      </c>
    </row>
    <row r="793" ht="15.75" customHeight="1">
      <c r="A793" s="2">
        <v>1.0</v>
      </c>
      <c r="B793" s="2" t="s">
        <v>2242</v>
      </c>
      <c r="C793" s="2" t="s">
        <v>2243</v>
      </c>
      <c r="D793" s="2" t="s">
        <v>102</v>
      </c>
      <c r="E793" s="2" t="s">
        <v>14</v>
      </c>
      <c r="F793" s="2" t="s">
        <v>15</v>
      </c>
      <c r="G793" s="2" t="s">
        <v>2244</v>
      </c>
      <c r="H793" s="2" t="s">
        <v>452</v>
      </c>
      <c r="I793" s="3" t="str">
        <f>IFERROR(__xludf.DUMMYFUNCTION("GOOGLETRANSLATE(C793,""fr"",""en"")"),"Avoid throwing you as soon as they have to cost.
Pub mensengere There is no 50 -life bonus because you throw before.
Know that he is looking for new pigeon.
At your risk and perils.")</f>
        <v>Avoid throwing you as soon as they have to cost.
Pub mensengere There is no 50 -life bonus because you throw before.
Know that he is looking for new pigeon.
At your risk and perils.</v>
      </c>
    </row>
    <row r="794" ht="15.75" customHeight="1">
      <c r="A794" s="2">
        <v>1.0</v>
      </c>
      <c r="B794" s="2" t="s">
        <v>2245</v>
      </c>
      <c r="C794" s="2" t="s">
        <v>2246</v>
      </c>
      <c r="D794" s="2" t="s">
        <v>102</v>
      </c>
      <c r="E794" s="2" t="s">
        <v>285</v>
      </c>
      <c r="F794" s="2" t="s">
        <v>15</v>
      </c>
      <c r="G794" s="2" t="s">
        <v>246</v>
      </c>
      <c r="H794" s="2" t="s">
        <v>17</v>
      </c>
      <c r="I794" s="3" t="str">
        <f>IFERROR(__xludf.DUMMYFUNCTION("GOOGLETRANSLATE(C794,""fr"",""en"")"),"Attention . Advertising does not reflect reality.
No problem as long as you pay.
On the other hand, from the first claim, the insurance lets you fall and does not compensate for anything at all! Very bad advice from them
I leave in the moment.
")</f>
        <v>Attention . Advertising does not reflect reality.
No problem as long as you pay.
On the other hand, from the first claim, the insurance lets you fall and does not compensate for anything at all! Very bad advice from them
I leave in the moment.
</v>
      </c>
    </row>
    <row r="795" ht="15.75" customHeight="1">
      <c r="A795" s="2">
        <v>1.0</v>
      </c>
      <c r="B795" s="2" t="s">
        <v>2247</v>
      </c>
      <c r="C795" s="2" t="s">
        <v>2248</v>
      </c>
      <c r="D795" s="2" t="s">
        <v>58</v>
      </c>
      <c r="E795" s="2" t="s">
        <v>44</v>
      </c>
      <c r="F795" s="2" t="s">
        <v>15</v>
      </c>
      <c r="G795" s="2" t="s">
        <v>2249</v>
      </c>
      <c r="H795" s="2" t="s">
        <v>261</v>
      </c>
      <c r="I795" s="3" t="str">
        <f>IFERROR(__xludf.DUMMYFUNCTION("GOOGLETRANSLATE(C795,""fr"",""en"")"),"The worst health insurance of my life, which has mutual only the name and treats people as simple ""customers"". 40 days of delay for a reimbursement however transmitted electronically, a very unpleasant telephone service and of course never delay in the "&amp;"sending of advertisements on paper and other expensive letters, nor to collect contributions!
To avoid.")</f>
        <v>The worst health insurance of my life, which has mutual only the name and treats people as simple "customers". 40 days of delay for a reimbursement however transmitted electronically, a very unpleasant telephone service and of course never delay in the sending of advertisements on paper and other expensive letters, nor to collect contributions!
To avoid.</v>
      </c>
    </row>
    <row r="796" ht="15.75" customHeight="1">
      <c r="A796" s="2">
        <v>4.0</v>
      </c>
      <c r="B796" s="2" t="s">
        <v>2250</v>
      </c>
      <c r="C796" s="2" t="s">
        <v>2251</v>
      </c>
      <c r="D796" s="2" t="s">
        <v>13</v>
      </c>
      <c r="E796" s="2" t="s">
        <v>14</v>
      </c>
      <c r="F796" s="2" t="s">
        <v>15</v>
      </c>
      <c r="G796" s="2" t="s">
        <v>2080</v>
      </c>
      <c r="H796" s="2" t="s">
        <v>29</v>
      </c>
      <c r="I796" s="3" t="str">
        <f>IFERROR(__xludf.DUMMYFUNCTION("GOOGLETRANSLATE(C796,""fr"",""en"")"),"I am satisfied with the service and the price is especially the frankly bravo customer service you are the best thank you to the whole team for the work")</f>
        <v>I am satisfied with the service and the price is especially the frankly bravo customer service you are the best thank you to the whole team for the work</v>
      </c>
    </row>
    <row r="797" ht="15.75" customHeight="1">
      <c r="A797" s="2">
        <v>5.0</v>
      </c>
      <c r="B797" s="2" t="s">
        <v>2252</v>
      </c>
      <c r="C797" s="2" t="s">
        <v>2253</v>
      </c>
      <c r="D797" s="2" t="s">
        <v>28</v>
      </c>
      <c r="E797" s="2" t="s">
        <v>14</v>
      </c>
      <c r="F797" s="2" t="s">
        <v>15</v>
      </c>
      <c r="G797" s="2" t="s">
        <v>509</v>
      </c>
      <c r="H797" s="2" t="s">
        <v>89</v>
      </c>
      <c r="I797" s="3" t="str">
        <f>IFERROR(__xludf.DUMMYFUNCTION("GOOGLETRANSLATE(C797,""fr"",""en"")"),"Practical and fast service. I just wanted a school certificate for my daughters and it's quite simple and quick. Nothing more to say. Thank you and good day")</f>
        <v>Practical and fast service. I just wanted a school certificate for my daughters and it's quite simple and quick. Nothing more to say. Thank you and good day</v>
      </c>
    </row>
    <row r="798" ht="15.75" customHeight="1">
      <c r="A798" s="2">
        <v>1.0</v>
      </c>
      <c r="B798" s="2" t="s">
        <v>2254</v>
      </c>
      <c r="C798" s="2" t="s">
        <v>2255</v>
      </c>
      <c r="D798" s="2" t="s">
        <v>1453</v>
      </c>
      <c r="E798" s="2" t="s">
        <v>127</v>
      </c>
      <c r="F798" s="2" t="s">
        <v>15</v>
      </c>
      <c r="G798" s="2" t="s">
        <v>1936</v>
      </c>
      <c r="H798" s="2" t="s">
        <v>21</v>
      </c>
      <c r="I798" s="3" t="str">
        <f>IFERROR(__xludf.DUMMYFUNCTION("GOOGLETRANSLATE(C798,""fr"",""en"")"),"Totally incompetent insurance, information on the contract different from those input, modified dates, subscribed on the 19th, terminated the next day ... Flee")</f>
        <v>Totally incompetent insurance, information on the contract different from those input, modified dates, subscribed on the 19th, terminated the next day ... Flee</v>
      </c>
    </row>
    <row r="799" ht="15.75" customHeight="1">
      <c r="A799" s="2">
        <v>1.0</v>
      </c>
      <c r="B799" s="2" t="s">
        <v>2256</v>
      </c>
      <c r="C799" s="2" t="s">
        <v>2257</v>
      </c>
      <c r="D799" s="2" t="s">
        <v>155</v>
      </c>
      <c r="E799" s="2" t="s">
        <v>285</v>
      </c>
      <c r="F799" s="2" t="s">
        <v>15</v>
      </c>
      <c r="G799" s="2" t="s">
        <v>2258</v>
      </c>
      <c r="H799" s="2" t="s">
        <v>808</v>
      </c>
      <c r="I799" s="3" t="str">
        <f>IFERROR(__xludf.DUMMYFUNCTION("GOOGLETRANSLATE(C799,""fr"",""en"")"),"I am super disappointed with the administrative service of this insurance since July 2017, the service is unable to resolve a disaster which I have been the victim with the opposing company with each telephone call the same and only response ... ""The com"&amp;"pany of opposing insurance that is the post office does not answer !!! I tell them hat """)</f>
        <v>I am super disappointed with the administrative service of this insurance since July 2017, the service is unable to resolve a disaster which I have been the victim with the opposing company with each telephone call the same and only response ... "The company of opposing insurance that is the post office does not answer !!! I tell them hat "</v>
      </c>
    </row>
    <row r="800" ht="15.75" customHeight="1">
      <c r="A800" s="2">
        <v>5.0</v>
      </c>
      <c r="B800" s="2" t="s">
        <v>2259</v>
      </c>
      <c r="C800" s="2" t="s">
        <v>2260</v>
      </c>
      <c r="D800" s="2" t="s">
        <v>13</v>
      </c>
      <c r="E800" s="2" t="s">
        <v>14</v>
      </c>
      <c r="F800" s="2" t="s">
        <v>15</v>
      </c>
      <c r="G800" s="2" t="s">
        <v>1230</v>
      </c>
      <c r="H800" s="2" t="s">
        <v>247</v>
      </c>
      <c r="I800" s="3" t="str">
        <f>IFERROR(__xludf.DUMMYFUNCTION("GOOGLETRANSLATE(C800,""fr"",""en"")"),"Very satisfied with the reception and speed to take out the contract.
In addition, the price is very interesting for the coverage offered.
It is not impossible that I transfer my accommodation insurance to the next deadline")</f>
        <v>Very satisfied with the reception and speed to take out the contract.
In addition, the price is very interesting for the coverage offered.
It is not impossible that I transfer my accommodation insurance to the next deadline</v>
      </c>
    </row>
    <row r="801" ht="15.75" customHeight="1">
      <c r="A801" s="2">
        <v>2.0</v>
      </c>
      <c r="B801" s="2" t="s">
        <v>2261</v>
      </c>
      <c r="C801" s="2" t="s">
        <v>2262</v>
      </c>
      <c r="D801" s="2" t="s">
        <v>83</v>
      </c>
      <c r="E801" s="2" t="s">
        <v>14</v>
      </c>
      <c r="F801" s="2" t="s">
        <v>15</v>
      </c>
      <c r="G801" s="2" t="s">
        <v>2263</v>
      </c>
      <c r="H801" s="2" t="s">
        <v>55</v>
      </c>
      <c r="I801" s="3" t="str">
        <f>IFERROR(__xludf.DUMMYFUNCTION("GOOGLETRANSLATE(C801,""fr"",""en"")"),"In 5 years, all his points, no responsible accident, bonus in max, 3 clashes by fully responsible third parties, a perfectly maintained vehicle evidence in hand alas destroyed by a short circuit and here is my son ""thrown"" by the Matmut as a malpropre W"&amp;"ith the added bonus of a certificate that marks it as a risk driver! Assured Kleenex is the right term.")</f>
        <v>In 5 years, all his points, no responsible accident, bonus in max, 3 clashes by fully responsible third parties, a perfectly maintained vehicle evidence in hand alas destroyed by a short circuit and here is my son "thrown" by the Matmut as a malpropre With the added bonus of a certificate that marks it as a risk driver! Assured Kleenex is the right term.</v>
      </c>
    </row>
    <row r="802" ht="15.75" customHeight="1">
      <c r="A802" s="2">
        <v>5.0</v>
      </c>
      <c r="B802" s="2" t="s">
        <v>2264</v>
      </c>
      <c r="C802" s="2" t="s">
        <v>2265</v>
      </c>
      <c r="D802" s="2" t="s">
        <v>116</v>
      </c>
      <c r="E802" s="2" t="s">
        <v>14</v>
      </c>
      <c r="F802" s="2" t="s">
        <v>15</v>
      </c>
      <c r="G802" s="2" t="s">
        <v>663</v>
      </c>
      <c r="H802" s="2" t="s">
        <v>50</v>
      </c>
      <c r="I802" s="3" t="str">
        <f>IFERROR(__xludf.DUMMYFUNCTION("GOOGLETRANSLATE(C802,""fr"",""en"")"),"I have insured myself at home for over 3 years, the attractive price, customer service is so professional and listening, I recommend, nothing to say, it is the best insurer")</f>
        <v>I have insured myself at home for over 3 years, the attractive price, customer service is so professional and listening, I recommend, nothing to say, it is the best insurer</v>
      </c>
    </row>
    <row r="803" ht="15.75" customHeight="1">
      <c r="A803" s="2">
        <v>1.0</v>
      </c>
      <c r="B803" s="2" t="s">
        <v>2266</v>
      </c>
      <c r="C803" s="2" t="s">
        <v>2267</v>
      </c>
      <c r="D803" s="2" t="s">
        <v>390</v>
      </c>
      <c r="E803" s="2" t="s">
        <v>242</v>
      </c>
      <c r="F803" s="2" t="s">
        <v>15</v>
      </c>
      <c r="G803" s="2" t="s">
        <v>2268</v>
      </c>
      <c r="H803" s="2" t="s">
        <v>254</v>
      </c>
      <c r="I803" s="3" t="str">
        <f>IFERROR(__xludf.DUMMYFUNCTION("GOOGLETRANSLATE(C803,""fr"",""en"")"),"Here I have been in work accident since December 22, 2016 I had my cardif insurance walk I had to wait 90 days of deficiency on what I did the German reimburse for 12 months he then sent me a questionnaire Medical to be filled with my doctor socks apparen"&amp;"tly I am no longer taken care of so I am still in work accident I have a complication of my right retractile capsulitis of the shoulder I do not stop taking exams they do not want More to take care of I am outraged I am at the end of my life at the end of"&amp;" the roller already for me to no longer work and very hard know that you pay insurance for wind it disgusts me I think to end my days I am disgusted with life on my grave will be written dead because of cardif insurance")</f>
        <v>Here I have been in work accident since December 22, 2016 I had my cardif insurance walk I had to wait 90 days of deficiency on what I did the German reimburse for 12 months he then sent me a questionnaire Medical to be filled with my doctor socks apparently I am no longer taken care of so I am still in work accident I have a complication of my right retractile capsulitis of the shoulder I do not stop taking exams they do not want More to take care of I am outraged I am at the end of my life at the end of the roller already for me to no longer work and very hard know that you pay insurance for wind it disgusts me I think to end my days I am disgusted with life on my grave will be written dead because of cardif insurance</v>
      </c>
    </row>
    <row r="804" ht="15.75" customHeight="1">
      <c r="A804" s="2">
        <v>5.0</v>
      </c>
      <c r="B804" s="2" t="s">
        <v>2269</v>
      </c>
      <c r="C804" s="2" t="s">
        <v>2270</v>
      </c>
      <c r="D804" s="2" t="s">
        <v>48</v>
      </c>
      <c r="E804" s="2" t="s">
        <v>14</v>
      </c>
      <c r="F804" s="2" t="s">
        <v>15</v>
      </c>
      <c r="G804" s="2" t="s">
        <v>345</v>
      </c>
      <c r="H804" s="2" t="s">
        <v>50</v>
      </c>
      <c r="I804" s="3" t="str">
        <f>IFERROR(__xludf.DUMMYFUNCTION("GOOGLETRANSLATE(C804,""fr"",""en"")"),"I am satisfied with the speed of the quote and realization of my contract with the quality of the prices and service offered in its diversity and I will recommend")</f>
        <v>I am satisfied with the speed of the quote and realization of my contract with the quality of the prices and service offered in its diversity and I will recommend</v>
      </c>
    </row>
    <row r="805" ht="15.75" customHeight="1">
      <c r="A805" s="2">
        <v>5.0</v>
      </c>
      <c r="B805" s="2" t="s">
        <v>2271</v>
      </c>
      <c r="C805" s="2" t="s">
        <v>2272</v>
      </c>
      <c r="D805" s="2" t="s">
        <v>53</v>
      </c>
      <c r="E805" s="2" t="s">
        <v>44</v>
      </c>
      <c r="F805" s="2" t="s">
        <v>15</v>
      </c>
      <c r="G805" s="2" t="s">
        <v>2273</v>
      </c>
      <c r="H805" s="2" t="s">
        <v>254</v>
      </c>
      <c r="I805" s="3" t="str">
        <f>IFERROR(__xludf.DUMMYFUNCTION("GOOGLETRANSLATE(C805,""fr"",""en"")"),"I was looking for a mutual and Santiane reminded me immediately. I found the right formula with I think the right price and I would like to thank the super nice teleconsilere and has listened I sincerely think about it in case of doubt")</f>
        <v>I was looking for a mutual and Santiane reminded me immediately. I found the right formula with I think the right price and I would like to thank the super nice teleconsilere and has listened I sincerely think about it in case of doubt</v>
      </c>
    </row>
    <row r="806" ht="15.75" customHeight="1">
      <c r="A806" s="2">
        <v>3.0</v>
      </c>
      <c r="B806" s="2" t="s">
        <v>2274</v>
      </c>
      <c r="C806" s="2" t="s">
        <v>2275</v>
      </c>
      <c r="D806" s="2" t="s">
        <v>121</v>
      </c>
      <c r="E806" s="2" t="s">
        <v>14</v>
      </c>
      <c r="F806" s="2" t="s">
        <v>15</v>
      </c>
      <c r="G806" s="2" t="s">
        <v>2276</v>
      </c>
      <c r="H806" s="2" t="s">
        <v>94</v>
      </c>
      <c r="I806" s="3" t="str">
        <f>IFERROR(__xludf.DUMMYFUNCTION("GOOGLETRANSLATE(C806,""fr"",""en"")"),"At the insurance level I am in all risks, so no surprise, I took rental vehicle in the event of concerns ... Insurance can be reached and quickly did the necessary following my accident ... but for the follow -up This is another thing....")</f>
        <v>At the insurance level I am in all risks, so no surprise, I took rental vehicle in the event of concerns ... Insurance can be reached and quickly did the necessary following my accident ... but for the follow -up This is another thing....</v>
      </c>
    </row>
    <row r="807" ht="15.75" customHeight="1">
      <c r="A807" s="2">
        <v>4.0</v>
      </c>
      <c r="B807" s="2" t="s">
        <v>2277</v>
      </c>
      <c r="C807" s="2" t="s">
        <v>2278</v>
      </c>
      <c r="D807" s="2" t="s">
        <v>48</v>
      </c>
      <c r="E807" s="2" t="s">
        <v>14</v>
      </c>
      <c r="F807" s="2" t="s">
        <v>15</v>
      </c>
      <c r="G807" s="2" t="s">
        <v>1640</v>
      </c>
      <c r="H807" s="2" t="s">
        <v>50</v>
      </c>
      <c r="I807" s="3" t="str">
        <f>IFERROR(__xludf.DUMMYFUNCTION("GOOGLETRANSLATE(C807,""fr"",""en"")"),"I opdted to insure my car at home because the quick quote and the price is also suited me,
I opdted to insure my car at home because the quick quote and the price is also suited me,")</f>
        <v>I opdted to insure my car at home because the quick quote and the price is also suited me,
I opdted to insure my car at home because the quick quote and the price is also suited me,</v>
      </c>
    </row>
    <row r="808" ht="15.75" customHeight="1">
      <c r="A808" s="2">
        <v>1.0</v>
      </c>
      <c r="B808" s="2" t="s">
        <v>2279</v>
      </c>
      <c r="C808" s="2" t="s">
        <v>2280</v>
      </c>
      <c r="D808" s="2" t="s">
        <v>37</v>
      </c>
      <c r="E808" s="2" t="s">
        <v>38</v>
      </c>
      <c r="F808" s="2" t="s">
        <v>15</v>
      </c>
      <c r="G808" s="2" t="s">
        <v>2281</v>
      </c>
      <c r="H808" s="2" t="s">
        <v>185</v>
      </c>
      <c r="I808" s="3" t="str">
        <f>IFERROR(__xludf.DUMMYFUNCTION("GOOGLETRANSLATE(C808,""fr"",""en"")"),"To flee !!!! + 71 calls with of course expectations of 15, 16, 17 mins with often no one on the phone ... Papier, emails, accused receipts that end up! It's a shame ... We would all have to come together to file a complaint against this society that steal"&amp;"s our money from us ... This is not normal !! For information, if some do not yet have their email to claim your money or send papers, go there ... I give you! Assures@cnp.fr
Put your file number well, they answer in 2/3 days.
Of course at this hour I h"&amp;"ave not yet received my partial acquisition but this insurance will not be done like that! I intend to file a complaint against them!")</f>
        <v>To flee !!!! + 71 calls with of course expectations of 15, 16, 17 mins with often no one on the phone ... Papier, emails, accused receipts that end up! It's a shame ... We would all have to come together to file a complaint against this society that steals our money from us ... This is not normal !! For information, if some do not yet have their email to claim your money or send papers, go there ... I give you! Assures@cnp.fr
Put your file number well, they answer in 2/3 days.
Of course at this hour I have not yet received my partial acquisition but this insurance will not be done like that! I intend to file a complaint against them!</v>
      </c>
    </row>
    <row r="809" ht="15.75" customHeight="1">
      <c r="A809" s="2">
        <v>2.0</v>
      </c>
      <c r="B809" s="2" t="s">
        <v>2282</v>
      </c>
      <c r="C809" s="2" t="s">
        <v>2283</v>
      </c>
      <c r="D809" s="2" t="s">
        <v>13</v>
      </c>
      <c r="E809" s="2" t="s">
        <v>14</v>
      </c>
      <c r="F809" s="2" t="s">
        <v>15</v>
      </c>
      <c r="G809" s="2" t="s">
        <v>2284</v>
      </c>
      <c r="H809" s="2" t="s">
        <v>107</v>
      </c>
      <c r="I809" s="3" t="str">
        <f>IFERROR(__xludf.DUMMYFUNCTION("GOOGLETRANSLATE(C809,""fr"",""en"")"),"A disaster ! Insurance terminated in March, still not carried out in May, and in June I am levied because tacit renewal! Shameful, prices are not high but we know why. In short, to be avoided at all costs")</f>
        <v>A disaster ! Insurance terminated in March, still not carried out in May, and in June I am levied because tacit renewal! Shameful, prices are not high but we know why. In short, to be avoided at all costs</v>
      </c>
    </row>
    <row r="810" ht="15.75" customHeight="1">
      <c r="A810" s="2">
        <v>1.0</v>
      </c>
      <c r="B810" s="2" t="s">
        <v>2285</v>
      </c>
      <c r="C810" s="2" t="s">
        <v>2286</v>
      </c>
      <c r="D810" s="2" t="s">
        <v>43</v>
      </c>
      <c r="E810" s="2" t="s">
        <v>44</v>
      </c>
      <c r="F810" s="2" t="s">
        <v>15</v>
      </c>
      <c r="G810" s="2" t="s">
        <v>2287</v>
      </c>
      <c r="H810" s="2" t="s">
        <v>204</v>
      </c>
      <c r="I810" s="3" t="str">
        <f>IFERROR(__xludf.DUMMYFUNCTION("GOOGLETRANSLATE(C810,""fr"",""en"")"),"Very very disappointed, the person who ""am"" my file is clearly not competent gives me information which will then dispute (telling me what would consult our phone calls ...., beautiful atmosphere), in her last email she did not find our calls ... and fi"&amp;"nally what does not even understand what I am talking about ..., after 5 email and 4 calls, and finally she is capable of winning, to set up the voice, if we confront her with her own contradiction.
PS I wrote a registered letter (to be entitled to my ri"&amp;"ghts) on 24.01.2020 received on 27.01.2020, since?!? nothing on")</f>
        <v>Very very disappointed, the person who "am" my file is clearly not competent gives me information which will then dispute (telling me what would consult our phone calls ...., beautiful atmosphere), in her last email she did not find our calls ... and finally what does not even understand what I am talking about ..., after 5 email and 4 calls, and finally she is capable of winning, to set up the voice, if we confront her with her own contradiction.
PS I wrote a registered letter (to be entitled to my rights) on 24.01.2020 received on 27.01.2020, since?!? nothing on</v>
      </c>
    </row>
    <row r="811" ht="15.75" customHeight="1">
      <c r="A811" s="2">
        <v>1.0</v>
      </c>
      <c r="B811" s="2" t="s">
        <v>2288</v>
      </c>
      <c r="C811" s="2" t="s">
        <v>2289</v>
      </c>
      <c r="D811" s="2" t="s">
        <v>43</v>
      </c>
      <c r="E811" s="2" t="s">
        <v>44</v>
      </c>
      <c r="F811" s="2" t="s">
        <v>15</v>
      </c>
      <c r="G811" s="2" t="s">
        <v>1967</v>
      </c>
      <c r="H811" s="2" t="s">
        <v>67</v>
      </c>
      <c r="I811" s="3" t="str">
        <f>IFERROR(__xludf.DUMMYFUNCTION("GOOGLETRANSLATE(C811,""fr"",""en"")"),"
An agency that works in this way
should be closed by law!
No other comments
Always with apologies in reimbursement
Unpaid
Do not make mutual in Cegema
")</f>
        <v>
An agency that works in this way
should be closed by law!
No other comments
Always with apologies in reimbursement
Unpaid
Do not make mutual in Cegema
</v>
      </c>
    </row>
    <row r="812" ht="15.75" customHeight="1">
      <c r="A812" s="2">
        <v>1.0</v>
      </c>
      <c r="B812" s="2" t="s">
        <v>2290</v>
      </c>
      <c r="C812" s="2" t="s">
        <v>2291</v>
      </c>
      <c r="D812" s="2" t="s">
        <v>102</v>
      </c>
      <c r="E812" s="2" t="s">
        <v>14</v>
      </c>
      <c r="F812" s="2" t="s">
        <v>15</v>
      </c>
      <c r="G812" s="2" t="s">
        <v>1055</v>
      </c>
      <c r="H812" s="2" t="s">
        <v>21</v>
      </c>
      <c r="I812" s="3" t="str">
        <f>IFERROR(__xludf.DUMMYFUNCTION("GOOGLETRANSLATE(C812,""fr"",""en"")"),"I am scandalized that my car contract is terminated knowing that I obtained two non -responsible accidents in 2020, and a break of ice.
Given this decision, I think I terminate all my contracts.")</f>
        <v>I am scandalized that my car contract is terminated knowing that I obtained two non -responsible accidents in 2020, and a break of ice.
Given this decision, I think I terminate all my contracts.</v>
      </c>
    </row>
    <row r="813" ht="15.75" customHeight="1">
      <c r="A813" s="2">
        <v>2.0</v>
      </c>
      <c r="B813" s="2" t="s">
        <v>2292</v>
      </c>
      <c r="C813" s="2" t="s">
        <v>2293</v>
      </c>
      <c r="D813" s="2" t="s">
        <v>787</v>
      </c>
      <c r="E813" s="2" t="s">
        <v>44</v>
      </c>
      <c r="F813" s="2" t="s">
        <v>15</v>
      </c>
      <c r="G813" s="2" t="s">
        <v>2294</v>
      </c>
      <c r="H813" s="2" t="s">
        <v>200</v>
      </c>
      <c r="I813" s="3" t="str">
        <f>IFERROR(__xludf.DUMMYFUNCTION("GOOGLETRANSLATE(C813,""fr"",""en"")"),"I just recalled Mercer - after 15 days, as I had been told the last time on the phone - because I still haven't had an answer to my quote. I am told to wait another 1 to 1.5 weeks ... So we are at a waiting time of almost a month. The initial email with t"&amp;"he quote was sent on March 15. I do not accept the situation and I wish to speak with a manager. At first I reject and I am asked to wait but after I try to pass me a manager. Apparently no one is available, I am asked when I sent the quote. It turns out "&amp;"that they see my two reminders but not the initial email with the quote, for which I have received the receipt number. I indicate the reception accused number and Mercer finds nothing under this number. I ask what to do now and I am told to return the quo"&amp;"te. I ask ""and after""? I am told to have to wait 2 to 3 weeks because it is the processing time currently.
Meanwhile the conversation (waiting time included) lasted 32 minutes (11:30 a.m. to 12:02 p.m.) and cost almost 5 EUR.
It's a joke ...")</f>
        <v>I just recalled Mercer - after 15 days, as I had been told the last time on the phone - because I still haven't had an answer to my quote. I am told to wait another 1 to 1.5 weeks ... So we are at a waiting time of almost a month. The initial email with the quote was sent on March 15. I do not accept the situation and I wish to speak with a manager. At first I reject and I am asked to wait but after I try to pass me a manager. Apparently no one is available, I am asked when I sent the quote. It turns out that they see my two reminders but not the initial email with the quote, for which I have received the receipt number. I indicate the reception accused number and Mercer finds nothing under this number. I ask what to do now and I am told to return the quote. I ask "and after"? I am told to have to wait 2 to 3 weeks because it is the processing time currently.
Meanwhile the conversation (waiting time included) lasted 32 minutes (11:30 a.m. to 12:02 p.m.) and cost almost 5 EUR.
It's a joke ...</v>
      </c>
    </row>
    <row r="814" ht="15.75" customHeight="1">
      <c r="A814" s="2">
        <v>4.0</v>
      </c>
      <c r="B814" s="2" t="s">
        <v>2295</v>
      </c>
      <c r="C814" s="2" t="s">
        <v>2296</v>
      </c>
      <c r="D814" s="2" t="s">
        <v>48</v>
      </c>
      <c r="E814" s="2" t="s">
        <v>14</v>
      </c>
      <c r="F814" s="2" t="s">
        <v>15</v>
      </c>
      <c r="G814" s="2" t="s">
        <v>1894</v>
      </c>
      <c r="H814" s="2" t="s">
        <v>29</v>
      </c>
      <c r="I814" s="3" t="str">
        <f>IFERROR(__xludf.DUMMYFUNCTION("GOOGLETRANSLATE(C814,""fr"",""en"")"),"Perfect that even suitable!
In any risk I expected that this contract costs me much more because my current Mindican insurer a much higher sum for the same contract
")</f>
        <v>Perfect that even suitable!
In any risk I expected that this contract costs me much more because my current Mindican insurer a much higher sum for the same contract
</v>
      </c>
    </row>
    <row r="815" ht="15.75" customHeight="1">
      <c r="A815" s="2">
        <v>5.0</v>
      </c>
      <c r="B815" s="2" t="s">
        <v>2297</v>
      </c>
      <c r="C815" s="2" t="s">
        <v>2298</v>
      </c>
      <c r="D815" s="2" t="s">
        <v>372</v>
      </c>
      <c r="E815" s="2" t="s">
        <v>127</v>
      </c>
      <c r="F815" s="2" t="s">
        <v>15</v>
      </c>
      <c r="G815" s="2" t="s">
        <v>1159</v>
      </c>
      <c r="H815" s="2" t="s">
        <v>29</v>
      </c>
      <c r="I815" s="3" t="str">
        <f>IFERROR(__xludf.DUMMYFUNCTION("GOOGLETRANSLATE(C815,""fr"",""en"")"),"From the first contact by such to the signing by Internet, nothing to say. Pro, reactive, price, recup bonuses on service vehicle ...
Stone")</f>
        <v>From the first contact by such to the signing by Internet, nothing to say. Pro, reactive, price, recup bonuses on service vehicle ...
Stone</v>
      </c>
    </row>
    <row r="816" ht="15.75" customHeight="1">
      <c r="A816" s="2">
        <v>1.0</v>
      </c>
      <c r="B816" s="2" t="s">
        <v>2299</v>
      </c>
      <c r="C816" s="2" t="s">
        <v>2300</v>
      </c>
      <c r="D816" s="2" t="s">
        <v>400</v>
      </c>
      <c r="E816" s="2" t="s">
        <v>285</v>
      </c>
      <c r="F816" s="2" t="s">
        <v>15</v>
      </c>
      <c r="G816" s="2" t="s">
        <v>2301</v>
      </c>
      <c r="H816" s="2" t="s">
        <v>452</v>
      </c>
      <c r="I816" s="3" t="str">
        <f>IFERROR(__xludf.DUMMYFUNCTION("GOOGLETRANSLATE(C816,""fr"",""en"")"),"Insurance worthy of Guinness Book! Non -existent service. I await repairs for my apartment following a disaster since May 2018 and still nothing while I am under respiratory assistance it is therefore an urgent case and I continue to eat paint on my plate"&amp;". Insurance and their experts refuse to take charge of repairs while I have a contract which stipulates the new delivery of the damaged elements. It is an insurance that we pay in a vacuum. It is unacceptable, assurance to absolutely absolutely avoid!")</f>
        <v>Insurance worthy of Guinness Book! Non -existent service. I await repairs for my apartment following a disaster since May 2018 and still nothing while I am under respiratory assistance it is therefore an urgent case and I continue to eat paint on my plate. Insurance and their experts refuse to take charge of repairs while I have a contract which stipulates the new delivery of the damaged elements. It is an insurance that we pay in a vacuum. It is unacceptable, assurance to absolutely absolutely avoid!</v>
      </c>
    </row>
    <row r="817" ht="15.75" customHeight="1">
      <c r="A817" s="2">
        <v>3.0</v>
      </c>
      <c r="B817" s="2" t="s">
        <v>2302</v>
      </c>
      <c r="C817" s="2" t="s">
        <v>2303</v>
      </c>
      <c r="D817" s="2" t="s">
        <v>48</v>
      </c>
      <c r="E817" s="2" t="s">
        <v>14</v>
      </c>
      <c r="F817" s="2" t="s">
        <v>15</v>
      </c>
      <c r="G817" s="2" t="s">
        <v>63</v>
      </c>
      <c r="H817" s="2" t="s">
        <v>50</v>
      </c>
      <c r="I817" s="3" t="str">
        <f>IFERROR(__xludf.DUMMYFUNCTION("GOOGLETRANSLATE(C817,""fr"",""en"")"),"Insurance taking is simple, practical and fast. Not much difference on the prices charged.
Nothing more to say,
Cordially,
Bruno Cruane
")</f>
        <v>Insurance taking is simple, practical and fast. Not much difference on the prices charged.
Nothing more to say,
Cordially,
Bruno Cruane
</v>
      </c>
    </row>
    <row r="818" ht="15.75" customHeight="1">
      <c r="A818" s="2">
        <v>1.0</v>
      </c>
      <c r="B818" s="2" t="s">
        <v>2304</v>
      </c>
      <c r="C818" s="2" t="s">
        <v>2305</v>
      </c>
      <c r="D818" s="2" t="s">
        <v>577</v>
      </c>
      <c r="E818" s="2" t="s">
        <v>215</v>
      </c>
      <c r="F818" s="2" t="s">
        <v>15</v>
      </c>
      <c r="G818" s="2" t="s">
        <v>425</v>
      </c>
      <c r="H818" s="2" t="s">
        <v>67</v>
      </c>
      <c r="I818" s="3" t="str">
        <f>IFERROR(__xludf.DUMMYFUNCTION("GOOGLETRANSLATE(C818,""fr"",""en"")"),"Insured for almost two years at Assur Ô Hair, I am disappointed with the way of making decision -makers of this company: even if we are informed of an annual increase in the premium that we regulate each month under the General Conditions , this increase "&amp;"is unfair. That the new insured persons pay the price in force at the time of their subscription, it is obviously correct and fair but penalize the former insured by an annual increase, it is not Fairplay and no recognition of their loyalty to Assur ô coa"&amp;"t. It is necessary that future new insured people know what awaits them over the years.")</f>
        <v>Insured for almost two years at Assur Ô Hair, I am disappointed with the way of making decision -makers of this company: even if we are informed of an annual increase in the premium that we regulate each month under the General Conditions , this increase is unfair. That the new insured persons pay the price in force at the time of their subscription, it is obviously correct and fair but penalize the former insured by an annual increase, it is not Fairplay and no recognition of their loyalty to Assur ô coat. It is necessary that future new insured people know what awaits them over the years.</v>
      </c>
    </row>
    <row r="819" ht="15.75" customHeight="1">
      <c r="A819" s="2">
        <v>2.0</v>
      </c>
      <c r="B819" s="2" t="s">
        <v>2306</v>
      </c>
      <c r="C819" s="2" t="s">
        <v>2307</v>
      </c>
      <c r="D819" s="2" t="s">
        <v>176</v>
      </c>
      <c r="E819" s="2" t="s">
        <v>285</v>
      </c>
      <c r="F819" s="2" t="s">
        <v>15</v>
      </c>
      <c r="G819" s="2" t="s">
        <v>2308</v>
      </c>
      <c r="H819" s="2" t="s">
        <v>784</v>
      </c>
      <c r="I819" s="3" t="str">
        <f>IFERROR(__xludf.DUMMYFUNCTION("GOOGLETRANSLATE(C819,""fr"",""en"")"),"Since 2012, n
A legal protection file has been opened for a paid and never delivered bathroom. To date in 2020, still nothing. An incompetent legal protection service. We are waiting, and the years pass quietly !!")</f>
        <v>Since 2012, n
A legal protection file has been opened for a paid and never delivered bathroom. To date in 2020, still nothing. An incompetent legal protection service. We are waiting, and the years pass quietly !!</v>
      </c>
    </row>
    <row r="820" ht="15.75" customHeight="1">
      <c r="A820" s="2">
        <v>2.0</v>
      </c>
      <c r="B820" s="2" t="s">
        <v>2309</v>
      </c>
      <c r="C820" s="2" t="s">
        <v>2310</v>
      </c>
      <c r="D820" s="2" t="s">
        <v>48</v>
      </c>
      <c r="E820" s="2" t="s">
        <v>14</v>
      </c>
      <c r="F820" s="2" t="s">
        <v>15</v>
      </c>
      <c r="G820" s="2" t="s">
        <v>1870</v>
      </c>
      <c r="H820" s="2" t="s">
        <v>118</v>
      </c>
      <c r="I820" s="3" t="str">
        <f>IFERROR(__xludf.DUMMYFUNCTION("GOOGLETRANSLATE(C820,""fr"",""en"")"),"brand new all beautiful but when you read the small lines this is where you have the surprises
in particular for repairs of windshields or partners are not present in my region
Besides, there is an obligation to go to partners who are much more expensiv"&amp;"e than a Roady for example
FYI It is the site les Furets.com which recommended me direct insurance")</f>
        <v>brand new all beautiful but when you read the small lines this is where you have the surprises
in particular for repairs of windshields or partners are not present in my region
Besides, there is an obligation to go to partners who are much more expensive than a Roady for example
FYI It is the site les Furets.com which recommended me direct insurance</v>
      </c>
    </row>
    <row r="821" ht="15.75" customHeight="1">
      <c r="A821" s="2">
        <v>4.0</v>
      </c>
      <c r="B821" s="2" t="s">
        <v>2311</v>
      </c>
      <c r="C821" s="2" t="s">
        <v>2312</v>
      </c>
      <c r="D821" s="2" t="s">
        <v>372</v>
      </c>
      <c r="E821" s="2" t="s">
        <v>127</v>
      </c>
      <c r="F821" s="2" t="s">
        <v>15</v>
      </c>
      <c r="G821" s="2" t="s">
        <v>2313</v>
      </c>
      <c r="H821" s="2" t="s">
        <v>185</v>
      </c>
      <c r="I821" s="3" t="str">
        <f>IFERROR(__xludf.DUMMYFUNCTION("GOOGLETRANSLATE(C821,""fr"",""en"")"),"The insurer and professional, attentive and responsive. The steps are simple and use various means that facilitate exchanges. However, the expertise offices in charge of processing motorcycles are unable to treat expertise in suitable deadlines. At least "&amp;"for my case, my rugged motorcycle on 09/23 was 25/09 at a repairer. I did not recover my vehicle on 18/12. This period is essentially due to the delay in the expertise of the vehicle which required 2 passages.")</f>
        <v>The insurer and professional, attentive and responsive. The steps are simple and use various means that facilitate exchanges. However, the expertise offices in charge of processing motorcycles are unable to treat expertise in suitable deadlines. At least for my case, my rugged motorcycle on 09/23 was 25/09 at a repairer. I did not recover my vehicle on 18/12. This period is essentially due to the delay in the expertise of the vehicle which required 2 passages.</v>
      </c>
    </row>
    <row r="822" ht="15.75" customHeight="1">
      <c r="A822" s="2">
        <v>2.0</v>
      </c>
      <c r="B822" s="2" t="s">
        <v>2314</v>
      </c>
      <c r="C822" s="2" t="s">
        <v>2315</v>
      </c>
      <c r="D822" s="2" t="s">
        <v>28</v>
      </c>
      <c r="E822" s="2" t="s">
        <v>285</v>
      </c>
      <c r="F822" s="2" t="s">
        <v>15</v>
      </c>
      <c r="G822" s="2" t="s">
        <v>2316</v>
      </c>
      <c r="H822" s="2" t="s">
        <v>468</v>
      </c>
      <c r="I822" s="3" t="str">
        <f>IFERROR(__xludf.DUMMYFUNCTION("GOOGLETRANSLATE(C822,""fr"",""en"")"),"One cannot believe that the GMF treats its members in this way. The GMF did not assume at all. Water dumps in November 2019 (not very serious, ceiling, and tapestry to redo), expert in February 2020, work quote in June 2020 and again an expertise (why?) I"&amp;"n short an inadmissible galley")</f>
        <v>One cannot believe that the GMF treats its members in this way. The GMF did not assume at all. Water dumps in November 2019 (not very serious, ceiling, and tapestry to redo), expert in February 2020, work quote in June 2020 and again an expertise (why?) In short an inadmissible galley</v>
      </c>
    </row>
    <row r="823" ht="15.75" customHeight="1">
      <c r="A823" s="2">
        <v>1.0</v>
      </c>
      <c r="B823" s="2" t="s">
        <v>2317</v>
      </c>
      <c r="C823" s="2" t="s">
        <v>2318</v>
      </c>
      <c r="D823" s="2" t="s">
        <v>155</v>
      </c>
      <c r="E823" s="2" t="s">
        <v>14</v>
      </c>
      <c r="F823" s="2" t="s">
        <v>15</v>
      </c>
      <c r="G823" s="2" t="s">
        <v>2319</v>
      </c>
      <c r="H823" s="2" t="s">
        <v>261</v>
      </c>
      <c r="I823" s="3" t="str">
        <f>IFERROR(__xludf.DUMMYFUNCTION("GOOGLETRANSLATE(C823,""fr"",""en"")"),"I sent the supporting documents by post and by email, I always receive reminders behind so I try to call, now it has been a week since I try to reach them by phone (16min on the phone before 'They tell you that all the lines are busy and its hanging up), "&amp;"email and twitter and still no answers !!! They are incompetent on a non -existent customer service !!!
Avoid this insurance")</f>
        <v>I sent the supporting documents by post and by email, I always receive reminders behind so I try to call, now it has been a week since I try to reach them by phone (16min on the phone before 'They tell you that all the lines are busy and its hanging up), email and twitter and still no answers !!! They are incompetent on a non -existent customer service !!!
Avoid this insurance</v>
      </c>
    </row>
    <row r="824" ht="15.75" customHeight="1">
      <c r="A824" s="2">
        <v>3.0</v>
      </c>
      <c r="B824" s="2" t="s">
        <v>2320</v>
      </c>
      <c r="C824" s="2" t="s">
        <v>2321</v>
      </c>
      <c r="D824" s="2" t="s">
        <v>102</v>
      </c>
      <c r="E824" s="2" t="s">
        <v>14</v>
      </c>
      <c r="F824" s="2" t="s">
        <v>15</v>
      </c>
      <c r="G824" s="2" t="s">
        <v>2322</v>
      </c>
      <c r="H824" s="2" t="s">
        <v>200</v>
      </c>
      <c r="I824" s="3" t="str">
        <f>IFERROR(__xludf.DUMMYFUNCTION("GOOGLETRANSLATE(C824,""fr"",""en"")"),"MAAF customer for over 25 years I have always had very satisfactory support with this company.")</f>
        <v>MAAF customer for over 25 years I have always had very satisfactory support with this company.</v>
      </c>
    </row>
    <row r="825" ht="15.75" customHeight="1">
      <c r="A825" s="2">
        <v>3.0</v>
      </c>
      <c r="B825" s="2" t="s">
        <v>2323</v>
      </c>
      <c r="C825" s="2" t="s">
        <v>2324</v>
      </c>
      <c r="D825" s="2" t="s">
        <v>13</v>
      </c>
      <c r="E825" s="2" t="s">
        <v>14</v>
      </c>
      <c r="F825" s="2" t="s">
        <v>15</v>
      </c>
      <c r="G825" s="2" t="s">
        <v>490</v>
      </c>
      <c r="H825" s="2" t="s">
        <v>25</v>
      </c>
      <c r="I825" s="3" t="str">
        <f>IFERROR(__xludf.DUMMYFUNCTION("GOOGLETRANSLATE(C825,""fr"",""en"")"),"Satisfied despite the high prices, if not a top -top customer service! I recommend for its customer service. The prices will still be to review!")</f>
        <v>Satisfied despite the high prices, if not a top -top customer service! I recommend for its customer service. The prices will still be to review!</v>
      </c>
    </row>
    <row r="826" ht="15.75" customHeight="1">
      <c r="A826" s="2">
        <v>5.0</v>
      </c>
      <c r="B826" s="2" t="s">
        <v>2325</v>
      </c>
      <c r="C826" s="2" t="s">
        <v>2326</v>
      </c>
      <c r="D826" s="2" t="s">
        <v>48</v>
      </c>
      <c r="E826" s="2" t="s">
        <v>14</v>
      </c>
      <c r="F826" s="2" t="s">
        <v>15</v>
      </c>
      <c r="G826" s="2" t="s">
        <v>308</v>
      </c>
      <c r="H826" s="2" t="s">
        <v>89</v>
      </c>
      <c r="I826" s="3" t="str">
        <f>IFERROR(__xludf.DUMMYFUNCTION("GOOGLETRANSLATE(C826,""fr"",""en"")"),"Well well. I think I have found what suited me and concerned for the car. that I have. Just that I was not told and presented the two free months.")</f>
        <v>Well well. I think I have found what suited me and concerned for the car. that I have. Just that I was not told and presented the two free months.</v>
      </c>
    </row>
    <row r="827" ht="15.75" customHeight="1">
      <c r="A827" s="2">
        <v>4.0</v>
      </c>
      <c r="B827" s="2" t="s">
        <v>2327</v>
      </c>
      <c r="C827" s="2" t="s">
        <v>2328</v>
      </c>
      <c r="D827" s="2" t="s">
        <v>48</v>
      </c>
      <c r="E827" s="2" t="s">
        <v>14</v>
      </c>
      <c r="F827" s="2" t="s">
        <v>15</v>
      </c>
      <c r="G827" s="2" t="s">
        <v>1867</v>
      </c>
      <c r="H827" s="2" t="s">
        <v>99</v>
      </c>
      <c r="I827" s="3" t="str">
        <f>IFERROR(__xludf.DUMMYFUNCTION("GOOGLETRANSLATE(C827,""fr"",""en"")"),"Satisfied, good prices, no worries, good communication, nothing to complain about, good services, efficient and simple, easy to use application, everything is good")</f>
        <v>Satisfied, good prices, no worries, good communication, nothing to complain about, good services, efficient and simple, easy to use application, everything is good</v>
      </c>
    </row>
    <row r="828" ht="15.75" customHeight="1">
      <c r="A828" s="2">
        <v>1.0</v>
      </c>
      <c r="B828" s="2" t="s">
        <v>2329</v>
      </c>
      <c r="C828" s="2" t="s">
        <v>2330</v>
      </c>
      <c r="D828" s="2" t="s">
        <v>28</v>
      </c>
      <c r="E828" s="2" t="s">
        <v>14</v>
      </c>
      <c r="F828" s="2" t="s">
        <v>15</v>
      </c>
      <c r="G828" s="2" t="s">
        <v>2331</v>
      </c>
      <c r="H828" s="2" t="s">
        <v>729</v>
      </c>
      <c r="I828" s="3" t="str">
        <f>IFERROR(__xludf.DUMMYFUNCTION("GOOGLETRANSLATE(C828,""fr"",""en"")"),"Practices close to deception, you are encouraged by phone to sign contracts that you think you are in all risks, and after you re -commit with them for a good year, you receive a recommended that you are actually that you are Not covered for the flight. Y"&amp;"et the amount of the premium paid corresponds well to a formula any risk. Reason: 2 non -responsible claims in the year, however preceded by 4 years without any concern.
The advisers are careful not to inform you clearly of the situation pushing you to s"&amp;"ubscribe to contracts to say the least wobbly")</f>
        <v>Practices close to deception, you are encouraged by phone to sign contracts that you think you are in all risks, and after you re -commit with them for a good year, you receive a recommended that you are actually that you are Not covered for the flight. Yet the amount of the premium paid corresponds well to a formula any risk. Reason: 2 non -responsible claims in the year, however preceded by 4 years without any concern.
The advisers are careful not to inform you clearly of the situation pushing you to subscribe to contracts to say the least wobbly</v>
      </c>
    </row>
    <row r="829" ht="15.75" customHeight="1">
      <c r="A829" s="2">
        <v>4.0</v>
      </c>
      <c r="B829" s="2" t="s">
        <v>2332</v>
      </c>
      <c r="C829" s="2" t="s">
        <v>2333</v>
      </c>
      <c r="D829" s="2" t="s">
        <v>48</v>
      </c>
      <c r="E829" s="2" t="s">
        <v>14</v>
      </c>
      <c r="F829" s="2" t="s">
        <v>15</v>
      </c>
      <c r="G829" s="2" t="s">
        <v>2334</v>
      </c>
      <c r="H829" s="2" t="s">
        <v>50</v>
      </c>
      <c r="I829" s="3" t="str">
        <f>IFERROR(__xludf.DUMMYFUNCTION("GOOGLETRANSLATE(C829,""fr"",""en"")"),"Simple, efficient, fast subscription, competitive prices. Perfect I recommend direct insurance, I would add the other 2 vehicles too")</f>
        <v>Simple, efficient, fast subscription, competitive prices. Perfect I recommend direct insurance, I would add the other 2 vehicles too</v>
      </c>
    </row>
    <row r="830" ht="15.75" customHeight="1">
      <c r="A830" s="2">
        <v>1.0</v>
      </c>
      <c r="B830" s="2" t="s">
        <v>2335</v>
      </c>
      <c r="C830" s="2" t="s">
        <v>2336</v>
      </c>
      <c r="D830" s="2" t="s">
        <v>28</v>
      </c>
      <c r="E830" s="2" t="s">
        <v>14</v>
      </c>
      <c r="F830" s="2" t="s">
        <v>15</v>
      </c>
      <c r="G830" s="2" t="s">
        <v>1139</v>
      </c>
      <c r="H830" s="2" t="s">
        <v>185</v>
      </c>
      <c r="I830" s="3" t="str">
        <f>IFERROR(__xludf.DUMMYFUNCTION("GOOGLETRANSLATE(C830,""fr"",""en"")"),"I just paid my auto subscription and what surprise, 9.2% incl. Tax of increase, but excluding tax and various samples, just the basic contribution 187.72 to 216.58 or +15.37%. Scandalous!!!")</f>
        <v>I just paid my auto subscription and what surprise, 9.2% incl. Tax of increase, but excluding tax and various samples, just the basic contribution 187.72 to 216.58 or +15.37%. Scandalous!!!</v>
      </c>
    </row>
    <row r="831" ht="15.75" customHeight="1">
      <c r="A831" s="2">
        <v>2.0</v>
      </c>
      <c r="B831" s="2" t="s">
        <v>2337</v>
      </c>
      <c r="C831" s="2" t="s">
        <v>2338</v>
      </c>
      <c r="D831" s="2" t="s">
        <v>48</v>
      </c>
      <c r="E831" s="2" t="s">
        <v>14</v>
      </c>
      <c r="F831" s="2" t="s">
        <v>15</v>
      </c>
      <c r="G831" s="2" t="s">
        <v>2083</v>
      </c>
      <c r="H831" s="2" t="s">
        <v>67</v>
      </c>
      <c r="I831" s="3" t="str">
        <f>IFERROR(__xludf.DUMMYFUNCTION("GOOGLETRANSLATE(C831,""fr"",""en"")"),"Correct Population Service The little I had to use it
But what an increase in prices this year 13% seems to me exaggerated and will bring me to change my insurance company")</f>
        <v>Correct Population Service The little I had to use it
But what an increase in prices this year 13% seems to me exaggerated and will bring me to change my insurance company</v>
      </c>
    </row>
    <row r="832" ht="15.75" customHeight="1">
      <c r="A832" s="2">
        <v>2.0</v>
      </c>
      <c r="B832" s="2" t="s">
        <v>2339</v>
      </c>
      <c r="C832" s="2" t="s">
        <v>2340</v>
      </c>
      <c r="D832" s="2" t="s">
        <v>28</v>
      </c>
      <c r="E832" s="2" t="s">
        <v>14</v>
      </c>
      <c r="F832" s="2" t="s">
        <v>15</v>
      </c>
      <c r="G832" s="2" t="s">
        <v>1821</v>
      </c>
      <c r="H832" s="2" t="s">
        <v>99</v>
      </c>
      <c r="I832" s="3" t="str">
        <f>IFERROR(__xludf.DUMMYFUNCTION("GOOGLETRANSLATE(C832,""fr"",""en"")"),"I find that the price is very high compared to the guarantees. I will request an information statement in order to take out a contract with a new insurer.")</f>
        <v>I find that the price is very high compared to the guarantees. I will request an information statement in order to take out a contract with a new insurer.</v>
      </c>
    </row>
    <row r="833" ht="15.75" customHeight="1">
      <c r="A833" s="2">
        <v>5.0</v>
      </c>
      <c r="B833" s="2" t="s">
        <v>2341</v>
      </c>
      <c r="C833" s="2" t="s">
        <v>2342</v>
      </c>
      <c r="D833" s="2" t="s">
        <v>28</v>
      </c>
      <c r="E833" s="2" t="s">
        <v>14</v>
      </c>
      <c r="F833" s="2" t="s">
        <v>15</v>
      </c>
      <c r="G833" s="2" t="s">
        <v>2343</v>
      </c>
      <c r="H833" s="2" t="s">
        <v>89</v>
      </c>
      <c r="I833" s="3" t="str">
        <f>IFERROR(__xludf.DUMMYFUNCTION("GOOGLETRANSLATE(C833,""fr"",""en"")"),"I am satisfied effective and meet the needs of my family. With a simple click I get what I ask. The platform is easy to use is I really can find what I need.")</f>
        <v>I am satisfied effective and meet the needs of my family. With a simple click I get what I ask. The platform is easy to use is I really can find what I need.</v>
      </c>
    </row>
    <row r="834" ht="15.75" customHeight="1">
      <c r="A834" s="2">
        <v>5.0</v>
      </c>
      <c r="B834" s="2" t="s">
        <v>2344</v>
      </c>
      <c r="C834" s="2" t="s">
        <v>2345</v>
      </c>
      <c r="D834" s="2" t="s">
        <v>135</v>
      </c>
      <c r="E834" s="2" t="s">
        <v>44</v>
      </c>
      <c r="F834" s="2" t="s">
        <v>15</v>
      </c>
      <c r="G834" s="2" t="s">
        <v>2346</v>
      </c>
      <c r="H834" s="2" t="s">
        <v>287</v>
      </c>
      <c r="I834" s="3" t="str">
        <f>IFERROR(__xludf.DUMMYFUNCTION("GOOGLETRANSLATE(C834,""fr"",""en"")"),"Entirely satisfied with the service offered, both in the clarity of the information and the ease of implementation")</f>
        <v>Entirely satisfied with the service offered, both in the clarity of the information and the ease of implementation</v>
      </c>
    </row>
    <row r="835" ht="15.75" customHeight="1">
      <c r="A835" s="2">
        <v>4.0</v>
      </c>
      <c r="B835" s="2" t="s">
        <v>2347</v>
      </c>
      <c r="C835" s="2" t="s">
        <v>2348</v>
      </c>
      <c r="D835" s="2" t="s">
        <v>13</v>
      </c>
      <c r="E835" s="2" t="s">
        <v>14</v>
      </c>
      <c r="F835" s="2" t="s">
        <v>15</v>
      </c>
      <c r="G835" s="2" t="s">
        <v>1324</v>
      </c>
      <c r="H835" s="2" t="s">
        <v>25</v>
      </c>
      <c r="I835" s="3" t="str">
        <f>IFERROR(__xludf.DUMMYFUNCTION("GOOGLETRANSLATE(C835,""fr"",""en"")"),"I am satisfied the prices and the guarantees suit me except the franchise that I find a little expensive but it goes down after a year of insurance.")</f>
        <v>I am satisfied the prices and the guarantees suit me except the franchise that I find a little expensive but it goes down after a year of insurance.</v>
      </c>
    </row>
    <row r="836" ht="15.75" customHeight="1">
      <c r="A836" s="2">
        <v>1.0</v>
      </c>
      <c r="B836" s="2" t="s">
        <v>2349</v>
      </c>
      <c r="C836" s="2" t="s">
        <v>2350</v>
      </c>
      <c r="D836" s="2" t="s">
        <v>43</v>
      </c>
      <c r="E836" s="2" t="s">
        <v>44</v>
      </c>
      <c r="F836" s="2" t="s">
        <v>15</v>
      </c>
      <c r="G836" s="2" t="s">
        <v>2351</v>
      </c>
      <c r="H836" s="2" t="s">
        <v>497</v>
      </c>
      <c r="I836" s="3" t="str">
        <f>IFERROR(__xludf.DUMMYFUNCTION("GOOGLETRANSLATE(C836,""fr"",""en"")"),"Horrible advice run away as soon as possible. Impossible to find an amicable solution for a CT")</f>
        <v>Horrible advice run away as soon as possible. Impossible to find an amicable solution for a CT</v>
      </c>
    </row>
    <row r="837" ht="15.75" customHeight="1">
      <c r="A837" s="2">
        <v>1.0</v>
      </c>
      <c r="B837" s="2" t="s">
        <v>2352</v>
      </c>
      <c r="C837" s="2" t="s">
        <v>2353</v>
      </c>
      <c r="D837" s="2" t="s">
        <v>2354</v>
      </c>
      <c r="E837" s="2" t="s">
        <v>2355</v>
      </c>
      <c r="F837" s="2" t="s">
        <v>15</v>
      </c>
      <c r="G837" s="2" t="s">
        <v>24</v>
      </c>
      <c r="H837" s="2" t="s">
        <v>25</v>
      </c>
      <c r="I837" s="3" t="str">
        <f>IFERROR(__xludf.DUMMYFUNCTION("GOOGLETRANSLATE(C837,""fr"",""en"")"),"For all conventional insurers you have to take everything to stay in the nails otherwise it is impossible to ensure your job with them it is a just good scandal to charge but no service ...")</f>
        <v>For all conventional insurers you have to take everything to stay in the nails otherwise it is impossible to ensure your job with them it is a just good scandal to charge but no service ...</v>
      </c>
    </row>
    <row r="838" ht="15.75" customHeight="1">
      <c r="A838" s="2">
        <v>1.0</v>
      </c>
      <c r="B838" s="2" t="s">
        <v>2356</v>
      </c>
      <c r="C838" s="2" t="s">
        <v>2357</v>
      </c>
      <c r="D838" s="2" t="s">
        <v>228</v>
      </c>
      <c r="E838" s="2" t="s">
        <v>14</v>
      </c>
      <c r="F838" s="2" t="s">
        <v>15</v>
      </c>
      <c r="G838" s="2" t="s">
        <v>2358</v>
      </c>
      <c r="H838" s="2" t="s">
        <v>200</v>
      </c>
      <c r="I838" s="3" t="str">
        <f>IFERROR(__xludf.DUMMYFUNCTION("GOOGLETRANSLATE(C838,""fr"",""en"")"),"Hello,
For 7 years I have been insured at Axa, I was satisfied and since then I am no longer I am really unhappy I ""have tried to join them 11 times today 5 min of waiting. working time and no one on the phone. The only times I could have an advisor I a"&amp;"sked for an information statement in the end I was sent to me a green card that I did not ask. I I also make several requests via my customer area for an information statement that tells me that it will be sent by mail, I have made the request 4 times and"&amp;" I still do not have it.")</f>
        <v>Hello,
For 7 years I have been insured at Axa, I was satisfied and since then I am no longer I am really unhappy I "have tried to join them 11 times today 5 min of waiting. working time and no one on the phone. The only times I could have an advisor I asked for an information statement in the end I was sent to me a green card that I did not ask. I I also make several requests via my customer area for an information statement that tells me that it will be sent by mail, I have made the request 4 times and I still do not have it.</v>
      </c>
    </row>
    <row r="839" ht="15.75" customHeight="1">
      <c r="A839" s="2">
        <v>2.0</v>
      </c>
      <c r="B839" s="2" t="s">
        <v>2359</v>
      </c>
      <c r="C839" s="2" t="s">
        <v>2360</v>
      </c>
      <c r="D839" s="2" t="s">
        <v>48</v>
      </c>
      <c r="E839" s="2" t="s">
        <v>14</v>
      </c>
      <c r="F839" s="2" t="s">
        <v>15</v>
      </c>
      <c r="G839" s="2" t="s">
        <v>2361</v>
      </c>
      <c r="H839" s="2" t="s">
        <v>211</v>
      </c>
      <c r="I839" s="3" t="str">
        <f>IFERROR(__xludf.DUMMYFUNCTION("GOOGLETRANSLATE(C839,""fr"",""en"")"),"very good insurance when nothing is happening
Victim of an accident in a direct insurance roundabout hastened to take into account the accident at 50/50 when I was not in wrong but like that at 2 months to go to 50% forever I am ironed at 45%. I find it "&amp;"lamentable. I expect an insurer that he protects us and defends us. Besides, coming from a car chager I change my insurer")</f>
        <v>very good insurance when nothing is happening
Victim of an accident in a direct insurance roundabout hastened to take into account the accident at 50/50 when I was not in wrong but like that at 2 months to go to 50% forever I am ironed at 45%. I find it lamentable. I expect an insurer that he protects us and defends us. Besides, coming from a car chager I change my insurer</v>
      </c>
    </row>
    <row r="840" ht="15.75" customHeight="1">
      <c r="A840" s="2">
        <v>1.0</v>
      </c>
      <c r="B840" s="2" t="s">
        <v>2362</v>
      </c>
      <c r="C840" s="2" t="s">
        <v>2363</v>
      </c>
      <c r="D840" s="2" t="s">
        <v>48</v>
      </c>
      <c r="E840" s="2" t="s">
        <v>14</v>
      </c>
      <c r="F840" s="2" t="s">
        <v>15</v>
      </c>
      <c r="G840" s="2" t="s">
        <v>45</v>
      </c>
      <c r="H840" s="2" t="s">
        <v>25</v>
      </c>
      <c r="I840" s="3" t="str">
        <f>IFERROR(__xludf.DUMMYFUNCTION("GOOGLETRANSLATE(C840,""fr"",""en"")"),"Direct Insurance is a very poor insurance, incompetent in claims management. Customer for almost 8 years at home without any claims before. I am assured of all risks Pack Comfort and my disaster has been deemed 50% of responsibility. They had my file drag"&amp;"ged 3 months before answering me that they did not take anything in charge, in collusion with their designated expert from BCA Expertise, who say it is not impartial and is in the balance of Direct Assurance. Basically according to them I shocked alone ag"&amp;"ainst a motionless object when the observation was signed by the other driver and the twists were shared (50% each) according to the direct insurance counselor herself . So it's been 4 months since I can use my vehicle, it is impossible to reach them, nei"&amp;"ther them nor the expertise firm to contest their decisions.
Unless you never drive your vehicle and be sure you never have any problems, don't come to Direct Insurance. They are gifted to have you sign the contract but after there is no one to turn to t"&amp;"he affair and above all you will not be taken care of. Even their customer -based customer relations center will succeed in filtering your calls and will not pick up. Direct insurance, to flee !!!!!")</f>
        <v>Direct Insurance is a very poor insurance, incompetent in claims management. Customer for almost 8 years at home without any claims before. I am assured of all risks Pack Comfort and my disaster has been deemed 50% of responsibility. They had my file dragged 3 months before answering me that they did not take anything in charge, in collusion with their designated expert from BCA Expertise, who say it is not impartial and is in the balance of Direct Assurance. Basically according to them I shocked alone against a motionless object when the observation was signed by the other driver and the twists were shared (50% each) according to the direct insurance counselor herself . So it's been 4 months since I can use my vehicle, it is impossible to reach them, neither them nor the expertise firm to contest their decisions.
Unless you never drive your vehicle and be sure you never have any problems, don't come to Direct Insurance. They are gifted to have you sign the contract but after there is no one to turn to the affair and above all you will not be taken care of. Even their customer -based customer relations center will succeed in filtering your calls and will not pick up. Direct insurance, to flee !!!!!</v>
      </c>
    </row>
    <row r="841" ht="15.75" customHeight="1">
      <c r="A841" s="2">
        <v>5.0</v>
      </c>
      <c r="B841" s="2" t="s">
        <v>2364</v>
      </c>
      <c r="C841" s="2" t="s">
        <v>2365</v>
      </c>
      <c r="D841" s="2" t="s">
        <v>48</v>
      </c>
      <c r="E841" s="2" t="s">
        <v>285</v>
      </c>
      <c r="F841" s="2" t="s">
        <v>15</v>
      </c>
      <c r="G841" s="2" t="s">
        <v>2366</v>
      </c>
      <c r="H841" s="2" t="s">
        <v>200</v>
      </c>
      <c r="I841" s="3" t="str">
        <f>IFERROR(__xludf.DUMMYFUNCTION("GOOGLETRANSLATE(C841,""fr"",""en"")"),"The telephone platform reachable very quickly and free of charge in case of questions or other procedures.
The speed of their return, sending documents by email, ease of contract management, I recommend without hesitation this insurer defying all the com"&amp;"petition.")</f>
        <v>The telephone platform reachable very quickly and free of charge in case of questions or other procedures.
The speed of their return, sending documents by email, ease of contract management, I recommend without hesitation this insurer defying all the competition.</v>
      </c>
    </row>
    <row r="842" ht="15.75" customHeight="1">
      <c r="A842" s="2">
        <v>5.0</v>
      </c>
      <c r="B842" s="2" t="s">
        <v>2367</v>
      </c>
      <c r="C842" s="2" t="s">
        <v>2368</v>
      </c>
      <c r="D842" s="2" t="s">
        <v>126</v>
      </c>
      <c r="E842" s="2" t="s">
        <v>127</v>
      </c>
      <c r="F842" s="2" t="s">
        <v>15</v>
      </c>
      <c r="G842" s="2" t="s">
        <v>857</v>
      </c>
      <c r="H842" s="2" t="s">
        <v>50</v>
      </c>
      <c r="I842" s="3" t="str">
        <f>IFERROR(__xludf.DUMMYFUNCTION("GOOGLETRANSLATE(C842,""fr"",""en"")"),"Very satisfied and very fast.
Best price after internet search.
Subscription made on the internet. Simple and efficient. I recommend without problem")</f>
        <v>Very satisfied and very fast.
Best price after internet search.
Subscription made on the internet. Simple and efficient. I recommend without problem</v>
      </c>
    </row>
    <row r="843" ht="15.75" customHeight="1">
      <c r="A843" s="2">
        <v>5.0</v>
      </c>
      <c r="B843" s="2" t="s">
        <v>2369</v>
      </c>
      <c r="C843" s="2" t="s">
        <v>2370</v>
      </c>
      <c r="D843" s="2" t="s">
        <v>13</v>
      </c>
      <c r="E843" s="2" t="s">
        <v>14</v>
      </c>
      <c r="F843" s="2" t="s">
        <v>15</v>
      </c>
      <c r="G843" s="2" t="s">
        <v>66</v>
      </c>
      <c r="H843" s="2" t="s">
        <v>67</v>
      </c>
      <c r="I843" s="3" t="str">
        <f>IFERROR(__xludf.DUMMYFUNCTION("GOOGLETRANSLATE(C843,""fr"",""en"")"),"Presentation at the top, easy guidance to complete the documents and sign a contract. Proposals has very attractive prices!
I recommend Olivier Insurance!
")</f>
        <v>Presentation at the top, easy guidance to complete the documents and sign a contract. Proposals has very attractive prices!
I recommend Olivier Insurance!
</v>
      </c>
    </row>
    <row r="844" ht="15.75" customHeight="1">
      <c r="A844" s="2">
        <v>5.0</v>
      </c>
      <c r="B844" s="2" t="s">
        <v>2371</v>
      </c>
      <c r="C844" s="2" t="s">
        <v>2372</v>
      </c>
      <c r="D844" s="2" t="s">
        <v>241</v>
      </c>
      <c r="E844" s="2" t="s">
        <v>242</v>
      </c>
      <c r="F844" s="2" t="s">
        <v>15</v>
      </c>
      <c r="G844" s="2" t="s">
        <v>1145</v>
      </c>
      <c r="H844" s="2" t="s">
        <v>21</v>
      </c>
      <c r="I844" s="3" t="str">
        <f>IFERROR(__xludf.DUMMYFUNCTION("GOOGLETRANSLATE(C844,""fr"",""en"")"),"The prices are very attractive.
I hope we make the right choice.
You have to see in the long term.
I would return in 6 months to their sites.")</f>
        <v>The prices are very attractive.
I hope we make the right choice.
You have to see in the long term.
I would return in 6 months to their sites.</v>
      </c>
    </row>
    <row r="845" ht="15.75" customHeight="1">
      <c r="A845" s="2">
        <v>2.0</v>
      </c>
      <c r="B845" s="2" t="s">
        <v>2373</v>
      </c>
      <c r="C845" s="2" t="s">
        <v>2374</v>
      </c>
      <c r="D845" s="2" t="s">
        <v>83</v>
      </c>
      <c r="E845" s="2" t="s">
        <v>14</v>
      </c>
      <c r="F845" s="2" t="s">
        <v>15</v>
      </c>
      <c r="G845" s="2" t="s">
        <v>2375</v>
      </c>
      <c r="H845" s="2" t="s">
        <v>562</v>
      </c>
      <c r="I845" s="3" t="str">
        <f>IFERROR(__xludf.DUMMYFUNCTION("GOOGLETRANSLATE(C845,""fr"",""en"")"),"Having had an incident on the 2609 of this year, a technical agent employed by the town hall of my village has broken a rear window of my vehicle La Matmut has not been necessary since today because according to these words it has Received no observation "&amp;"which is completely false since I sent it and the town hall also on Wednesday and I specify that it was sent by email I let you do your conclusion by yourself for me my car has been immobilized for 4 days.")</f>
        <v>Having had an incident on the 2609 of this year, a technical agent employed by the town hall of my village has broken a rear window of my vehicle La Matmut has not been necessary since today because according to these words it has Received no observation which is completely false since I sent it and the town hall also on Wednesday and I specify that it was sent by email I let you do your conclusion by yourself for me my car has been immobilized for 4 days.</v>
      </c>
    </row>
    <row r="846" ht="15.75" customHeight="1">
      <c r="A846" s="2">
        <v>5.0</v>
      </c>
      <c r="B846" s="2" t="s">
        <v>2376</v>
      </c>
      <c r="C846" s="2" t="s">
        <v>2377</v>
      </c>
      <c r="D846" s="2" t="s">
        <v>13</v>
      </c>
      <c r="E846" s="2" t="s">
        <v>14</v>
      </c>
      <c r="F846" s="2" t="s">
        <v>15</v>
      </c>
      <c r="G846" s="2" t="s">
        <v>832</v>
      </c>
      <c r="H846" s="2" t="s">
        <v>21</v>
      </c>
      <c r="I846" s="3" t="str">
        <f>IFERROR(__xludf.DUMMYFUNCTION("GOOGLETRANSLATE(C846,""fr"",""en"")"),"Simple, and practical, clear warranty conditions. No commercial telephone reminder. A little high franchise all the same. Sion it seems good")</f>
        <v>Simple, and practical, clear warranty conditions. No commercial telephone reminder. A little high franchise all the same. Sion it seems good</v>
      </c>
    </row>
    <row r="847" ht="15.75" customHeight="1">
      <c r="A847" s="2">
        <v>4.0</v>
      </c>
      <c r="B847" s="2" t="s">
        <v>2378</v>
      </c>
      <c r="C847" s="2" t="s">
        <v>2379</v>
      </c>
      <c r="D847" s="2" t="s">
        <v>48</v>
      </c>
      <c r="E847" s="2" t="s">
        <v>14</v>
      </c>
      <c r="F847" s="2" t="s">
        <v>15</v>
      </c>
      <c r="G847" s="2" t="s">
        <v>1923</v>
      </c>
      <c r="H847" s="2" t="s">
        <v>50</v>
      </c>
      <c r="I847" s="3" t="str">
        <f>IFERROR(__xludf.DUMMYFUNCTION("GOOGLETRANSLATE(C847,""fr"",""en"")"),"For the moment satisfied with the price and flexible subscription.
Very transparent quote generation.
Insurance for young people and serious people.
Modern insurance")</f>
        <v>For the moment satisfied with the price and flexible subscription.
Very transparent quote generation.
Insurance for young people and serious people.
Modern insurance</v>
      </c>
    </row>
    <row r="848" ht="15.75" customHeight="1">
      <c r="A848" s="2">
        <v>4.0</v>
      </c>
      <c r="B848" s="2" t="s">
        <v>2380</v>
      </c>
      <c r="C848" s="2" t="s">
        <v>2381</v>
      </c>
      <c r="D848" s="2" t="s">
        <v>13</v>
      </c>
      <c r="E848" s="2" t="s">
        <v>14</v>
      </c>
      <c r="F848" s="2" t="s">
        <v>15</v>
      </c>
      <c r="G848" s="2" t="s">
        <v>517</v>
      </c>
      <c r="H848" s="2" t="s">
        <v>89</v>
      </c>
      <c r="I848" s="3" t="str">
        <f>IFERROR(__xludf.DUMMYFUNCTION("GOOGLETRANSLATE(C848,""fr"",""en"")"),"The quality/price ratio is rather correct but the services offered are to be seen over time. Indeed, I have just signed the contract .....")</f>
        <v>The quality/price ratio is rather correct but the services offered are to be seen over time. Indeed, I have just signed the contract .....</v>
      </c>
    </row>
    <row r="849" ht="15.75" customHeight="1">
      <c r="A849" s="2">
        <v>1.0</v>
      </c>
      <c r="B849" s="2" t="s">
        <v>2382</v>
      </c>
      <c r="C849" s="2" t="s">
        <v>2383</v>
      </c>
      <c r="D849" s="2" t="s">
        <v>37</v>
      </c>
      <c r="E849" s="2" t="s">
        <v>38</v>
      </c>
      <c r="F849" s="2" t="s">
        <v>15</v>
      </c>
      <c r="G849" s="2" t="s">
        <v>2384</v>
      </c>
      <c r="H849" s="2" t="s">
        <v>178</v>
      </c>
      <c r="I849" s="3" t="str">
        <f>IFERROR(__xludf.DUMMYFUNCTION("GOOGLETRANSLATE(C849,""fr"",""en"")"),"Hello,
10 years after the death of an uncle, my elderly father received a letter which informed him of what he was perhaps benefiting from a life insurance contract. Since then, despite sending the documents requested, the CNP is a silence radio and does"&amp;" not even respect the insurance code.
We understand this type of difficulty better when we read the report, a little forbidden certainly, of the authority for the control of insurance institutions which still has cleaning in this company:
https://acpr.b"&amp;"anque-france.fr/fileadmin/user_upload/acp/protection_de_la_clientele/20160429-rapport-acpr-loi-ceckert.pdf")</f>
        <v>Hello,
10 years after the death of an uncle, my elderly father received a letter which informed him of what he was perhaps benefiting from a life insurance contract. Since then, despite sending the documents requested, the CNP is a silence radio and does not even respect the insurance code.
We understand this type of difficulty better when we read the report, a little forbidden certainly, of the authority for the control of insurance institutions which still has cleaning in this company:
https://acpr.banque-france.fr/fileadmin/user_upload/acp/protection_de_la_clientele/20160429-rapport-acpr-loi-ceckert.pdf</v>
      </c>
    </row>
    <row r="850" ht="15.75" customHeight="1">
      <c r="A850" s="2">
        <v>1.0</v>
      </c>
      <c r="B850" s="2" t="s">
        <v>2385</v>
      </c>
      <c r="C850" s="2" t="s">
        <v>2386</v>
      </c>
      <c r="D850" s="2" t="s">
        <v>330</v>
      </c>
      <c r="E850" s="2" t="s">
        <v>44</v>
      </c>
      <c r="F850" s="2" t="s">
        <v>15</v>
      </c>
      <c r="G850" s="2" t="s">
        <v>2171</v>
      </c>
      <c r="H850" s="2" t="s">
        <v>67</v>
      </c>
      <c r="I850" s="3" t="str">
        <f>IFERROR(__xludf.DUMMYFUNCTION("GOOGLETRANSLATE(C850,""fr"",""en"")"),"Since 1982 that I adhere to the MGP, the observation is as follows: we pay more and more expensive and we are less and less reimbursed. I am no longer satisfied.")</f>
        <v>Since 1982 that I adhere to the MGP, the observation is as follows: we pay more and more expensive and we are less and less reimbursed. I am no longer satisfied.</v>
      </c>
    </row>
    <row r="851" ht="15.75" customHeight="1">
      <c r="A851" s="2">
        <v>5.0</v>
      </c>
      <c r="B851" s="2" t="s">
        <v>2387</v>
      </c>
      <c r="C851" s="2" t="s">
        <v>2388</v>
      </c>
      <c r="D851" s="2" t="s">
        <v>48</v>
      </c>
      <c r="E851" s="2" t="s">
        <v>14</v>
      </c>
      <c r="F851" s="2" t="s">
        <v>15</v>
      </c>
      <c r="G851" s="2" t="s">
        <v>2047</v>
      </c>
      <c r="H851" s="2" t="s">
        <v>50</v>
      </c>
      <c r="I851" s="3" t="str">
        <f>IFERROR(__xludf.DUMMYFUNCTION("GOOGLETRANSLATE(C851,""fr"",""en"")"),"I am very satisfied with the contract that Direct Insurance offered me and I will recommend it to everyone but friends. And the fact of doing my online contract was very very very fast")</f>
        <v>I am very satisfied with the contract that Direct Insurance offered me and I will recommend it to everyone but friends. And the fact of doing my online contract was very very very fast</v>
      </c>
    </row>
    <row r="852" ht="15.75" customHeight="1">
      <c r="A852" s="2">
        <v>1.0</v>
      </c>
      <c r="B852" s="2" t="s">
        <v>2389</v>
      </c>
      <c r="C852" s="2" t="s">
        <v>2390</v>
      </c>
      <c r="D852" s="2" t="s">
        <v>400</v>
      </c>
      <c r="E852" s="2" t="s">
        <v>14</v>
      </c>
      <c r="F852" s="2" t="s">
        <v>15</v>
      </c>
      <c r="G852" s="2" t="s">
        <v>207</v>
      </c>
      <c r="H852" s="2" t="s">
        <v>67</v>
      </c>
      <c r="I852" s="3" t="str">
        <f>IFERROR(__xludf.DUMMYFUNCTION("GOOGLETRANSLATE(C852,""fr"",""en"")"),"Quote at 50 euros/month at all risk contract signed at 52 euros per month and after 2 years increased to 56 euros per month without any accidents I intend to leave Pacifica")</f>
        <v>Quote at 50 euros/month at all risk contract signed at 52 euros per month and after 2 years increased to 56 euros per month without any accidents I intend to leave Pacifica</v>
      </c>
    </row>
    <row r="853" ht="15.75" customHeight="1">
      <c r="A853" s="2">
        <v>3.0</v>
      </c>
      <c r="B853" s="2" t="s">
        <v>2391</v>
      </c>
      <c r="C853" s="2" t="s">
        <v>2392</v>
      </c>
      <c r="D853" s="2" t="s">
        <v>390</v>
      </c>
      <c r="E853" s="2" t="s">
        <v>33</v>
      </c>
      <c r="F853" s="2" t="s">
        <v>15</v>
      </c>
      <c r="G853" s="2" t="s">
        <v>774</v>
      </c>
      <c r="H853" s="2" t="s">
        <v>468</v>
      </c>
      <c r="I853" s="3" t="str">
        <f>IFERROR(__xludf.DUMMYFUNCTION("GOOGLETRANSLATE(C853,""fr"",""en"")"),"I am the benefit of a cardif life insurance subscribed by my grandmother, and Cardif BNP Paribas does not honor her commitments, more than 2 months delay of payment for no reason (the file was received full in mid-March! ))")</f>
        <v>I am the benefit of a cardif life insurance subscribed by my grandmother, and Cardif BNP Paribas does not honor her commitments, more than 2 months delay of payment for no reason (the file was received full in mid-March! ))</v>
      </c>
    </row>
    <row r="854" ht="15.75" customHeight="1">
      <c r="A854" s="2">
        <v>4.0</v>
      </c>
      <c r="B854" s="2" t="s">
        <v>2393</v>
      </c>
      <c r="C854" s="2" t="s">
        <v>2394</v>
      </c>
      <c r="D854" s="2" t="s">
        <v>13</v>
      </c>
      <c r="E854" s="2" t="s">
        <v>14</v>
      </c>
      <c r="F854" s="2" t="s">
        <v>15</v>
      </c>
      <c r="G854" s="2" t="s">
        <v>1230</v>
      </c>
      <c r="H854" s="2" t="s">
        <v>247</v>
      </c>
      <c r="I854" s="3" t="str">
        <f>IFERROR(__xludf.DUMMYFUNCTION("GOOGLETRANSLATE(C854,""fr"",""en"")"),"I am satisfied with the service the prices suit me simple and practical to me. I advise it to several people to join this insurance in all serenity")</f>
        <v>I am satisfied with the service the prices suit me simple and practical to me. I advise it to several people to join this insurance in all serenity</v>
      </c>
    </row>
    <row r="855" ht="15.75" customHeight="1">
      <c r="A855" s="2">
        <v>2.0</v>
      </c>
      <c r="B855" s="2" t="s">
        <v>2395</v>
      </c>
      <c r="C855" s="2" t="s">
        <v>2396</v>
      </c>
      <c r="D855" s="2" t="s">
        <v>48</v>
      </c>
      <c r="E855" s="2" t="s">
        <v>14</v>
      </c>
      <c r="F855" s="2" t="s">
        <v>15</v>
      </c>
      <c r="G855" s="2" t="s">
        <v>66</v>
      </c>
      <c r="H855" s="2" t="s">
        <v>67</v>
      </c>
      <c r="I855" s="3" t="str">
        <f>IFERROR(__xludf.DUMMYFUNCTION("GOOGLETRANSLATE(C855,""fr"",""en"")"),"I had a television more than unpleasant and mocking limits, big lack of respect. I am a teleoperator and this kind of attitude is unbearable when we are a customer. Unprofessional.
Cdt")</f>
        <v>I had a television more than unpleasant and mocking limits, big lack of respect. I am a teleoperator and this kind of attitude is unbearable when we are a customer. Unprofessional.
Cdt</v>
      </c>
    </row>
    <row r="856" ht="15.75" customHeight="1">
      <c r="A856" s="2">
        <v>1.0</v>
      </c>
      <c r="B856" s="2" t="s">
        <v>2397</v>
      </c>
      <c r="C856" s="2" t="s">
        <v>2398</v>
      </c>
      <c r="D856" s="2" t="s">
        <v>126</v>
      </c>
      <c r="E856" s="2" t="s">
        <v>127</v>
      </c>
      <c r="F856" s="2" t="s">
        <v>15</v>
      </c>
      <c r="G856" s="2" t="s">
        <v>487</v>
      </c>
      <c r="H856" s="2" t="s">
        <v>29</v>
      </c>
      <c r="I856" s="3" t="str">
        <f>IFERROR(__xludf.DUMMYFUNCTION("GOOGLETRANSLATE(C856,""fr"",""en"")"),"Oddly impossible to find the same price as the estimate of 3 days ago.
10 € more per month.
I would like you to call me back to take stock of this problem.
Cordially.")</f>
        <v>Oddly impossible to find the same price as the estimate of 3 days ago.
10 € more per month.
I would like you to call me back to take stock of this problem.
Cordially.</v>
      </c>
    </row>
    <row r="857" ht="15.75" customHeight="1">
      <c r="A857" s="2">
        <v>1.0</v>
      </c>
      <c r="B857" s="2" t="s">
        <v>2399</v>
      </c>
      <c r="C857" s="2" t="s">
        <v>2400</v>
      </c>
      <c r="D857" s="2" t="s">
        <v>13</v>
      </c>
      <c r="E857" s="2" t="s">
        <v>14</v>
      </c>
      <c r="F857" s="2" t="s">
        <v>15</v>
      </c>
      <c r="G857" s="2" t="s">
        <v>246</v>
      </c>
      <c r="H857" s="2" t="s">
        <v>17</v>
      </c>
      <c r="I857" s="3" t="str">
        <f>IFERROR(__xludf.DUMMYFUNCTION("GOOGLETRANSLATE(C857,""fr"",""en"")"),"At the start I was rather satisfied because the olive tree accepted my file despite that I had a little penalty only after three years with a contract with them and without accident and without having used their services I continued To pay full price when"&amp;" I had no longer even pennus, and just when I wanted to call on them they always found a pretext not to pay and even for a tow truck I had a reduction From 10th, thank you for the gesture, big joke in any case I left them so that then I am sent a situatio"&amp;"n of completely aberrant unpaid ... I am disgusted to have trusted them.
Price level for the same type of contract I have found twice cheaper elsewhere with more interesting conditions.")</f>
        <v>At the start I was rather satisfied because the olive tree accepted my file despite that I had a little penalty only after three years with a contract with them and without accident and without having used their services I continued To pay full price when I had no longer even pennus, and just when I wanted to call on them they always found a pretext not to pay and even for a tow truck I had a reduction From 10th, thank you for the gesture, big joke in any case I left them so that then I am sent a situation of completely aberrant unpaid ... I am disgusted to have trusted them.
Price level for the same type of contract I have found twice cheaper elsewhere with more interesting conditions.</v>
      </c>
    </row>
    <row r="858" ht="15.75" customHeight="1">
      <c r="A858" s="2">
        <v>5.0</v>
      </c>
      <c r="B858" s="2" t="s">
        <v>2401</v>
      </c>
      <c r="C858" s="2" t="s">
        <v>2402</v>
      </c>
      <c r="D858" s="2" t="s">
        <v>13</v>
      </c>
      <c r="E858" s="2" t="s">
        <v>14</v>
      </c>
      <c r="F858" s="2" t="s">
        <v>15</v>
      </c>
      <c r="G858" s="2" t="s">
        <v>1918</v>
      </c>
      <c r="H858" s="2" t="s">
        <v>50</v>
      </c>
      <c r="I858" s="3" t="str">
        <f>IFERROR(__xludf.DUMMYFUNCTION("GOOGLETRANSLATE(C858,""fr"",""en"")"),"Simple subscription and well -explained methods. The telephone contact was very courteous. My interlocutor took it all the time necessary to help me subscribe.")</f>
        <v>Simple subscription and well -explained methods. The telephone contact was very courteous. My interlocutor took it all the time necessary to help me subscribe.</v>
      </c>
    </row>
    <row r="859" ht="15.75" customHeight="1">
      <c r="A859" s="2">
        <v>3.0</v>
      </c>
      <c r="B859" s="2" t="s">
        <v>2403</v>
      </c>
      <c r="C859" s="2" t="s">
        <v>2404</v>
      </c>
      <c r="D859" s="2" t="s">
        <v>1388</v>
      </c>
      <c r="E859" s="2" t="s">
        <v>38</v>
      </c>
      <c r="F859" s="2" t="s">
        <v>15</v>
      </c>
      <c r="G859" s="2" t="s">
        <v>1555</v>
      </c>
      <c r="H859" s="2" t="s">
        <v>99</v>
      </c>
      <c r="I859" s="3" t="str">
        <f>IFERROR(__xludf.DUMMYFUNCTION("GOOGLETRANSLATE(C859,""fr"",""en"")"),"Following an accident at work, my salary is reduced.
Provident was subscribed to Malakoff Humanis.
For more than six months, after requests and procedures with this insurance by myself, the secretariat of my company and the accounting service, the answe"&amp;"r was positive (with no information for the employee, dixit the secretaries: ""They are not not empowered to answer "".
   However, today their answer is quite different: no possibility of having help from this insurance.
    Being insured at is more th"&amp;"an disappointing !!!")</f>
        <v>Following an accident at work, my salary is reduced.
Provident was subscribed to Malakoff Humanis.
For more than six months, after requests and procedures with this insurance by myself, the secretariat of my company and the accounting service, the answer was positive (with no information for the employee, dixit the secretaries: "They are not not empowered to answer ".
   However, today their answer is quite different: no possibility of having help from this insurance.
    Being insured at is more than disappointing !!!</v>
      </c>
    </row>
    <row r="860" ht="15.75" customHeight="1">
      <c r="A860" s="2">
        <v>3.0</v>
      </c>
      <c r="B860" s="2" t="s">
        <v>2405</v>
      </c>
      <c r="C860" s="2" t="s">
        <v>2406</v>
      </c>
      <c r="D860" s="2" t="s">
        <v>135</v>
      </c>
      <c r="E860" s="2" t="s">
        <v>44</v>
      </c>
      <c r="F860" s="2" t="s">
        <v>15</v>
      </c>
      <c r="G860" s="2" t="s">
        <v>2407</v>
      </c>
      <c r="H860" s="2" t="s">
        <v>204</v>
      </c>
      <c r="I860" s="3" t="str">
        <f>IFERROR(__xludf.DUMMYFUNCTION("GOOGLETRANSLATE(C860,""fr"",""en"")"),"Sarah: Very concise, very effective. I had two types of questions to ask him: - on the activation of my member space - How to see the reimbursements the answers to my questions were all satisfied in record time and I thank him.")</f>
        <v>Sarah: Very concise, very effective. I had two types of questions to ask him: - on the activation of my member space - How to see the reimbursements the answers to my questions were all satisfied in record time and I thank him.</v>
      </c>
    </row>
    <row r="861" ht="15.75" customHeight="1">
      <c r="A861" s="2">
        <v>2.0</v>
      </c>
      <c r="B861" s="2" t="s">
        <v>2408</v>
      </c>
      <c r="C861" s="2" t="s">
        <v>2409</v>
      </c>
      <c r="D861" s="2" t="s">
        <v>13</v>
      </c>
      <c r="E861" s="2" t="s">
        <v>14</v>
      </c>
      <c r="F861" s="2" t="s">
        <v>15</v>
      </c>
      <c r="G861" s="2" t="s">
        <v>2410</v>
      </c>
      <c r="H861" s="2" t="s">
        <v>80</v>
      </c>
      <c r="I861" s="3" t="str">
        <f>IFERROR(__xludf.DUMMYFUNCTION("GOOGLETRANSLATE(C861,""fr"",""en"")"),"I have an Opel Corsa assured any risk, the car was a fire on my father's property on January 28.
Criminal fire.
Very quickly the expert passes made the estimate, I agree with the estimate, I cede the car to the insurance. Insurance tells me that I have "&amp;"to get rid of the car from a spavacy, I contact the expert who says not at all they must come and get the car if not any possible compensation. Odd !!! After many indeed recalls he must come and pick up the car, for calls every day there is still a docume"&amp;"nt. My file is blocked no payment and car still on site. My parents are elderly is in depression to always see this car calibrated at home. Is it normal, while I am assured of any risk!
File very poorly managing the same person never recalls on their par"&amp;"t. They probably want me to give up is that has been going on for 4 months. I don't have anything apart from my car. Since January 28, I have bitten my fingers for having chosen the Olivier Insurance. To flee")</f>
        <v>I have an Opel Corsa assured any risk, the car was a fire on my father's property on January 28.
Criminal fire.
Very quickly the expert passes made the estimate, I agree with the estimate, I cede the car to the insurance. Insurance tells me that I have to get rid of the car from a spavacy, I contact the expert who says not at all they must come and get the car if not any possible compensation. Odd !!! After many indeed recalls he must come and pick up the car, for calls every day there is still a document. My file is blocked no payment and car still on site. My parents are elderly is in depression to always see this car calibrated at home. Is it normal, while I am assured of any risk!
File very poorly managing the same person never recalls on their part. They probably want me to give up is that has been going on for 4 months. I don't have anything apart from my car. Since January 28, I have bitten my fingers for having chosen the Olivier Insurance. To flee</v>
      </c>
    </row>
    <row r="862" ht="15.75" customHeight="1">
      <c r="A862" s="2">
        <v>5.0</v>
      </c>
      <c r="B862" s="2" t="s">
        <v>2411</v>
      </c>
      <c r="C862" s="2" t="s">
        <v>2412</v>
      </c>
      <c r="D862" s="2" t="s">
        <v>13</v>
      </c>
      <c r="E862" s="2" t="s">
        <v>14</v>
      </c>
      <c r="F862" s="2" t="s">
        <v>15</v>
      </c>
      <c r="G862" s="2" t="s">
        <v>2413</v>
      </c>
      <c r="H862" s="2" t="s">
        <v>25</v>
      </c>
      <c r="I862" s="3" t="str">
        <f>IFERROR(__xludf.DUMMYFUNCTION("GOOGLETRANSLATE(C862,""fr"",""en"")"),"So far, I have been satisfied with practical and digital management. Price?")</f>
        <v>So far, I have been satisfied with practical and digital management. Price?</v>
      </c>
    </row>
    <row r="863" ht="15.75" customHeight="1">
      <c r="A863" s="2">
        <v>4.0</v>
      </c>
      <c r="B863" s="2" t="s">
        <v>1662</v>
      </c>
      <c r="C863" s="2" t="s">
        <v>2414</v>
      </c>
      <c r="D863" s="2" t="s">
        <v>83</v>
      </c>
      <c r="E863" s="2" t="s">
        <v>14</v>
      </c>
      <c r="F863" s="2" t="s">
        <v>15</v>
      </c>
      <c r="G863" s="2" t="s">
        <v>1664</v>
      </c>
      <c r="H863" s="2" t="s">
        <v>729</v>
      </c>
      <c r="I863" s="3" t="str">
        <f>IFERROR(__xludf.DUMMYFUNCTION("GOOGLETRANSLATE(C863,""fr"",""en"")"),"Alright! A little long for the transfer of the reimbursement but well reimbursed, I advise to have setbacks elsewhere")</f>
        <v>Alright! A little long for the transfer of the reimbursement but well reimbursed, I advise to have setbacks elsewhere</v>
      </c>
    </row>
    <row r="864" ht="15.75" customHeight="1">
      <c r="A864" s="2">
        <v>5.0</v>
      </c>
      <c r="B864" s="2" t="s">
        <v>2415</v>
      </c>
      <c r="C864" s="2" t="s">
        <v>2416</v>
      </c>
      <c r="D864" s="2" t="s">
        <v>372</v>
      </c>
      <c r="E864" s="2" t="s">
        <v>127</v>
      </c>
      <c r="F864" s="2" t="s">
        <v>15</v>
      </c>
      <c r="G864" s="2" t="s">
        <v>764</v>
      </c>
      <c r="H864" s="2" t="s">
        <v>231</v>
      </c>
      <c r="I864" s="3" t="str">
        <f>IFERROR(__xludf.DUMMYFUNCTION("GOOGLETRANSLATE(C864,""fr"",""en"")"),"For the past twenty years it is the first time that I have finally insurance worthy of the name. No need to make long speeches, I do not work for AMV, compare the prices for a large displacement motorcycle and you will see the difference. To all bikers I "&amp;"highly recommend AMV.")</f>
        <v>For the past twenty years it is the first time that I have finally insurance worthy of the name. No need to make long speeches, I do not work for AMV, compare the prices for a large displacement motorcycle and you will see the difference. To all bikers I highly recommend AMV.</v>
      </c>
    </row>
    <row r="865" ht="15.75" customHeight="1">
      <c r="A865" s="2">
        <v>3.0</v>
      </c>
      <c r="B865" s="2" t="s">
        <v>2417</v>
      </c>
      <c r="C865" s="2" t="s">
        <v>2418</v>
      </c>
      <c r="D865" s="2" t="s">
        <v>13</v>
      </c>
      <c r="E865" s="2" t="s">
        <v>14</v>
      </c>
      <c r="F865" s="2" t="s">
        <v>15</v>
      </c>
      <c r="G865" s="2" t="s">
        <v>927</v>
      </c>
      <c r="H865" s="2" t="s">
        <v>25</v>
      </c>
      <c r="I865" s="3" t="str">
        <f>IFERROR(__xludf.DUMMYFUNCTION("GOOGLETRANSLATE(C865,""fr"",""en"")"),"satisfied with the service
A little expensive price for the number of CVs even if it is a German less dear to Ornikar
Otherwise good comunation with the service
")</f>
        <v>satisfied with the service
A little expensive price for the number of CVs even if it is a German less dear to Ornikar
Otherwise good comunation with the service
</v>
      </c>
    </row>
    <row r="866" ht="15.75" customHeight="1">
      <c r="A866" s="2">
        <v>1.0</v>
      </c>
      <c r="B866" s="2" t="s">
        <v>2419</v>
      </c>
      <c r="C866" s="2" t="s">
        <v>2420</v>
      </c>
      <c r="D866" s="2" t="s">
        <v>105</v>
      </c>
      <c r="E866" s="2" t="s">
        <v>44</v>
      </c>
      <c r="F866" s="2" t="s">
        <v>15</v>
      </c>
      <c r="G866" s="2" t="s">
        <v>978</v>
      </c>
      <c r="H866" s="2" t="s">
        <v>50</v>
      </c>
      <c r="I866" s="3" t="str">
        <f>IFERROR(__xludf.DUMMYFUNCTION("GOOGLETRANSLATE(C866,""fr"",""en"")"),"I strongly recommend the AG2R mutual or life -based mutual because despite € 64.75 monthly, I was refused a dentist package of € 150 (!!!); No homeopathy package, etc ...
Above all, do not get worse in relation to an advisor who will fall asleep on the p"&amp;"hone: compare yourself the mutuals that you will contact using the PDF received.
Be careful. I had to wait a year to finally terminate this zero contract.")</f>
        <v>I strongly recommend the AG2R mutual or life -based mutual because despite € 64.75 monthly, I was refused a dentist package of € 150 (!!!); No homeopathy package, etc ...
Above all, do not get worse in relation to an advisor who will fall asleep on the phone: compare yourself the mutuals that you will contact using the PDF received.
Be careful. I had to wait a year to finally terminate this zero contract.</v>
      </c>
    </row>
    <row r="867" ht="15.75" customHeight="1">
      <c r="A867" s="2">
        <v>4.0</v>
      </c>
      <c r="B867" s="2" t="s">
        <v>2421</v>
      </c>
      <c r="C867" s="2" t="s">
        <v>2422</v>
      </c>
      <c r="D867" s="2" t="s">
        <v>121</v>
      </c>
      <c r="E867" s="2" t="s">
        <v>14</v>
      </c>
      <c r="F867" s="2" t="s">
        <v>15</v>
      </c>
      <c r="G867" s="2" t="s">
        <v>2423</v>
      </c>
      <c r="H867" s="2" t="s">
        <v>189</v>
      </c>
      <c r="I867" s="3" t="str">
        <f>IFERROR(__xludf.DUMMYFUNCTION("GOOGLETRANSLATE(C867,""fr"",""en"")"),"I compare almost every two years of auto insurance to find out if I am well covered and at a reasonable price. For the moment I have only found the MAIF which enters my criteria of price and guarantees. If you are a member Filia Maif, the price is higher "&amp;"compared to a MAIF member with the same ganranties. MAIF remains in its entirety good insurance with good value for money.")</f>
        <v>I compare almost every two years of auto insurance to find out if I am well covered and at a reasonable price. For the moment I have only found the MAIF which enters my criteria of price and guarantees. If you are a member Filia Maif, the price is higher compared to a MAIF member with the same ganranties. MAIF remains in its entirety good insurance with good value for money.</v>
      </c>
    </row>
    <row r="868" ht="15.75" customHeight="1">
      <c r="A868" s="2">
        <v>5.0</v>
      </c>
      <c r="B868" s="2" t="s">
        <v>2424</v>
      </c>
      <c r="C868" s="2" t="s">
        <v>2425</v>
      </c>
      <c r="D868" s="2" t="s">
        <v>28</v>
      </c>
      <c r="E868" s="2" t="s">
        <v>14</v>
      </c>
      <c r="F868" s="2" t="s">
        <v>15</v>
      </c>
      <c r="G868" s="2" t="s">
        <v>73</v>
      </c>
      <c r="H868" s="2" t="s">
        <v>25</v>
      </c>
      <c r="I868" s="3" t="str">
        <f>IFERROR(__xludf.DUMMYFUNCTION("GOOGLETRANSLATE(C868,""fr"",""en"")"),"It's been more than thirty years that I have been at the GMF everything has always been perfect I would stay there as long as I drive I hope for another twenty years ....
")</f>
        <v>It's been more than thirty years that I have been at the GMF everything has always been perfect I would stay there as long as I drive I hope for another twenty years ....
</v>
      </c>
    </row>
    <row r="869" ht="15.75" customHeight="1">
      <c r="A869" s="2">
        <v>5.0</v>
      </c>
      <c r="B869" s="2" t="s">
        <v>2426</v>
      </c>
      <c r="C869" s="2" t="s">
        <v>2427</v>
      </c>
      <c r="D869" s="2" t="s">
        <v>135</v>
      </c>
      <c r="E869" s="2" t="s">
        <v>44</v>
      </c>
      <c r="F869" s="2" t="s">
        <v>15</v>
      </c>
      <c r="G869" s="2" t="s">
        <v>2428</v>
      </c>
      <c r="H869" s="2" t="s">
        <v>149</v>
      </c>
      <c r="I869" s="3" t="str">
        <f>IFERROR(__xludf.DUMMYFUNCTION("GOOGLETRANSLATE(C869,""fr"",""en"")"),"Difficult to note for the quality of the guarantees and the satisfaction my contract taking effect in January 2020")</f>
        <v>Difficult to note for the quality of the guarantees and the satisfaction my contract taking effect in January 2020</v>
      </c>
    </row>
    <row r="870" ht="15.75" customHeight="1">
      <c r="A870" s="2">
        <v>1.0</v>
      </c>
      <c r="B870" s="2" t="s">
        <v>2429</v>
      </c>
      <c r="C870" s="2" t="s">
        <v>2430</v>
      </c>
      <c r="D870" s="2" t="s">
        <v>116</v>
      </c>
      <c r="E870" s="2" t="s">
        <v>14</v>
      </c>
      <c r="F870" s="2" t="s">
        <v>15</v>
      </c>
      <c r="G870" s="2" t="s">
        <v>2431</v>
      </c>
      <c r="H870" s="2" t="s">
        <v>808</v>
      </c>
      <c r="I870" s="3" t="str">
        <f>IFERROR(__xludf.DUMMYFUNCTION("GOOGLETRANSLATE(C870,""fr"",""en"")"),"Very reactive to subscribe the assuràce.
Several months for acceptance of termination of the contract following the sale of the vehicle.
Obliged to oppose it because several months after continuing the levy.
No refund will be made from them")</f>
        <v>Very reactive to subscribe the assuràce.
Several months for acceptance of termination of the contract following the sale of the vehicle.
Obliged to oppose it because several months after continuing the levy.
No refund will be made from them</v>
      </c>
    </row>
    <row r="871" ht="15.75" customHeight="1">
      <c r="A871" s="2">
        <v>2.0</v>
      </c>
      <c r="B871" s="2" t="s">
        <v>2432</v>
      </c>
      <c r="C871" s="2" t="s">
        <v>2433</v>
      </c>
      <c r="D871" s="2" t="s">
        <v>372</v>
      </c>
      <c r="E871" s="2" t="s">
        <v>127</v>
      </c>
      <c r="F871" s="2" t="s">
        <v>15</v>
      </c>
      <c r="G871" s="2" t="s">
        <v>2434</v>
      </c>
      <c r="H871" s="2" t="s">
        <v>185</v>
      </c>
      <c r="I871" s="3" t="str">
        <f>IFERROR(__xludf.DUMMYFUNCTION("GOOGLETRANSLATE(C871,""fr"",""en"")"),"To flee I assured my scooter for an accident they terminated me the contract in addition they did everything to complicated me suddenly I can no longer assure my scooter.")</f>
        <v>To flee I assured my scooter for an accident they terminated me the contract in addition they did everything to complicated me suddenly I can no longer assure my scooter.</v>
      </c>
    </row>
    <row r="872" ht="15.75" customHeight="1">
      <c r="A872" s="2">
        <v>1.0</v>
      </c>
      <c r="B872" s="2" t="s">
        <v>2435</v>
      </c>
      <c r="C872" s="2" t="s">
        <v>2436</v>
      </c>
      <c r="D872" s="2" t="s">
        <v>102</v>
      </c>
      <c r="E872" s="2" t="s">
        <v>285</v>
      </c>
      <c r="F872" s="2" t="s">
        <v>15</v>
      </c>
      <c r="G872" s="2" t="s">
        <v>644</v>
      </c>
      <c r="H872" s="2" t="s">
        <v>635</v>
      </c>
      <c r="I872" s="3" t="str">
        <f>IFERROR(__xludf.DUMMYFUNCTION("GOOGLETRANSLATE(C872,""fr"",""en"")"),"MAAF: To boycott as much as possible: BDS for the MAAF who boycott our elderly people who have only one contract with them and who dared to call the MAAF for information! Information for the maaf = a disaster, which allows them to turn our elderly without"&amp;" explanation with the reason ""frequency of claims""! Varons la maaf and their appetite of the without faith or law for ""frequencies of abuse"" towards vulnerable people. Shame Shame on You Maaf!")</f>
        <v>MAAF: To boycott as much as possible: BDS for the MAAF who boycott our elderly people who have only one contract with them and who dared to call the MAAF for information! Information for the maaf = a disaster, which allows them to turn our elderly without explanation with the reason "frequency of claims"! Varons la maaf and their appetite of the without faith or law for "frequencies of abuse" towards vulnerable people. Shame Shame on You Maaf!</v>
      </c>
    </row>
    <row r="873" ht="15.75" customHeight="1">
      <c r="A873" s="2">
        <v>5.0</v>
      </c>
      <c r="B873" s="2" t="s">
        <v>2437</v>
      </c>
      <c r="C873" s="2" t="s">
        <v>2438</v>
      </c>
      <c r="D873" s="2" t="s">
        <v>13</v>
      </c>
      <c r="E873" s="2" t="s">
        <v>14</v>
      </c>
      <c r="F873" s="2" t="s">
        <v>15</v>
      </c>
      <c r="G873" s="2" t="s">
        <v>2083</v>
      </c>
      <c r="H873" s="2" t="s">
        <v>67</v>
      </c>
      <c r="I873" s="3" t="str">
        <f>IFERROR(__xludf.DUMMYFUNCTION("GOOGLETRANSLATE(C873,""fr"",""en"")"),"I am satisfied with the service, the data explanation, the handling of the site as well as the price and option which were offered to me when I register")</f>
        <v>I am satisfied with the service, the data explanation, the handling of the site as well as the price and option which were offered to me when I register</v>
      </c>
    </row>
    <row r="874" ht="15.75" customHeight="1">
      <c r="A874" s="2">
        <v>3.0</v>
      </c>
      <c r="B874" s="2" t="s">
        <v>2439</v>
      </c>
      <c r="C874" s="2" t="s">
        <v>2440</v>
      </c>
      <c r="D874" s="2" t="s">
        <v>2441</v>
      </c>
      <c r="E874" s="2" t="s">
        <v>242</v>
      </c>
      <c r="F874" s="2" t="s">
        <v>15</v>
      </c>
      <c r="G874" s="2" t="s">
        <v>749</v>
      </c>
      <c r="H874" s="2" t="s">
        <v>231</v>
      </c>
      <c r="I874" s="3" t="str">
        <f>IFERROR(__xludf.DUMMYFUNCTION("GOOGLETRANSLATE(C874,""fr"",""en"")"),"I have not had the slightest problem with Suravenir for the few eight years during which I joined and contributed there. However, purely by chance, I realized that I could benefit from the same product, insurance to the most basic third party, by paying a"&amp;"pproximately a third of cheaper per year, precisely a saving of more than € 90 out of a total Annual of nearly 300 € to Suravenir.
")</f>
        <v>I have not had the slightest problem with Suravenir for the few eight years during which I joined and contributed there. However, purely by chance, I realized that I could benefit from the same product, insurance to the most basic third party, by paying approximately a third of cheaper per year, precisely a saving of more than € 90 out of a total Annual of nearly 300 € to Suravenir.
</v>
      </c>
    </row>
    <row r="875" ht="15.75" customHeight="1">
      <c r="A875" s="2">
        <v>1.0</v>
      </c>
      <c r="B875" s="2" t="s">
        <v>2442</v>
      </c>
      <c r="C875" s="2" t="s">
        <v>2443</v>
      </c>
      <c r="D875" s="2" t="s">
        <v>53</v>
      </c>
      <c r="E875" s="2" t="s">
        <v>44</v>
      </c>
      <c r="F875" s="2" t="s">
        <v>15</v>
      </c>
      <c r="G875" s="2" t="s">
        <v>384</v>
      </c>
      <c r="H875" s="2" t="s">
        <v>17</v>
      </c>
      <c r="I875" s="3" t="str">
        <f>IFERROR(__xludf.DUMMYFUNCTION("GOOGLETRANSLATE(C875,""fr"",""en"")"),"Contacted by BS Assur a broker who pretends to be for you and therefore I bring you into question so as not to clean your employees. Many people must be atracted by the means employed. They make you believe that you already have a contract and that it is "&amp;"not a new contract and requests your bank details for you to delete your account.
Thank you for surrounding yourself with more serious organization.
")</f>
        <v>Contacted by BS Assur a broker who pretends to be for you and therefore I bring you into question so as not to clean your employees. Many people must be atracted by the means employed. They make you believe that you already have a contract and that it is not a new contract and requests your bank details for you to delete your account.
Thank you for surrounding yourself with more serious organization.
</v>
      </c>
    </row>
    <row r="876" ht="15.75" customHeight="1">
      <c r="A876" s="2">
        <v>3.0</v>
      </c>
      <c r="B876" s="2" t="s">
        <v>2444</v>
      </c>
      <c r="C876" s="2" t="s">
        <v>2445</v>
      </c>
      <c r="D876" s="2" t="s">
        <v>13</v>
      </c>
      <c r="E876" s="2" t="s">
        <v>14</v>
      </c>
      <c r="F876" s="2" t="s">
        <v>15</v>
      </c>
      <c r="G876" s="2" t="s">
        <v>1096</v>
      </c>
      <c r="H876" s="2" t="s">
        <v>25</v>
      </c>
      <c r="I876" s="3" t="str">
        <f>IFERROR(__xludf.DUMMYFUNCTION("GOOGLETRANSLATE(C876,""fr"",""en"")"),"I am super disappointed, given that at no time in the quote I could register my sponsorship code and did not obtain the corresponding reduction.")</f>
        <v>I am super disappointed, given that at no time in the quote I could register my sponsorship code and did not obtain the corresponding reduction.</v>
      </c>
    </row>
    <row r="877" ht="15.75" customHeight="1">
      <c r="A877" s="2">
        <v>1.0</v>
      </c>
      <c r="B877" s="2" t="s">
        <v>2446</v>
      </c>
      <c r="C877" s="2" t="s">
        <v>2447</v>
      </c>
      <c r="D877" s="2" t="s">
        <v>155</v>
      </c>
      <c r="E877" s="2" t="s">
        <v>14</v>
      </c>
      <c r="F877" s="2" t="s">
        <v>15</v>
      </c>
      <c r="G877" s="2" t="s">
        <v>2448</v>
      </c>
      <c r="H877" s="2" t="s">
        <v>261</v>
      </c>
      <c r="I877" s="3" t="str">
        <f>IFERROR(__xludf.DUMMYFUNCTION("GOOGLETRANSLATE(C877,""fr"",""en"")"),"Insurance when you only pay for it but it is that it is the opposite it is different and yet I was insured for 30 years but unfortunately 2 small incident in 6 months")</f>
        <v>Insurance when you only pay for it but it is that it is the opposite it is different and yet I was insured for 30 years but unfortunately 2 small incident in 6 months</v>
      </c>
    </row>
    <row r="878" ht="15.75" customHeight="1">
      <c r="A878" s="2">
        <v>1.0</v>
      </c>
      <c r="B878" s="2" t="s">
        <v>2449</v>
      </c>
      <c r="C878" s="2" t="s">
        <v>2450</v>
      </c>
      <c r="D878" s="2" t="s">
        <v>319</v>
      </c>
      <c r="E878" s="2" t="s">
        <v>285</v>
      </c>
      <c r="F878" s="2" t="s">
        <v>15</v>
      </c>
      <c r="G878" s="2" t="s">
        <v>2451</v>
      </c>
      <c r="H878" s="2" t="s">
        <v>635</v>
      </c>
      <c r="I878" s="3" t="str">
        <f>IFERROR(__xludf.DUMMYFUNCTION("GOOGLETRANSLATE(C878,""fr"",""en"")"),"Following a burglary and a degradation of the accommodation (lock + tapestry I was affected by no compensation on their part after almost 3 months of waiting. Despite the large telephone reminder on my part with a very unpleasant customer service. Fees no"&amp;"t reimbursed. I contracted this insurance following a car loan. I trusted my advisor and I was fooled. 7000 € lost
To pay they are there but after there is no one, you only have your eyes to cry!")</f>
        <v>Following a burglary and a degradation of the accommodation (lock + tapestry I was affected by no compensation on their part after almost 3 months of waiting. Despite the large telephone reminder on my part with a very unpleasant customer service. Fees not reimbursed. I contracted this insurance following a car loan. I trusted my advisor and I was fooled. 7000 € lost
To pay they are there but after there is no one, you only have your eyes to cry!</v>
      </c>
    </row>
    <row r="879" ht="15.75" customHeight="1">
      <c r="A879" s="2">
        <v>2.0</v>
      </c>
      <c r="B879" s="2" t="s">
        <v>2452</v>
      </c>
      <c r="C879" s="2" t="s">
        <v>2453</v>
      </c>
      <c r="D879" s="2" t="s">
        <v>48</v>
      </c>
      <c r="E879" s="2" t="s">
        <v>14</v>
      </c>
      <c r="F879" s="2" t="s">
        <v>15</v>
      </c>
      <c r="G879" s="2" t="s">
        <v>2125</v>
      </c>
      <c r="H879" s="2" t="s">
        <v>25</v>
      </c>
      <c r="I879" s="3" t="str">
        <f>IFERROR(__xludf.DUMMYFUNCTION("GOOGLETRANSLATE(C879,""fr"",""en"")"),"I am not satisfied with their loss treatment I had a very bad experience and I recommend this insurance more knowing that I have my license since 1999 and I have never declared a claim until in 2020 and there really I was disappointed.")</f>
        <v>I am not satisfied with their loss treatment I had a very bad experience and I recommend this insurance more knowing that I have my license since 1999 and I have never declared a claim until in 2020 and there really I was disappointed.</v>
      </c>
    </row>
    <row r="880" ht="15.75" customHeight="1">
      <c r="A880" s="2">
        <v>5.0</v>
      </c>
      <c r="B880" s="2" t="s">
        <v>2454</v>
      </c>
      <c r="C880" s="2" t="s">
        <v>2455</v>
      </c>
      <c r="D880" s="2" t="s">
        <v>48</v>
      </c>
      <c r="E880" s="2" t="s">
        <v>14</v>
      </c>
      <c r="F880" s="2" t="s">
        <v>15</v>
      </c>
      <c r="G880" s="2" t="s">
        <v>978</v>
      </c>
      <c r="H880" s="2" t="s">
        <v>50</v>
      </c>
      <c r="I880" s="3" t="str">
        <f>IFERROR(__xludf.DUMMYFUNCTION("GOOGLETRANSLATE(C880,""fr"",""en"")"),"Thank you you are up to your image, I was recommended by many people and then I saw your advertising spot.
thank you")</f>
        <v>Thank you you are up to your image, I was recommended by many people and then I saw your advertising spot.
thank you</v>
      </c>
    </row>
    <row r="881" ht="15.75" customHeight="1">
      <c r="A881" s="2">
        <v>3.0</v>
      </c>
      <c r="B881" s="2" t="s">
        <v>2456</v>
      </c>
      <c r="C881" s="2" t="s">
        <v>2457</v>
      </c>
      <c r="D881" s="2" t="s">
        <v>48</v>
      </c>
      <c r="E881" s="2" t="s">
        <v>14</v>
      </c>
      <c r="F881" s="2" t="s">
        <v>15</v>
      </c>
      <c r="G881" s="2" t="s">
        <v>2249</v>
      </c>
      <c r="H881" s="2" t="s">
        <v>261</v>
      </c>
      <c r="I881" s="3" t="str">
        <f>IFERROR(__xludf.DUMMYFUNCTION("GOOGLETRANSLATE(C881,""fr"",""en"")"),"I have been at Direct Insurance since 2005, 50% bonus and no claim, attractive prices at the start, but regular increases each year in 5 years +46%!
My deadline arrives and still + 43 € increase without any claim and without any refund for the 2 months o"&amp;"f confinements in 2020 for COVID.
I attach them by phone to have explanations, answer I am in a region that has a lot of claims?
I sent my notice, I leave direct insurance.
 ")</f>
        <v>I have been at Direct Insurance since 2005, 50% bonus and no claim, attractive prices at the start, but regular increases each year in 5 years +46%!
My deadline arrives and still + 43 € increase without any claim and without any refund for the 2 months of confinements in 2020 for COVID.
I attach them by phone to have explanations, answer I am in a region that has a lot of claims?
I sent my notice, I leave direct insurance.
 </v>
      </c>
    </row>
    <row r="882" ht="15.75" customHeight="1">
      <c r="A882" s="2">
        <v>2.0</v>
      </c>
      <c r="B882" s="2" t="s">
        <v>2458</v>
      </c>
      <c r="C882" s="2" t="s">
        <v>2459</v>
      </c>
      <c r="D882" s="2" t="s">
        <v>48</v>
      </c>
      <c r="E882" s="2" t="s">
        <v>14</v>
      </c>
      <c r="F882" s="2" t="s">
        <v>15</v>
      </c>
      <c r="G882" s="2" t="s">
        <v>67</v>
      </c>
      <c r="H882" s="2" t="s">
        <v>67</v>
      </c>
      <c r="I882" s="3" t="str">
        <f>IFERROR(__xludf.DUMMYFUNCTION("GOOGLETRANSLATE(C882,""fr"",""en"")"),"For prices it's okay but for customer service it's something else! They do not understand what you write to them and explain ... As proof: they respond completely next to it! There is still a lot of effort to make!")</f>
        <v>For prices it's okay but for customer service it's something else! They do not understand what you write to them and explain ... As proof: they respond completely next to it! There is still a lot of effort to make!</v>
      </c>
    </row>
    <row r="883" ht="15.75" customHeight="1">
      <c r="A883" s="2">
        <v>3.0</v>
      </c>
      <c r="B883" s="2" t="s">
        <v>2460</v>
      </c>
      <c r="C883" s="2" t="s">
        <v>2461</v>
      </c>
      <c r="D883" s="2" t="s">
        <v>48</v>
      </c>
      <c r="E883" s="2" t="s">
        <v>14</v>
      </c>
      <c r="F883" s="2" t="s">
        <v>15</v>
      </c>
      <c r="G883" s="2" t="s">
        <v>2462</v>
      </c>
      <c r="H883" s="2" t="s">
        <v>85</v>
      </c>
      <c r="I883" s="3" t="str">
        <f>IFERROR(__xludf.DUMMYFUNCTION("GOOGLETRANSLATE(C883,""fr"",""en"")"),"Nothing to say about the quality of the service and the availability of stakeholders if necessary. HIC is the price: despite a 50 % bonus and no claim, with equivalent coverage, the price has increased by just under 20 % in 3 years!
Suddenly I returned t"&amp;"o my preceding insurer who became much cheaper .. about 20 %..")</f>
        <v>Nothing to say about the quality of the service and the availability of stakeholders if necessary. HIC is the price: despite a 50 % bonus and no claim, with equivalent coverage, the price has increased by just under 20 % in 3 years!
Suddenly I returned to my preceding insurer who became much cheaper .. about 20 %..</v>
      </c>
    </row>
    <row r="884" ht="15.75" customHeight="1">
      <c r="A884" s="2">
        <v>1.0</v>
      </c>
      <c r="B884" s="2" t="s">
        <v>2463</v>
      </c>
      <c r="C884" s="2" t="s">
        <v>2464</v>
      </c>
      <c r="D884" s="2" t="s">
        <v>105</v>
      </c>
      <c r="E884" s="2" t="s">
        <v>38</v>
      </c>
      <c r="F884" s="2" t="s">
        <v>15</v>
      </c>
      <c r="G884" s="2" t="s">
        <v>2465</v>
      </c>
      <c r="H884" s="2" t="s">
        <v>231</v>
      </c>
      <c r="I884" s="3" t="str">
        <f>IFERROR(__xludf.DUMMYFUNCTION("GOOGLETRANSLATE(C884,""fr"",""en"")"),"AG2R has lamentable management concerning employees on sick leave, additional salary supplements.
On sick leave since 09/11/2019, I have not perceived anything to date and I am still on sick leave.
Provident contributions taken from the salary slip for "&amp;"ultimately a nonexistent coverage.
When you contact customer service, they are not even able to respond and provide clear information on current files.
After more than 1 years of waiting for the payment of my additional salary, I will seize with my lawy"&amp;"er the competent jurisdiction in order to be worth my rights.
I wonder how employers manage to trust this type of insurance.
No professionalism, no seriousness.")</f>
        <v>AG2R has lamentable management concerning employees on sick leave, additional salary supplements.
On sick leave since 09/11/2019, I have not perceived anything to date and I am still on sick leave.
Provident contributions taken from the salary slip for ultimately a nonexistent coverage.
When you contact customer service, they are not even able to respond and provide clear information on current files.
After more than 1 years of waiting for the payment of my additional salary, I will seize with my lawyer the competent jurisdiction in order to be worth my rights.
I wonder how employers manage to trust this type of insurance.
No professionalism, no seriousness.</v>
      </c>
    </row>
    <row r="885" ht="15.75" customHeight="1">
      <c r="A885" s="2">
        <v>4.0</v>
      </c>
      <c r="B885" s="2" t="s">
        <v>2466</v>
      </c>
      <c r="C885" s="2" t="s">
        <v>2467</v>
      </c>
      <c r="D885" s="2" t="s">
        <v>241</v>
      </c>
      <c r="E885" s="2" t="s">
        <v>242</v>
      </c>
      <c r="F885" s="2" t="s">
        <v>15</v>
      </c>
      <c r="G885" s="2" t="s">
        <v>269</v>
      </c>
      <c r="H885" s="2" t="s">
        <v>25</v>
      </c>
      <c r="I885" s="3" t="str">
        <f>IFERROR(__xludf.DUMMYFUNCTION("GOOGLETRANSLATE(C885,""fr"",""en"")"),"I am satisfied with the service, and courteous
The price for me, saves money on the loan ...
the very helpful and professional advisor,
thank you.")</f>
        <v>I am satisfied with the service, and courteous
The price for me, saves money on the loan ...
the very helpful and professional advisor,
thank you.</v>
      </c>
    </row>
    <row r="886" ht="15.75" customHeight="1">
      <c r="A886" s="2">
        <v>5.0</v>
      </c>
      <c r="B886" s="2" t="s">
        <v>2468</v>
      </c>
      <c r="C886" s="2" t="s">
        <v>2469</v>
      </c>
      <c r="D886" s="2" t="s">
        <v>126</v>
      </c>
      <c r="E886" s="2" t="s">
        <v>127</v>
      </c>
      <c r="F886" s="2" t="s">
        <v>15</v>
      </c>
      <c r="G886" s="2" t="s">
        <v>1821</v>
      </c>
      <c r="H886" s="2" t="s">
        <v>99</v>
      </c>
      <c r="I886" s="3" t="str">
        <f>IFERROR(__xludf.DUMMYFUNCTION("GOOGLETRANSLATE(C886,""fr"",""en"")"),"Very good very fast efficient insurance and phone calls with people are very pleasant people are Polis nice and courteous I recommend this insurance for young drivers")</f>
        <v>Very good very fast efficient insurance and phone calls with people are very pleasant people are Polis nice and courteous I recommend this insurance for young drivers</v>
      </c>
    </row>
    <row r="887" ht="15.75" customHeight="1">
      <c r="A887" s="2">
        <v>4.0</v>
      </c>
      <c r="B887" s="2" t="s">
        <v>2470</v>
      </c>
      <c r="C887" s="2" t="s">
        <v>2471</v>
      </c>
      <c r="D887" s="2" t="s">
        <v>48</v>
      </c>
      <c r="E887" s="2" t="s">
        <v>14</v>
      </c>
      <c r="F887" s="2" t="s">
        <v>15</v>
      </c>
      <c r="G887" s="2" t="s">
        <v>2472</v>
      </c>
      <c r="H887" s="2" t="s">
        <v>29</v>
      </c>
      <c r="I887" s="3" t="str">
        <f>IFERROR(__xludf.DUMMYFUNCTION("GOOGLETRANSLATE(C887,""fr"",""en"")"),"Very satisfied by the simplicity of the process to ensure my vehicle
Speed, efficiency and responsiveness
thank you for your professionalism
Cordially")</f>
        <v>Very satisfied by the simplicity of the process to ensure my vehicle
Speed, efficiency and responsiveness
thank you for your professionalism
Cordially</v>
      </c>
    </row>
    <row r="888" ht="15.75" customHeight="1">
      <c r="A888" s="2">
        <v>2.0</v>
      </c>
      <c r="B888" s="2" t="s">
        <v>2473</v>
      </c>
      <c r="C888" s="2" t="s">
        <v>2474</v>
      </c>
      <c r="D888" s="2" t="s">
        <v>53</v>
      </c>
      <c r="E888" s="2" t="s">
        <v>44</v>
      </c>
      <c r="F888" s="2" t="s">
        <v>15</v>
      </c>
      <c r="G888" s="2" t="s">
        <v>2174</v>
      </c>
      <c r="H888" s="2" t="s">
        <v>535</v>
      </c>
      <c r="I888" s="3" t="str">
        <f>IFERROR(__xludf.DUMMYFUNCTION("GOOGLETRANSLATE(C888,""fr"",""en"")"),"Mutual insurance sponsored by a Sinader broker who gives you a lot of free monthly payments but who are not held by Neoliane
Also before engaging in a mutual maker you brokers who promise you everything in order to engage in a mutual. We have taken our c"&amp;"ontract to Neoliane because the promised commitments were not kept.")</f>
        <v>Mutual insurance sponsored by a Sinader broker who gives you a lot of free monthly payments but who are not held by Neoliane
Also before engaging in a mutual maker you brokers who promise you everything in order to engage in a mutual. We have taken our contract to Neoliane because the promised commitments were not kept.</v>
      </c>
    </row>
    <row r="889" ht="15.75" customHeight="1">
      <c r="A889" s="2">
        <v>5.0</v>
      </c>
      <c r="B889" s="2" t="s">
        <v>2475</v>
      </c>
      <c r="C889" s="2" t="s">
        <v>2476</v>
      </c>
      <c r="D889" s="2" t="s">
        <v>48</v>
      </c>
      <c r="E889" s="2" t="s">
        <v>14</v>
      </c>
      <c r="F889" s="2" t="s">
        <v>15</v>
      </c>
      <c r="G889" s="2" t="s">
        <v>2477</v>
      </c>
      <c r="H889" s="2" t="s">
        <v>200</v>
      </c>
      <c r="I889" s="3" t="str">
        <f>IFERROR(__xludf.DUMMYFUNCTION("GOOGLETRANSLATE(C889,""fr"",""en"")"),"An insurance company that should be an example for all the others!")</f>
        <v>An insurance company that should be an example for all the others!</v>
      </c>
    </row>
    <row r="890" ht="15.75" customHeight="1">
      <c r="A890" s="2">
        <v>1.0</v>
      </c>
      <c r="B890" s="2" t="s">
        <v>2478</v>
      </c>
      <c r="C890" s="2" t="s">
        <v>2479</v>
      </c>
      <c r="D890" s="2" t="s">
        <v>48</v>
      </c>
      <c r="E890" s="2" t="s">
        <v>14</v>
      </c>
      <c r="F890" s="2" t="s">
        <v>15</v>
      </c>
      <c r="G890" s="2" t="s">
        <v>45</v>
      </c>
      <c r="H890" s="2" t="s">
        <v>25</v>
      </c>
      <c r="I890" s="3" t="str">
        <f>IFERROR(__xludf.DUMMYFUNCTION("GOOGLETRANSLATE(C890,""fr"",""en"")"),"I am disappointed because the prices are quite high. I have been trying to reach insurance since yesterday when a car struck me at full speed impossible to have someone.")</f>
        <v>I am disappointed because the prices are quite high. I have been trying to reach insurance since yesterday when a car struck me at full speed impossible to have someone.</v>
      </c>
    </row>
    <row r="891" ht="15.75" customHeight="1">
      <c r="A891" s="2">
        <v>5.0</v>
      </c>
      <c r="B891" s="2" t="s">
        <v>2480</v>
      </c>
      <c r="C891" s="2" t="s">
        <v>2481</v>
      </c>
      <c r="D891" s="2" t="s">
        <v>13</v>
      </c>
      <c r="E891" s="2" t="s">
        <v>14</v>
      </c>
      <c r="F891" s="2" t="s">
        <v>15</v>
      </c>
      <c r="G891" s="2" t="s">
        <v>531</v>
      </c>
      <c r="H891" s="2" t="s">
        <v>21</v>
      </c>
      <c r="I891" s="3" t="str">
        <f>IFERROR(__xludf.DUMMYFUNCTION("GOOGLETRANSLATE(C891,""fr"",""en"")"),"I am delighted with this interview for my car insurance quote. Good telephone welcome and the advice is well said on the phone. Speed ​​of subscription of the contract.")</f>
        <v>I am delighted with this interview for my car insurance quote. Good telephone welcome and the advice is well said on the phone. Speed ​​of subscription of the contract.</v>
      </c>
    </row>
    <row r="892" ht="15.75" customHeight="1">
      <c r="A892" s="2">
        <v>3.0</v>
      </c>
      <c r="B892" s="2" t="s">
        <v>2482</v>
      </c>
      <c r="C892" s="2" t="s">
        <v>2483</v>
      </c>
      <c r="D892" s="2" t="s">
        <v>48</v>
      </c>
      <c r="E892" s="2" t="s">
        <v>14</v>
      </c>
      <c r="F892" s="2" t="s">
        <v>15</v>
      </c>
      <c r="G892" s="2" t="s">
        <v>1207</v>
      </c>
      <c r="H892" s="2" t="s">
        <v>29</v>
      </c>
      <c r="I892" s="3" t="str">
        <f>IFERROR(__xludf.DUMMYFUNCTION("GOOGLETRANSLATE(C892,""fr"",""en"")"),"The site deserves to be a little clearer and easy to understand,
Can we add services, after having taken out insurance?
The prices are correct given the age of the car
")</f>
        <v>The site deserves to be a little clearer and easy to understand,
Can we add services, after having taken out insurance?
The prices are correct given the age of the car
</v>
      </c>
    </row>
    <row r="893" ht="15.75" customHeight="1">
      <c r="A893" s="2">
        <v>5.0</v>
      </c>
      <c r="B893" s="2" t="s">
        <v>2484</v>
      </c>
      <c r="C893" s="2" t="s">
        <v>2485</v>
      </c>
      <c r="D893" s="2" t="s">
        <v>13</v>
      </c>
      <c r="E893" s="2" t="s">
        <v>14</v>
      </c>
      <c r="F893" s="2" t="s">
        <v>15</v>
      </c>
      <c r="G893" s="2" t="s">
        <v>70</v>
      </c>
      <c r="H893" s="2" t="s">
        <v>21</v>
      </c>
      <c r="I893" s="3" t="str">
        <f>IFERROR(__xludf.DUMMYFUNCTION("GOOGLETRANSLATE(C893,""fr"",""en"")"),"I am very satisfied with your customer service and calit, from the phone to the phone and respect for confidential data and the internet cite very well")</f>
        <v>I am very satisfied with your customer service and calit, from the phone to the phone and respect for confidential data and the internet cite very well</v>
      </c>
    </row>
    <row r="894" ht="15.75" customHeight="1">
      <c r="A894" s="2">
        <v>4.0</v>
      </c>
      <c r="B894" s="2" t="s">
        <v>2486</v>
      </c>
      <c r="C894" s="2" t="s">
        <v>2487</v>
      </c>
      <c r="D894" s="2" t="s">
        <v>2032</v>
      </c>
      <c r="E894" s="2" t="s">
        <v>229</v>
      </c>
      <c r="F894" s="2" t="s">
        <v>15</v>
      </c>
      <c r="G894" s="2" t="s">
        <v>663</v>
      </c>
      <c r="H894" s="2" t="s">
        <v>50</v>
      </c>
      <c r="I894" s="3" t="str">
        <f>IFERROR(__xludf.DUMMYFUNCTION("GOOGLETRANSLATE(C894,""fr"",""en"")"),"My advisor is very professional, listening to his customers! She makes her maximum for everyone, it's very appreciable!
I do not regret my choice!")</f>
        <v>My advisor is very professional, listening to his customers! She makes her maximum for everyone, it's very appreciable!
I do not regret my choice!</v>
      </c>
    </row>
    <row r="895" ht="15.75" customHeight="1">
      <c r="A895" s="2">
        <v>3.0</v>
      </c>
      <c r="B895" s="2" t="s">
        <v>2488</v>
      </c>
      <c r="C895" s="2" t="s">
        <v>2489</v>
      </c>
      <c r="D895" s="2" t="s">
        <v>126</v>
      </c>
      <c r="E895" s="2" t="s">
        <v>127</v>
      </c>
      <c r="F895" s="2" t="s">
        <v>15</v>
      </c>
      <c r="G895" s="2" t="s">
        <v>1745</v>
      </c>
      <c r="H895" s="2" t="s">
        <v>25</v>
      </c>
      <c r="I895" s="3" t="str">
        <f>IFERROR(__xludf.DUMMYFUNCTION("GOOGLETRANSLATE(C895,""fr"",""en"")"),"Correct price remains to be followed in the event of a claim or accident It seems that customer service is responsive to see for use I wish us a good collaboration")</f>
        <v>Correct price remains to be followed in the event of a claim or accident It seems that customer service is responsive to see for use I wish us a good collaboration</v>
      </c>
    </row>
    <row r="896" ht="15.75" customHeight="1">
      <c r="A896" s="2">
        <v>2.0</v>
      </c>
      <c r="B896" s="2" t="s">
        <v>2490</v>
      </c>
      <c r="C896" s="2" t="s">
        <v>2491</v>
      </c>
      <c r="D896" s="2" t="s">
        <v>787</v>
      </c>
      <c r="E896" s="2" t="s">
        <v>44</v>
      </c>
      <c r="F896" s="2" t="s">
        <v>15</v>
      </c>
      <c r="G896" s="2" t="s">
        <v>509</v>
      </c>
      <c r="H896" s="2" t="s">
        <v>89</v>
      </c>
      <c r="I896" s="3" t="str">
        <f>IFERROR(__xludf.DUMMYFUNCTION("GOOGLETRANSLATE(C896,""fr"",""en"")"),"Difficult to join, wait at the tel then it hangs up. The 07/26/21 at 11:20 am the person is unpleasantly said to me: if you are not happy you only have to hang up and as I refuse it does! Call pattern: Impossible to connect to the Mercernet site (a priori"&amp;" either). Bref quite disappointed with this mutual.")</f>
        <v>Difficult to join, wait at the tel then it hangs up. The 07/26/21 at 11:20 am the person is unpleasantly said to me: if you are not happy you only have to hang up and as I refuse it does! Call pattern: Impossible to connect to the Mercernet site (a priori either). Bref quite disappointed with this mutual.</v>
      </c>
    </row>
    <row r="897" ht="15.75" customHeight="1">
      <c r="A897" s="2">
        <v>1.0</v>
      </c>
      <c r="B897" s="2" t="s">
        <v>2492</v>
      </c>
      <c r="C897" s="2" t="s">
        <v>2493</v>
      </c>
      <c r="D897" s="2" t="s">
        <v>53</v>
      </c>
      <c r="E897" s="2" t="s">
        <v>44</v>
      </c>
      <c r="F897" s="2" t="s">
        <v>15</v>
      </c>
      <c r="G897" s="2" t="s">
        <v>2494</v>
      </c>
      <c r="H897" s="2" t="s">
        <v>40</v>
      </c>
      <c r="I897" s="3" t="str">
        <f>IFERROR(__xludf.DUMMYFUNCTION("GOOGLETRANSLATE(C897,""fr"",""en"")"),"The broker subscribes to me has a contract without my authorization to terminate the contract they are esteem to answer you after the 14 days of retardation like its you cannot terminate it for 1 and a half months that I do not stop fortunately I record a"&amp;"ll the conversations today I ask my bank for reimbursement and I therefore file a complaint on the brokers as well as Neoliane be careful")</f>
        <v>The broker subscribes to me has a contract without my authorization to terminate the contract they are esteem to answer you after the 14 days of retardation like its you cannot terminate it for 1 and a half months that I do not stop fortunately I record all the conversations today I ask my bank for reimbursement and I therefore file a complaint on the brokers as well as Neoliane be careful</v>
      </c>
    </row>
    <row r="898" ht="15.75" customHeight="1">
      <c r="A898" s="2">
        <v>4.0</v>
      </c>
      <c r="B898" s="2" t="s">
        <v>2495</v>
      </c>
      <c r="C898" s="2" t="s">
        <v>2496</v>
      </c>
      <c r="D898" s="2" t="s">
        <v>13</v>
      </c>
      <c r="E898" s="2" t="s">
        <v>14</v>
      </c>
      <c r="F898" s="2" t="s">
        <v>15</v>
      </c>
      <c r="G898" s="2" t="s">
        <v>1230</v>
      </c>
      <c r="H898" s="2" t="s">
        <v>247</v>
      </c>
      <c r="I898" s="3" t="str">
        <f>IFERROR(__xludf.DUMMYFUNCTION("GOOGLETRANSLATE(C898,""fr"",""en"")"),"Good price, site to be reviewed, customer service pleasant to see if the duration in the event of a claim if no problem sponsorship code really obtained site to review")</f>
        <v>Good price, site to be reviewed, customer service pleasant to see if the duration in the event of a claim if no problem sponsorship code really obtained site to review</v>
      </c>
    </row>
    <row r="899" ht="15.75" customHeight="1">
      <c r="A899" s="2">
        <v>5.0</v>
      </c>
      <c r="B899" s="2" t="s">
        <v>2497</v>
      </c>
      <c r="C899" s="2" t="s">
        <v>2498</v>
      </c>
      <c r="D899" s="2" t="s">
        <v>48</v>
      </c>
      <c r="E899" s="2" t="s">
        <v>14</v>
      </c>
      <c r="F899" s="2" t="s">
        <v>15</v>
      </c>
      <c r="G899" s="2" t="s">
        <v>2067</v>
      </c>
      <c r="H899" s="2" t="s">
        <v>25</v>
      </c>
      <c r="I899" s="3" t="str">
        <f>IFERROR(__xludf.DUMMYFUNCTION("GOOGLETRANSLATE(C899,""fr"",""en"")"),"Perfect, simple and responsive! Good prices, good support, and excellent mobile application!
I highly recommend around me!")</f>
        <v>Perfect, simple and responsive! Good prices, good support, and excellent mobile application!
I highly recommend around me!</v>
      </c>
    </row>
    <row r="900" ht="15.75" customHeight="1">
      <c r="A900" s="2">
        <v>1.0</v>
      </c>
      <c r="B900" s="2" t="s">
        <v>2499</v>
      </c>
      <c r="C900" s="2" t="s">
        <v>2500</v>
      </c>
      <c r="D900" s="2" t="s">
        <v>58</v>
      </c>
      <c r="E900" s="2" t="s">
        <v>44</v>
      </c>
      <c r="F900" s="2" t="s">
        <v>15</v>
      </c>
      <c r="G900" s="2" t="s">
        <v>2501</v>
      </c>
      <c r="H900" s="2" t="s">
        <v>298</v>
      </c>
      <c r="I900" s="3" t="str">
        <f>IFERROR(__xludf.DUMMYFUNCTION("GOOGLETRANSLATE(C900,""fr"",""en"")"),"To find out the amount of dental management, more than a month, 3 written reminders and still no answers. This is not the first time. I will certainly change mutual.")</f>
        <v>To find out the amount of dental management, more than a month, 3 written reminders and still no answers. This is not the first time. I will certainly change mutual.</v>
      </c>
    </row>
    <row r="901" ht="15.75" customHeight="1">
      <c r="A901" s="2">
        <v>4.0</v>
      </c>
      <c r="B901" s="2" t="s">
        <v>2502</v>
      </c>
      <c r="C901" s="2" t="s">
        <v>2503</v>
      </c>
      <c r="D901" s="2" t="s">
        <v>126</v>
      </c>
      <c r="E901" s="2" t="s">
        <v>127</v>
      </c>
      <c r="F901" s="2" t="s">
        <v>15</v>
      </c>
      <c r="G901" s="2" t="s">
        <v>2504</v>
      </c>
      <c r="H901" s="2" t="s">
        <v>17</v>
      </c>
      <c r="I901" s="3" t="str">
        <f>IFERROR(__xludf.DUMMYFUNCTION("GOOGLETRANSLATE(C901,""fr"",""en"")"),"Satisfied with the service. Waiting for the contract and the green card, and hoping that the bridge is going well with Allianz.
Otherwise the prices are great and the service is good")</f>
        <v>Satisfied with the service. Waiting for the contract and the green card, and hoping that the bridge is going well with Allianz.
Otherwise the prices are great and the service is good</v>
      </c>
    </row>
    <row r="902" ht="15.75" customHeight="1">
      <c r="A902" s="2">
        <v>5.0</v>
      </c>
      <c r="B902" s="2" t="s">
        <v>2505</v>
      </c>
      <c r="C902" s="2" t="s">
        <v>2506</v>
      </c>
      <c r="D902" s="2" t="s">
        <v>330</v>
      </c>
      <c r="E902" s="2" t="s">
        <v>44</v>
      </c>
      <c r="F902" s="2" t="s">
        <v>15</v>
      </c>
      <c r="G902" s="2" t="s">
        <v>1409</v>
      </c>
      <c r="H902" s="2" t="s">
        <v>628</v>
      </c>
      <c r="I902" s="3" t="str">
        <f>IFERROR(__xludf.DUMMYFUNCTION("GOOGLETRANSLATE(C902,""fr"",""en"")"),"I have been a member of the MGP Police since 1999 and I am fully satisfied. My two children are also members and soon my wife.")</f>
        <v>I have been a member of the MGP Police since 1999 and I am fully satisfied. My two children are also members and soon my wife.</v>
      </c>
    </row>
    <row r="903" ht="15.75" customHeight="1">
      <c r="A903" s="2">
        <v>5.0</v>
      </c>
      <c r="B903" s="2" t="s">
        <v>2507</v>
      </c>
      <c r="C903" s="2" t="s">
        <v>2508</v>
      </c>
      <c r="D903" s="2" t="s">
        <v>13</v>
      </c>
      <c r="E903" s="2" t="s">
        <v>14</v>
      </c>
      <c r="F903" s="2" t="s">
        <v>15</v>
      </c>
      <c r="G903" s="2" t="s">
        <v>431</v>
      </c>
      <c r="H903" s="2" t="s">
        <v>17</v>
      </c>
      <c r="I903" s="3" t="str">
        <f>IFERROR(__xludf.DUMMYFUNCTION("GOOGLETRANSLATE(C903,""fr"",""en"")"),"I am satisfied first conclusive approach
Friendly staff who explains all the closed of the contract
Respected quote, I have nothing to do")</f>
        <v>I am satisfied first conclusive approach
Friendly staff who explains all the closed of the contract
Respected quote, I have nothing to do</v>
      </c>
    </row>
    <row r="904" ht="15.75" customHeight="1">
      <c r="A904" s="2">
        <v>1.0</v>
      </c>
      <c r="B904" s="2" t="s">
        <v>2509</v>
      </c>
      <c r="C904" s="2" t="s">
        <v>2510</v>
      </c>
      <c r="D904" s="2" t="s">
        <v>121</v>
      </c>
      <c r="E904" s="2" t="s">
        <v>14</v>
      </c>
      <c r="F904" s="2" t="s">
        <v>15</v>
      </c>
      <c r="G904" s="2" t="s">
        <v>2511</v>
      </c>
      <c r="H904" s="2" t="s">
        <v>189</v>
      </c>
      <c r="I904" s="3" t="str">
        <f>IFERROR(__xludf.DUMMYFUNCTION("GOOGLETRANSLATE(C904,""fr"",""en"")"),"Following a disaster caused by an identified third party, my interlocutor according to my current file is in itself a concentrate of imprecisions and contradictory remarks. Honestly, kindness and courtesy courses would be welcome. You are strong to sell y"&amp;"our products, however in case of claims, this is another story. Following this experience I intend to leave the maif")</f>
        <v>Following a disaster caused by an identified third party, my interlocutor according to my current file is in itself a concentrate of imprecisions and contradictory remarks. Honestly, kindness and courtesy courses would be welcome. You are strong to sell your products, however in case of claims, this is another story. Following this experience I intend to leave the maif</v>
      </c>
    </row>
    <row r="905" ht="15.75" customHeight="1">
      <c r="A905" s="2">
        <v>3.0</v>
      </c>
      <c r="B905" s="2" t="s">
        <v>2512</v>
      </c>
      <c r="C905" s="2" t="s">
        <v>2513</v>
      </c>
      <c r="D905" s="2" t="s">
        <v>13</v>
      </c>
      <c r="E905" s="2" t="s">
        <v>14</v>
      </c>
      <c r="F905" s="2" t="s">
        <v>15</v>
      </c>
      <c r="G905" s="2" t="s">
        <v>915</v>
      </c>
      <c r="H905" s="2" t="s">
        <v>29</v>
      </c>
      <c r="I905" s="3" t="str">
        <f>IFERROR(__xludf.DUMMYFUNCTION("GOOGLETRANSLATE(C905,""fr"",""en"")"),"Satisfied to be at the Olivier Insurance You are the best insurance in France! I would say even the world you are incomparable, it's impressive !!!!")</f>
        <v>Satisfied to be at the Olivier Insurance You are the best insurance in France! I would say even the world you are incomparable, it's impressive !!!!</v>
      </c>
    </row>
    <row r="906" ht="15.75" customHeight="1">
      <c r="A906" s="2">
        <v>2.0</v>
      </c>
      <c r="B906" s="2" t="s">
        <v>2514</v>
      </c>
      <c r="C906" s="2" t="s">
        <v>2515</v>
      </c>
      <c r="D906" s="2" t="s">
        <v>13</v>
      </c>
      <c r="E906" s="2" t="s">
        <v>14</v>
      </c>
      <c r="F906" s="2" t="s">
        <v>15</v>
      </c>
      <c r="G906" s="2" t="s">
        <v>66</v>
      </c>
      <c r="H906" s="2" t="s">
        <v>67</v>
      </c>
      <c r="I906" s="3" t="str">
        <f>IFERROR(__xludf.DUMMYFUNCTION("GOOGLETRANSLATE(C906,""fr"",""en"")"),"I do not advise you all! So yes this prices are advantageous and attractive but does not relaunch any claim! Since September 12, 2020 they have a claim to me with filing of a document complaint! Nothing has moved! We are March 24, 2021! This is unacceptab"&amp;"le I do not recommend from all")</f>
        <v>I do not advise you all! So yes this prices are advantageous and attractive but does not relaunch any claim! Since September 12, 2020 they have a claim to me with filing of a document complaint! Nothing has moved! We are March 24, 2021! This is unacceptable I do not recommend from all</v>
      </c>
    </row>
    <row r="907" ht="15.75" customHeight="1">
      <c r="A907" s="2">
        <v>5.0</v>
      </c>
      <c r="B907" s="2" t="s">
        <v>2516</v>
      </c>
      <c r="C907" s="2" t="s">
        <v>2517</v>
      </c>
      <c r="D907" s="2" t="s">
        <v>13</v>
      </c>
      <c r="E907" s="2" t="s">
        <v>14</v>
      </c>
      <c r="F907" s="2" t="s">
        <v>15</v>
      </c>
      <c r="G907" s="2" t="s">
        <v>615</v>
      </c>
      <c r="H907" s="2" t="s">
        <v>50</v>
      </c>
      <c r="I907" s="3" t="str">
        <f>IFERROR(__xludf.DUMMYFUNCTION("GOOGLETRANSLATE(C907,""fr"",""en"")"),"You have to get used to online service but the site is simple and practical. Not yet an app?
On the phone, the employees are friendly.
We will see in use for the rest.
Thank you
Cdlt
Hélène")</f>
        <v>You have to get used to online service but the site is simple and practical. Not yet an app?
On the phone, the employees are friendly.
We will see in use for the rest.
Thank you
Cdlt
Hélène</v>
      </c>
    </row>
    <row r="908" ht="15.75" customHeight="1">
      <c r="A908" s="2">
        <v>4.0</v>
      </c>
      <c r="B908" s="2" t="s">
        <v>2518</v>
      </c>
      <c r="C908" s="2" t="s">
        <v>2519</v>
      </c>
      <c r="D908" s="2" t="s">
        <v>53</v>
      </c>
      <c r="E908" s="2" t="s">
        <v>44</v>
      </c>
      <c r="F908" s="2" t="s">
        <v>15</v>
      </c>
      <c r="G908" s="2" t="s">
        <v>939</v>
      </c>
      <c r="H908" s="2" t="s">
        <v>204</v>
      </c>
      <c r="I908" s="3" t="str">
        <f>IFERROR(__xludf.DUMMYFUNCTION("GOOGLETRANSLATE(C908,""fr"",""en"")"),"This day, I contacted your services following a non -receipt of a card. I was greeted by Gwendal who explained the home policy to me and met my expectations very quickly. A thousand Gwendal thanks.")</f>
        <v>This day, I contacted your services following a non -receipt of a card. I was greeted by Gwendal who explained the home policy to me and met my expectations very quickly. A thousand Gwendal thanks.</v>
      </c>
    </row>
    <row r="909" ht="15.75" customHeight="1">
      <c r="A909" s="2">
        <v>5.0</v>
      </c>
      <c r="B909" s="2" t="s">
        <v>2520</v>
      </c>
      <c r="C909" s="2" t="s">
        <v>2521</v>
      </c>
      <c r="D909" s="2" t="s">
        <v>48</v>
      </c>
      <c r="E909" s="2" t="s">
        <v>14</v>
      </c>
      <c r="F909" s="2" t="s">
        <v>15</v>
      </c>
      <c r="G909" s="2" t="s">
        <v>509</v>
      </c>
      <c r="H909" s="2" t="s">
        <v>89</v>
      </c>
      <c r="I909" s="3" t="str">
        <f>IFERROR(__xludf.DUMMYFUNCTION("GOOGLETRANSLATE(C909,""fr"",""en"")"),"I am very satisfied simple and effective to recommend for young license, very effective and quick quote procedure I recommend thank you very much.")</f>
        <v>I am very satisfied simple and effective to recommend for young license, very effective and quick quote procedure I recommend thank you very much.</v>
      </c>
    </row>
    <row r="910" ht="15.75" customHeight="1">
      <c r="A910" s="2">
        <v>1.0</v>
      </c>
      <c r="B910" s="2" t="s">
        <v>2522</v>
      </c>
      <c r="C910" s="2" t="s">
        <v>2523</v>
      </c>
      <c r="D910" s="2" t="s">
        <v>48</v>
      </c>
      <c r="E910" s="2" t="s">
        <v>14</v>
      </c>
      <c r="F910" s="2" t="s">
        <v>15</v>
      </c>
      <c r="G910" s="2" t="s">
        <v>2524</v>
      </c>
      <c r="H910" s="2" t="s">
        <v>468</v>
      </c>
      <c r="I910" s="3" t="str">
        <f>IFERROR(__xludf.DUMMYFUNCTION("GOOGLETRANSLATE(C910,""fr"",""en"")"),"In the past my partner has already been a client at home, and we also have an knowledge that is assured at home, I am satisfied with you")</f>
        <v>In the past my partner has already been a client at home, and we also have an knowledge that is assured at home, I am satisfied with you</v>
      </c>
    </row>
    <row r="911" ht="15.75" customHeight="1">
      <c r="A911" s="2">
        <v>2.0</v>
      </c>
      <c r="B911" s="2" t="s">
        <v>2525</v>
      </c>
      <c r="C911" s="2" t="s">
        <v>2526</v>
      </c>
      <c r="D911" s="2" t="s">
        <v>48</v>
      </c>
      <c r="E911" s="2" t="s">
        <v>14</v>
      </c>
      <c r="F911" s="2" t="s">
        <v>15</v>
      </c>
      <c r="G911" s="2" t="s">
        <v>663</v>
      </c>
      <c r="H911" s="2" t="s">
        <v>50</v>
      </c>
      <c r="I911" s="3" t="str">
        <f>IFERROR(__xludf.DUMMYFUNCTION("GOOGLETRANSLATE(C911,""fr"",""en"")"),"Satisfied with the simple service is fairly fast via the application
In terms of price I find that it remains a bit expensive in view of the car
And there could be a price when several vehicles insured")</f>
        <v>Satisfied with the simple service is fairly fast via the application
In terms of price I find that it remains a bit expensive in view of the car
And there could be a price when several vehicles insured</v>
      </c>
    </row>
    <row r="912" ht="15.75" customHeight="1">
      <c r="A912" s="2">
        <v>1.0</v>
      </c>
      <c r="B912" s="2" t="s">
        <v>2527</v>
      </c>
      <c r="C912" s="2" t="s">
        <v>2528</v>
      </c>
      <c r="D912" s="2" t="s">
        <v>787</v>
      </c>
      <c r="E912" s="2" t="s">
        <v>44</v>
      </c>
      <c r="F912" s="2" t="s">
        <v>15</v>
      </c>
      <c r="G912" s="2" t="s">
        <v>230</v>
      </c>
      <c r="H912" s="2" t="s">
        <v>231</v>
      </c>
      <c r="I912" s="3" t="str">
        <f>IFERROR(__xludf.DUMMYFUNCTION("GOOGLETRANSLATE(C912,""fr"",""en"")"),"I can understand with the situation Covid but 3 weeks that I fight between phone more than 30 minutes of waiting when we manage to have someone and who mainly meet your expectations and now no connection possible identifiers and password C ' is my work mu"&amp;"tual but there it no longer makes it laugh and still it is not a big problem my case so I do not even imagine the people who need to hospital or other")</f>
        <v>I can understand with the situation Covid but 3 weeks that I fight between phone more than 30 minutes of waiting when we manage to have someone and who mainly meet your expectations and now no connection possible identifiers and password C ' is my work mutual but there it no longer makes it laugh and still it is not a big problem my case so I do not even imagine the people who need to hospital or other</v>
      </c>
    </row>
    <row r="913" ht="15.75" customHeight="1">
      <c r="A913" s="2">
        <v>2.0</v>
      </c>
      <c r="B913" s="2" t="s">
        <v>2529</v>
      </c>
      <c r="C913" s="2" t="s">
        <v>2530</v>
      </c>
      <c r="D913" s="2" t="s">
        <v>155</v>
      </c>
      <c r="E913" s="2" t="s">
        <v>14</v>
      </c>
      <c r="F913" s="2" t="s">
        <v>15</v>
      </c>
      <c r="G913" s="2" t="s">
        <v>2531</v>
      </c>
      <c r="H913" s="2" t="s">
        <v>211</v>
      </c>
      <c r="I913" s="3" t="str">
        <f>IFERROR(__xludf.DUMMYFUNCTION("GOOGLETRANSLATE(C913,""fr"",""en"")"),"Allianz was the only assurance to accept me as an entrepreneurial")</f>
        <v>Allianz was the only assurance to accept me as an entrepreneurial</v>
      </c>
    </row>
    <row r="914" ht="15.75" customHeight="1">
      <c r="A914" s="2">
        <v>5.0</v>
      </c>
      <c r="B914" s="2" t="s">
        <v>2532</v>
      </c>
      <c r="C914" s="2" t="s">
        <v>2533</v>
      </c>
      <c r="D914" s="2" t="s">
        <v>13</v>
      </c>
      <c r="E914" s="2" t="s">
        <v>14</v>
      </c>
      <c r="F914" s="2" t="s">
        <v>15</v>
      </c>
      <c r="G914" s="2" t="s">
        <v>1281</v>
      </c>
      <c r="H914" s="2" t="s">
        <v>67</v>
      </c>
      <c r="I914" s="3" t="str">
        <f>IFERROR(__xludf.DUMMYFUNCTION("GOOGLETRANSLATE(C914,""fr"",""en"")"),"Very competitive price and very attentive sales team on the phone.
Very competitive price and very attentive sales team on the phone.")</f>
        <v>Very competitive price and very attentive sales team on the phone.
Very competitive price and very attentive sales team on the phone.</v>
      </c>
    </row>
    <row r="915" ht="15.75" customHeight="1">
      <c r="A915" s="2">
        <v>1.0</v>
      </c>
      <c r="B915" s="2" t="s">
        <v>2534</v>
      </c>
      <c r="C915" s="2" t="s">
        <v>2535</v>
      </c>
      <c r="D915" s="2" t="s">
        <v>167</v>
      </c>
      <c r="E915" s="2" t="s">
        <v>33</v>
      </c>
      <c r="F915" s="2" t="s">
        <v>15</v>
      </c>
      <c r="G915" s="2" t="s">
        <v>1558</v>
      </c>
      <c r="H915" s="2" t="s">
        <v>149</v>
      </c>
      <c r="I915" s="3" t="str">
        <f>IFERROR(__xludf.DUMMYFUNCTION("GOOGLETRANSLATE(C915,""fr"",""en"")"),"Incompetent, not responsive customer service, a person who deigns to contact you for a human relationship. Bad customer relationship insurance to avoid ..............................................")</f>
        <v>Incompetent, not responsive customer service, a person who deigns to contact you for a human relationship. Bad customer relationship insurance to avoid ..............................................</v>
      </c>
    </row>
    <row r="916" ht="15.75" customHeight="1">
      <c r="A916" s="2">
        <v>4.0</v>
      </c>
      <c r="B916" s="2" t="s">
        <v>2536</v>
      </c>
      <c r="C916" s="2" t="s">
        <v>2537</v>
      </c>
      <c r="D916" s="2" t="s">
        <v>126</v>
      </c>
      <c r="E916" s="2" t="s">
        <v>127</v>
      </c>
      <c r="F916" s="2" t="s">
        <v>15</v>
      </c>
      <c r="G916" s="2" t="s">
        <v>2538</v>
      </c>
      <c r="H916" s="2" t="s">
        <v>21</v>
      </c>
      <c r="I916" s="3" t="str">
        <f>IFERROR(__xludf.DUMMYFUNCTION("GOOGLETRANSLATE(C916,""fr"",""en"")"),"inexpensive for all the advantages that we have these super fast and effective top but I hope it will be 100% reliable at K or we have a problem but these the lowest price")</f>
        <v>inexpensive for all the advantages that we have these super fast and effective top but I hope it will be 100% reliable at K or we have a problem but these the lowest price</v>
      </c>
    </row>
    <row r="917" ht="15.75" customHeight="1">
      <c r="A917" s="2">
        <v>1.0</v>
      </c>
      <c r="B917" s="2" t="s">
        <v>2539</v>
      </c>
      <c r="C917" s="2" t="s">
        <v>2540</v>
      </c>
      <c r="D917" s="2" t="s">
        <v>13</v>
      </c>
      <c r="E917" s="2" t="s">
        <v>14</v>
      </c>
      <c r="F917" s="2" t="s">
        <v>15</v>
      </c>
      <c r="G917" s="2" t="s">
        <v>981</v>
      </c>
      <c r="H917" s="2" t="s">
        <v>21</v>
      </c>
      <c r="I917" s="3" t="str">
        <f>IFERROR(__xludf.DUMMYFUNCTION("GOOGLETRANSLATE(C917,""fr"",""en"")"),"High price. And level of service not at the top for the moment. The price announced in the quote is not the final price. We will see if the service and the responsiveness improves.")</f>
        <v>High price. And level of service not at the top for the moment. The price announced in the quote is not the final price. We will see if the service and the responsiveness improves.</v>
      </c>
    </row>
    <row r="918" ht="15.75" customHeight="1">
      <c r="A918" s="2">
        <v>5.0</v>
      </c>
      <c r="B918" s="2" t="s">
        <v>2541</v>
      </c>
      <c r="C918" s="2" t="s">
        <v>2542</v>
      </c>
      <c r="D918" s="2" t="s">
        <v>48</v>
      </c>
      <c r="E918" s="2" t="s">
        <v>14</v>
      </c>
      <c r="F918" s="2" t="s">
        <v>15</v>
      </c>
      <c r="G918" s="2" t="s">
        <v>275</v>
      </c>
      <c r="H918" s="2" t="s">
        <v>67</v>
      </c>
      <c r="I918" s="3" t="str">
        <f>IFERROR(__xludf.DUMMYFUNCTION("GOOGLETRANSLATE(C918,""fr"",""en"")"),"Very nice reception of the service, no pressure to make a decision. We can ask all questions without any worries. The prices are reasonable and thanks to you I just saved. thanks again")</f>
        <v>Very nice reception of the service, no pressure to make a decision. We can ask all questions without any worries. The prices are reasonable and thanks to you I just saved. thanks again</v>
      </c>
    </row>
    <row r="919" ht="15.75" customHeight="1">
      <c r="A919" s="2">
        <v>5.0</v>
      </c>
      <c r="B919" s="2" t="s">
        <v>2543</v>
      </c>
      <c r="C919" s="2" t="s">
        <v>2544</v>
      </c>
      <c r="D919" s="2" t="s">
        <v>126</v>
      </c>
      <c r="E919" s="2" t="s">
        <v>127</v>
      </c>
      <c r="F919" s="2" t="s">
        <v>15</v>
      </c>
      <c r="G919" s="2" t="s">
        <v>1324</v>
      </c>
      <c r="H919" s="2" t="s">
        <v>25</v>
      </c>
      <c r="I919" s="3" t="str">
        <f>IFERROR(__xludf.DUMMYFUNCTION("GOOGLETRANSLATE(C919,""fr"",""en"")"),"Satisfied very much soon. I recommend thank you for your confidence. It's perfect, brilliant, wonderful, beautiful, fantastic, lively April, you are the best")</f>
        <v>Satisfied very much soon. I recommend thank you for your confidence. It's perfect, brilliant, wonderful, beautiful, fantastic, lively April, you are the best</v>
      </c>
    </row>
    <row r="920" ht="15.75" customHeight="1">
      <c r="A920" s="2">
        <v>1.0</v>
      </c>
      <c r="B920" s="2" t="s">
        <v>2545</v>
      </c>
      <c r="C920" s="2" t="s">
        <v>2546</v>
      </c>
      <c r="D920" s="2" t="s">
        <v>48</v>
      </c>
      <c r="E920" s="2" t="s">
        <v>14</v>
      </c>
      <c r="F920" s="2" t="s">
        <v>15</v>
      </c>
      <c r="G920" s="2" t="s">
        <v>2547</v>
      </c>
      <c r="H920" s="2" t="s">
        <v>477</v>
      </c>
      <c r="I920" s="3" t="str">
        <f>IFERROR(__xludf.DUMMYFUNCTION("GOOGLETRANSLATE(C920,""fr"",""en"")"),"Ensured for ""fire"" outside vandalism for my car.
We know the contract that we contract, but whatever it is, Direct Insurance will do everything for the realitis of the facts is favorable for them and that the insured is not compensated.
Victim of my b"&amp;"urning vehicle, I made my rights for an expertise (BCA) and against expertise (Lecolle), the 2 mandates and paid by insurance, which gives them the directives for the report, therefore to the report, Place to note an indeterminate fire, the expert notes f"&amp;"ire by vandalism but without evidence of vandalism, and this little detail for them allows them not to be responsible for the customer and therefore not to compensate.
And to rely the truth, I have to engage at my expense a lawyer, an independent expert,"&amp;" quu will come back to me more expensive than compensation but that is a question of principle.")</f>
        <v>Ensured for "fire" outside vandalism for my car.
We know the contract that we contract, but whatever it is, Direct Insurance will do everything for the realitis of the facts is favorable for them and that the insured is not compensated.
Victim of my burning vehicle, I made my rights for an expertise (BCA) and against expertise (Lecolle), the 2 mandates and paid by insurance, which gives them the directives for the report, therefore to the report, Place to note an indeterminate fire, the expert notes fire by vandalism but without evidence of vandalism, and this little detail for them allows them not to be responsible for the customer and therefore not to compensate.
And to rely the truth, I have to engage at my expense a lawyer, an independent expert, quu will come back to me more expensive than compensation but that is a question of principle.</v>
      </c>
    </row>
    <row r="921" ht="15.75" customHeight="1">
      <c r="A921" s="2">
        <v>3.0</v>
      </c>
      <c r="B921" s="2" t="s">
        <v>2548</v>
      </c>
      <c r="C921" s="2" t="s">
        <v>2549</v>
      </c>
      <c r="D921" s="2" t="s">
        <v>13</v>
      </c>
      <c r="E921" s="2" t="s">
        <v>14</v>
      </c>
      <c r="F921" s="2" t="s">
        <v>15</v>
      </c>
      <c r="G921" s="2" t="s">
        <v>99</v>
      </c>
      <c r="H921" s="2" t="s">
        <v>99</v>
      </c>
      <c r="I921" s="3" t="str">
        <f>IFERROR(__xludf.DUMMYFUNCTION("GOOGLETRANSLATE(C921,""fr"",""en"")"),"New insured, speed to subscribe online but the options have increased the invoice. No opinion on an eventual sinister. To see the rest.")</f>
        <v>New insured, speed to subscribe online but the options have increased the invoice. No opinion on an eventual sinister. To see the rest.</v>
      </c>
    </row>
    <row r="922" ht="15.75" customHeight="1">
      <c r="A922" s="2">
        <v>1.0</v>
      </c>
      <c r="B922" s="2" t="s">
        <v>2550</v>
      </c>
      <c r="C922" s="2" t="s">
        <v>2551</v>
      </c>
      <c r="D922" s="2" t="s">
        <v>83</v>
      </c>
      <c r="E922" s="2" t="s">
        <v>14</v>
      </c>
      <c r="F922" s="2" t="s">
        <v>15</v>
      </c>
      <c r="G922" s="2" t="s">
        <v>234</v>
      </c>
      <c r="H922" s="2" t="s">
        <v>60</v>
      </c>
      <c r="I922" s="3" t="str">
        <f>IFERROR(__xludf.DUMMYFUNCTION("GOOGLETRANSLATE(C922,""fr"",""en"")"),"Victim of a sinister since 12/01/2019 The incompetent Rouen loss service lack of respect when they are called 6 calls in 1 month and file always at the same point while complete file to flee as insurance. December we have to manage to work and my and he c"&amp;"ontinues to take me I have legal protection in another insurance that I will contact")</f>
        <v>Victim of a sinister since 12/01/2019 The incompetent Rouen loss service lack of respect when they are called 6 calls in 1 month and file always at the same point while complete file to flee as insurance. December we have to manage to work and my and he continues to take me I have legal protection in another insurance that I will contact</v>
      </c>
    </row>
    <row r="923" ht="15.75" customHeight="1">
      <c r="A923" s="2">
        <v>1.0</v>
      </c>
      <c r="B923" s="2" t="s">
        <v>2552</v>
      </c>
      <c r="C923" s="2" t="s">
        <v>2553</v>
      </c>
      <c r="D923" s="2" t="s">
        <v>2554</v>
      </c>
      <c r="E923" s="2" t="s">
        <v>242</v>
      </c>
      <c r="F923" s="2" t="s">
        <v>15</v>
      </c>
      <c r="G923" s="2" t="s">
        <v>889</v>
      </c>
      <c r="H923" s="2" t="s">
        <v>99</v>
      </c>
      <c r="I923" s="3" t="str">
        <f>IFERROR(__xludf.DUMMYFUNCTION("GOOGLETRANSLATE(C923,""fr"",""en"")"),"By wishing to change Caci, several email and a registered letter sent but no news, Caci continues to take me. TO FLEE.
In addition, by calling for number 09 69 36 30 30 (LCL customer serve), he gives me a number 09 74 75 01 74 (Castorama ???) for Caci."&amp;" These are ESCs ....")</f>
        <v>By wishing to change Caci, several email and a registered letter sent but no news, Caci continues to take me. TO FLEE.
In addition, by calling for number 09 69 36 30 30 (LCL customer serve), he gives me a number 09 74 75 01 74 (Castorama ???) for Caci. These are ESCs ....</v>
      </c>
    </row>
    <row r="924" ht="15.75" customHeight="1">
      <c r="A924" s="2">
        <v>3.0</v>
      </c>
      <c r="B924" s="2" t="s">
        <v>2555</v>
      </c>
      <c r="C924" s="2" t="s">
        <v>2556</v>
      </c>
      <c r="D924" s="2" t="s">
        <v>48</v>
      </c>
      <c r="E924" s="2" t="s">
        <v>14</v>
      </c>
      <c r="F924" s="2" t="s">
        <v>15</v>
      </c>
      <c r="G924" s="2" t="s">
        <v>257</v>
      </c>
      <c r="H924" s="2" t="s">
        <v>99</v>
      </c>
      <c r="I924" s="3" t="str">
        <f>IFERROR(__xludf.DUMMYFUNCTION("GOOGLETRANSLATE(C924,""fr"",""en"")"),"I would like my insurance to decrease because each year it increases despite that I declare any claim. Regards good day .................")</f>
        <v>I would like my insurance to decrease because each year it increases despite that I declare any claim. Regards good day .................</v>
      </c>
    </row>
    <row r="925" ht="15.75" customHeight="1">
      <c r="A925" s="2">
        <v>2.0</v>
      </c>
      <c r="B925" s="2" t="s">
        <v>2557</v>
      </c>
      <c r="C925" s="2" t="s">
        <v>2558</v>
      </c>
      <c r="D925" s="2" t="s">
        <v>48</v>
      </c>
      <c r="E925" s="2" t="s">
        <v>14</v>
      </c>
      <c r="F925" s="2" t="s">
        <v>15</v>
      </c>
      <c r="G925" s="2" t="s">
        <v>2559</v>
      </c>
      <c r="H925" s="2" t="s">
        <v>1059</v>
      </c>
      <c r="I925" s="3" t="str">
        <f>IFERROR(__xludf.DUMMYFUNCTION("GOOGLETRANSLATE(C925,""fr"",""en"")"),"Decre that the fidelite is not rewarded: it is preferable to leave direct insurance and kidney register to benefit from advantageous prices ... This was even confirmed by the Direct Insurance advisor ...")</f>
        <v>Decre that the fidelite is not rewarded: it is preferable to leave direct insurance and kidney register to benefit from advantageous prices ... This was even confirmed by the Direct Insurance advisor ...</v>
      </c>
    </row>
    <row r="926" ht="15.75" customHeight="1">
      <c r="A926" s="2">
        <v>4.0</v>
      </c>
      <c r="B926" s="2" t="s">
        <v>2560</v>
      </c>
      <c r="C926" s="2" t="s">
        <v>2561</v>
      </c>
      <c r="D926" s="2" t="s">
        <v>330</v>
      </c>
      <c r="E926" s="2" t="s">
        <v>44</v>
      </c>
      <c r="F926" s="2" t="s">
        <v>15</v>
      </c>
      <c r="G926" s="2" t="s">
        <v>2562</v>
      </c>
      <c r="H926" s="2" t="s">
        <v>164</v>
      </c>
      <c r="I926" s="3" t="str">
        <f>IFERROR(__xludf.DUMMYFUNCTION("GOOGLETRANSLATE(C926,""fr"",""en"")"),"Contribution always too expensive in my opinion, the management and study of quotes, or questions relating to reimbursements is however very rapid, and the professionalism of the stakeholders is excellent")</f>
        <v>Contribution always too expensive in my opinion, the management and study of quotes, or questions relating to reimbursements is however very rapid, and the professionalism of the stakeholders is excellent</v>
      </c>
    </row>
    <row r="927" ht="15.75" customHeight="1">
      <c r="A927" s="2">
        <v>5.0</v>
      </c>
      <c r="B927" s="2" t="s">
        <v>2563</v>
      </c>
      <c r="C927" s="2" t="s">
        <v>2564</v>
      </c>
      <c r="D927" s="2" t="s">
        <v>135</v>
      </c>
      <c r="E927" s="2" t="s">
        <v>44</v>
      </c>
      <c r="F927" s="2" t="s">
        <v>15</v>
      </c>
      <c r="G927" s="2" t="s">
        <v>2565</v>
      </c>
      <c r="H927" s="2" t="s">
        <v>729</v>
      </c>
      <c r="I927" s="3" t="str">
        <f>IFERROR(__xludf.DUMMYFUNCTION("GOOGLETRANSLATE(C927,""fr"",""en"")"),"I was contacted today by Gwendal. This very insightful and kind interlocutor gave me completely satisfaction. It was clear and precise. Very effective. I would like to have it as a main interlocutor.
")</f>
        <v>I was contacted today by Gwendal. This very insightful and kind interlocutor gave me completely satisfaction. It was clear and precise. Very effective. I would like to have it as a main interlocutor.
</v>
      </c>
    </row>
    <row r="928" ht="15.75" customHeight="1">
      <c r="A928" s="2">
        <v>1.0</v>
      </c>
      <c r="B928" s="2" t="s">
        <v>2566</v>
      </c>
      <c r="C928" s="2" t="s">
        <v>2567</v>
      </c>
      <c r="D928" s="2" t="s">
        <v>83</v>
      </c>
      <c r="E928" s="2" t="s">
        <v>14</v>
      </c>
      <c r="F928" s="2" t="s">
        <v>15</v>
      </c>
      <c r="G928" s="2" t="s">
        <v>2568</v>
      </c>
      <c r="H928" s="2" t="s">
        <v>729</v>
      </c>
      <c r="I928" s="3" t="str">
        <f>IFERROR(__xludf.DUMMYFUNCTION("GOOGLETRANSLATE(C928,""fr"",""en"")"),"To flee imperatively! I am extremely disappointed with the Matmut, insured at home for 11 years and brutally terminated due to claims whose responsibility was not attributable to me: 1 parking, 1 broken ice, 1 collision in a 50/50 parking lot with Very su"&amp;"perficial repairs ... Resiliation result. I find their policy of zero tolerance truly scandalous, no consideration for the circumstances of the claims, your seniority as a member or your profile.
I am a good driver with bonus, for the first 2 claims it w"&amp;"as a bad luck, I was not even in the vehicle, but the Matmut did not do since the client management is impersonal and purely financial.
I strongly recommend this insurance, and if you are a member you can always prospect, you will only find better elsewh"&amp;"ere, and the Hamon law facilitates termination after a year it is very simple.
My whole family is a Matmut member, and it is obvious that I will do my best in order to convince them to terminate their contract having regard to their unacceptable politics"&amp;".
Be careful.")</f>
        <v>To flee imperatively! I am extremely disappointed with the Matmut, insured at home for 11 years and brutally terminated due to claims whose responsibility was not attributable to me: 1 parking, 1 broken ice, 1 collision in a 50/50 parking lot with Very superficial repairs ... Resiliation result. I find their policy of zero tolerance truly scandalous, no consideration for the circumstances of the claims, your seniority as a member or your profile.
I am a good driver with bonus, for the first 2 claims it was a bad luck, I was not even in the vehicle, but the Matmut did not do since the client management is impersonal and purely financial.
I strongly recommend this insurance, and if you are a member you can always prospect, you will only find better elsewhere, and the Hamon law facilitates termination after a year it is very simple.
My whole family is a Matmut member, and it is obvious that I will do my best in order to convince them to terminate their contract having regard to their unacceptable politics.
Be careful.</v>
      </c>
    </row>
    <row r="929" ht="15.75" customHeight="1">
      <c r="A929" s="2">
        <v>1.0</v>
      </c>
      <c r="B929" s="2" t="s">
        <v>2569</v>
      </c>
      <c r="C929" s="2" t="s">
        <v>2570</v>
      </c>
      <c r="D929" s="2" t="s">
        <v>228</v>
      </c>
      <c r="E929" s="2" t="s">
        <v>14</v>
      </c>
      <c r="F929" s="2" t="s">
        <v>15</v>
      </c>
      <c r="G929" s="2" t="s">
        <v>2571</v>
      </c>
      <c r="H929" s="2" t="s">
        <v>94</v>
      </c>
      <c r="I929" s="3" t="str">
        <f>IFERROR(__xludf.DUMMYFUNCTION("GOOGLETRANSLATE(C929,""fr"",""en"")"),"Too expensive. 600 euro for a 206 from 99 to third party max with bonus of 0.72. Do not make fun of it. We are taken for milk cows")</f>
        <v>Too expensive. 600 euro for a 206 from 99 to third party max with bonus of 0.72. Do not make fun of it. We are taken for milk cows</v>
      </c>
    </row>
    <row r="930" ht="15.75" customHeight="1">
      <c r="A930" s="2">
        <v>1.0</v>
      </c>
      <c r="B930" s="2" t="s">
        <v>2572</v>
      </c>
      <c r="C930" s="2" t="s">
        <v>2573</v>
      </c>
      <c r="D930" s="2" t="s">
        <v>296</v>
      </c>
      <c r="E930" s="2" t="s">
        <v>14</v>
      </c>
      <c r="F930" s="2" t="s">
        <v>15</v>
      </c>
      <c r="G930" s="2" t="s">
        <v>2574</v>
      </c>
      <c r="H930" s="2" t="s">
        <v>261</v>
      </c>
      <c r="I930" s="3" t="str">
        <f>IFERROR(__xludf.DUMMYFUNCTION("GOOGLETRANSLATE(C930,""fr"",""en"")"),"Customer for 15 years, no liable loss, more deductible given my loyalty and my good conduct ...
I have just been terminated without any management. Reason: 2 non -responsible claims (with identified third parties) in 2 years and 1 broken ice. No possibil"&amp;"ity of discussing. And termination which takes effect 10 days after the registered letter. In addition filing for 5 years on the insurance file as a vulgar driver !!!!
TO FLEE")</f>
        <v>Customer for 15 years, no liable loss, more deductible given my loyalty and my good conduct ...
I have just been terminated without any management. Reason: 2 non -responsible claims (with identified third parties) in 2 years and 1 broken ice. No possibility of discussing. And termination which takes effect 10 days after the registered letter. In addition filing for 5 years on the insurance file as a vulgar driver !!!!
TO FLEE</v>
      </c>
    </row>
    <row r="931" ht="15.75" customHeight="1">
      <c r="A931" s="2">
        <v>2.0</v>
      </c>
      <c r="B931" s="2" t="s">
        <v>2575</v>
      </c>
      <c r="C931" s="2" t="s">
        <v>2576</v>
      </c>
      <c r="D931" s="2" t="s">
        <v>58</v>
      </c>
      <c r="E931" s="2" t="s">
        <v>44</v>
      </c>
      <c r="F931" s="2" t="s">
        <v>15</v>
      </c>
      <c r="G931" s="2" t="s">
        <v>2577</v>
      </c>
      <c r="H931" s="2" t="s">
        <v>149</v>
      </c>
      <c r="I931" s="3" t="str">
        <f>IFERROR(__xludf.DUMMYFUNCTION("GOOGLETRANSLATE(C931,""fr"",""en"")"),"Contract with ACS since January 2019.")</f>
        <v>Contract with ACS since January 2019.</v>
      </c>
    </row>
    <row r="932" ht="15.75" customHeight="1">
      <c r="A932" s="2">
        <v>1.0</v>
      </c>
      <c r="B932" s="2" t="s">
        <v>2578</v>
      </c>
      <c r="C932" s="2" t="s">
        <v>2579</v>
      </c>
      <c r="D932" s="2" t="s">
        <v>92</v>
      </c>
      <c r="E932" s="2" t="s">
        <v>44</v>
      </c>
      <c r="F932" s="2" t="s">
        <v>15</v>
      </c>
      <c r="G932" s="2" t="s">
        <v>269</v>
      </c>
      <c r="H932" s="2" t="s">
        <v>25</v>
      </c>
      <c r="I932" s="3" t="str">
        <f>IFERROR(__xludf.DUMMYFUNCTION("GOOGLETRANSLATE(C932,""fr"",""en"")"),"I put 1 star because I cannot put zero, I would like to create an association or a club with all the customers disappointed by the MGEN, he claim me 5,700 euros when they stop taking the contributions on wages without having Warned person, I have other co"&amp;"lleagues in the same case, it is all simmer, if you are interested here is my email address sdesissaire@gmail.com")</f>
        <v>I put 1 star because I cannot put zero, I would like to create an association or a club with all the customers disappointed by the MGEN, he claim me 5,700 euros when they stop taking the contributions on wages without having Warned person, I have other colleagues in the same case, it is all simmer, if you are interested here is my email address sdesissaire@gmail.com</v>
      </c>
    </row>
    <row r="933" ht="15.75" customHeight="1">
      <c r="A933" s="2">
        <v>3.0</v>
      </c>
      <c r="B933" s="2" t="s">
        <v>2580</v>
      </c>
      <c r="C933" s="2" t="s">
        <v>2581</v>
      </c>
      <c r="D933" s="2" t="s">
        <v>48</v>
      </c>
      <c r="E933" s="2" t="s">
        <v>14</v>
      </c>
      <c r="F933" s="2" t="s">
        <v>15</v>
      </c>
      <c r="G933" s="2" t="s">
        <v>1055</v>
      </c>
      <c r="H933" s="2" t="s">
        <v>21</v>
      </c>
      <c r="I933" s="3" t="str">
        <f>IFERROR(__xludf.DUMMYFUNCTION("GOOGLETRANSLATE(C933,""fr"",""en"")"),"An insurance company not at all ecological since when you wish to terminate your car insurance because it is sold, that you ask for termination on the site and having scanned all the documents, you must still send recommended letters, all printed Because "&amp;"they are not capable, especially they do not want to terminate a contract at the customer's request. Incredible to see it again in 2021!")</f>
        <v>An insurance company not at all ecological since when you wish to terminate your car insurance because it is sold, that you ask for termination on the site and having scanned all the documents, you must still send recommended letters, all printed Because they are not capable, especially they do not want to terminate a contract at the customer's request. Incredible to see it again in 2021!</v>
      </c>
    </row>
    <row r="934" ht="15.75" customHeight="1">
      <c r="A934" s="2">
        <v>3.0</v>
      </c>
      <c r="B934" s="2" t="s">
        <v>2582</v>
      </c>
      <c r="C934" s="2" t="s">
        <v>2583</v>
      </c>
      <c r="D934" s="2" t="s">
        <v>48</v>
      </c>
      <c r="E934" s="2" t="s">
        <v>14</v>
      </c>
      <c r="F934" s="2" t="s">
        <v>15</v>
      </c>
      <c r="G934" s="2" t="s">
        <v>66</v>
      </c>
      <c r="H934" s="2" t="s">
        <v>67</v>
      </c>
      <c r="I934" s="3" t="str">
        <f>IFERROR(__xludf.DUMMYFUNCTION("GOOGLETRANSLATE(C934,""fr"",""en"")"),"I am satisfied with my car insurance, even if the price is a little high for me because I am a student (too bad that you offer no student rate elsewhere) I like the effectiveness of the application so if not nothing to say what's more")</f>
        <v>I am satisfied with my car insurance, even if the price is a little high for me because I am a student (too bad that you offer no student rate elsewhere) I like the effectiveness of the application so if not nothing to say what's more</v>
      </c>
    </row>
    <row r="935" ht="15.75" customHeight="1">
      <c r="A935" s="2">
        <v>5.0</v>
      </c>
      <c r="B935" s="2" t="s">
        <v>2584</v>
      </c>
      <c r="C935" s="2" t="s">
        <v>2585</v>
      </c>
      <c r="D935" s="2" t="s">
        <v>135</v>
      </c>
      <c r="E935" s="2" t="s">
        <v>44</v>
      </c>
      <c r="F935" s="2" t="s">
        <v>15</v>
      </c>
      <c r="G935" s="2" t="s">
        <v>2586</v>
      </c>
      <c r="H935" s="2" t="s">
        <v>298</v>
      </c>
      <c r="I935" s="3" t="str">
        <f>IFERROR(__xludf.DUMMYFUNCTION("GOOGLETRANSLATE(C935,""fr"",""en"")"),"ras  tres satisfaitaaaaaaaaaaaaaaaaaaaaaaaaaaaaaaaaaaaaaaaaaaaaaaaaaaaaaaaaaaaaaaaaaaaaaaaaaaaaaaaaaaaaaaaaaaaaaaaaaaaaaaaaaaaaaaaaaaaaaaaaaaaaaaaaaaaaaaaaaaaaaaaaaaaaaaaaaaaaaaaaaaaaaaaaaaaaaaaaaaaaaaaaaaaaaaaaaaaaaaaaaaaaaaaaaaaaaaaaaaaaaaaaaaaaaaaaaaaa"&amp;"aaaaaaaaaaaaaaaaaaaaaaaaaaaaaaaaaaaaaaaaaaaaaaaaaaaaaaaaaaaaaaaaaaaaaaaaaaaaaaaaaaaaaaaaaaaaaaaaaaaaaaaaaaaaaaaaaaaaaaaaaaaaaaaaaaaaaaaaaaaaaaaaaaaaaaacccccccccccccccccccccccccccccccccccccccccccccccccccccccccccccccccccccccccccccccccccccccccccccccccccccccc"&amp;"ccccccccccccccccccccccccccccccccccccccccccccccccccccccccccccccccccccccccccccccccccccccccccccccccccccccccccccccccccccccccccccccccccccccccccccccccccccccccccccccccccccccccccccccccccccccccccccccccccccccccccccccccccccccccccccccccccccccccccccccccccccccccccccccc"&amp;"vvvvvvvvvvvvvvvvvvvvvvvvvvvvvvvvvvvvvvvvvvvvvvvvvvvvvvvvvvvvvvvvvvvvvvvvvvvvvvvvvvvvvvvvvvvvvvvvvvvvvvvvvvvvvvvvvvvvvvvvvvvvvvvvvvvvvvvvvvvvvvvvvvvvvvvvvvvvvvvvvvvvvvvvvvvvvvvvvvvvvvvvvvvvvvvvvvvvvvvvvvvvvvvvvvvvvvvvvvvvvvvvvvvvvvvvvvv vvvvvvvvvvvvvvvvvvv"&amp;"vvvvvvvvvvvvvvvvvvvvvvvvvvvvvvvvvvvvvvvvvvvvvvvvvvvvvvvvvvvvvvvvvvvvvvvvvvvvvvvvvvvvvvvvvvvvvV")</f>
        <v>ras  tres satisfai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vvvvvvvvvvvvvvvvvvvvvvvvvvvvvvvvvvvvvvvvvvvvvvvvvvvvvvvvvvvvvvvvvvvvvvvvvvvvvvvvvvvvvvvvvvvvvvvvvvvvvvvvvvvvvvvvvvvvvvvvvvvvvvvvvvvvvvvvvvvvvvvvvvvvvvvvvvvvvvvvvvvvvvvvvvvvvvvvvvvvvvvvvvvvvvvvvvvvvvvvvvvvvvvvvvvvvvvvvvvvvvvvvvvvvvvvvvv vvvvvvvvvvvvvvvvvvvvvvvvvvvvvvvvvvvvvvvvvvvvvvvvvvvvvvvvvvvvvvvvvvvvvvvvvvvvvvvvvvvvvvvvvvvvvvvvvvvvvvvvvvvvvvvvV</v>
      </c>
    </row>
    <row r="936" ht="15.75" customHeight="1">
      <c r="A936" s="2">
        <v>1.0</v>
      </c>
      <c r="B936" s="2" t="s">
        <v>2587</v>
      </c>
      <c r="C936" s="2" t="s">
        <v>2588</v>
      </c>
      <c r="D936" s="2" t="s">
        <v>155</v>
      </c>
      <c r="E936" s="2" t="s">
        <v>14</v>
      </c>
      <c r="F936" s="2" t="s">
        <v>15</v>
      </c>
      <c r="G936" s="2" t="s">
        <v>2589</v>
      </c>
      <c r="H936" s="2" t="s">
        <v>943</v>
      </c>
      <c r="I936" s="3" t="str">
        <f>IFERROR(__xludf.DUMMYFUNCTION("GOOGLETRANSLATE(C936,""fr"",""en"")"),"I am very strongly decided to have put all assurances at Allianz .... when everything is fine !!!!!! Everything goes well at the slightest claim, at the slightest request for information then begins a real combatively of the combination !!! For my daughte"&amp;"r's contract who is not signed Allianz gives herself the cheek to open the contract anyway without any signature !!!! Currently it is in trials and if its continuous I retired all my contracts and those of my family in total 7 !!!!!")</f>
        <v>I am very strongly decided to have put all assurances at Allianz .... when everything is fine !!!!!! Everything goes well at the slightest claim, at the slightest request for information then begins a real combatively of the combination !!! For my daughter's contract who is not signed Allianz gives herself the cheek to open the contract anyway without any signature !!!! Currently it is in trials and if its continuous I retired all my contracts and those of my family in total 7 !!!!!</v>
      </c>
    </row>
    <row r="937" ht="15.75" customHeight="1">
      <c r="A937" s="2">
        <v>1.0</v>
      </c>
      <c r="B937" s="2" t="s">
        <v>2590</v>
      </c>
      <c r="C937" s="2" t="s">
        <v>2591</v>
      </c>
      <c r="D937" s="2" t="s">
        <v>58</v>
      </c>
      <c r="E937" s="2" t="s">
        <v>44</v>
      </c>
      <c r="F937" s="2" t="s">
        <v>15</v>
      </c>
      <c r="G937" s="2" t="s">
        <v>2592</v>
      </c>
      <c r="H937" s="2" t="s">
        <v>55</v>
      </c>
      <c r="I937" s="3" t="str">
        <f>IFERROR(__xludf.DUMMYFUNCTION("GOOGLETRANSLATE(C937,""fr"",""en"")"),"Safe sales service but customer service, after sale are really horrible.
I have called the service but little answer. The mutual card is often wrong. Several requests sent to the application but no answer.")</f>
        <v>Safe sales service but customer service, after sale are really horrible.
I have called the service but little answer. The mutual card is often wrong. Several requests sent to the application but no answer.</v>
      </c>
    </row>
    <row r="938" ht="15.75" customHeight="1">
      <c r="A938" s="2">
        <v>3.0</v>
      </c>
      <c r="B938" s="2" t="s">
        <v>2593</v>
      </c>
      <c r="C938" s="2" t="s">
        <v>2594</v>
      </c>
      <c r="D938" s="2" t="s">
        <v>13</v>
      </c>
      <c r="E938" s="2" t="s">
        <v>14</v>
      </c>
      <c r="F938" s="2" t="s">
        <v>15</v>
      </c>
      <c r="G938" s="2" t="s">
        <v>2595</v>
      </c>
      <c r="H938" s="2" t="s">
        <v>247</v>
      </c>
      <c r="I938" s="3" t="str">
        <f>IFERROR(__xludf.DUMMYFUNCTION("GOOGLETRANSLATE(C938,""fr"",""en"")"),"I am satisfied with the speaker, a quick service. Price level is honest.
This is my second vehicle insured with the Olivier Insurance, if I was not satisfied, I would have changed insurance.")</f>
        <v>I am satisfied with the speaker, a quick service. Price level is honest.
This is my second vehicle insured with the Olivier Insurance, if I was not satisfied, I would have changed insurance.</v>
      </c>
    </row>
    <row r="939" ht="15.75" customHeight="1">
      <c r="A939" s="2">
        <v>3.0</v>
      </c>
      <c r="B939" s="2" t="s">
        <v>2596</v>
      </c>
      <c r="C939" s="2" t="s">
        <v>2597</v>
      </c>
      <c r="D939" s="2" t="s">
        <v>102</v>
      </c>
      <c r="E939" s="2" t="s">
        <v>285</v>
      </c>
      <c r="F939" s="2" t="s">
        <v>15</v>
      </c>
      <c r="G939" s="2" t="s">
        <v>793</v>
      </c>
      <c r="H939" s="2" t="s">
        <v>157</v>
      </c>
      <c r="I939" s="3" t="str">
        <f>IFERROR(__xludf.DUMMYFUNCTION("GOOGLETRANSLATE(C939,""fr"",""en"")"),"After 40 years spent at the MAAF concerning the house
They have just turned me because too much disaster I have nothing to do with water leak, computer failure, or washing machine and yet in 40 years I have not had a sinter apart from the last five years"&amp;" so very Disappointed their decision if we make the ratio I think I don't cost them dearly we have the car no accident, health not sick well we will kidnap everything")</f>
        <v>After 40 years spent at the MAAF concerning the house
They have just turned me because too much disaster I have nothing to do with water leak, computer failure, or washing machine and yet in 40 years I have not had a sinter apart from the last five years so very Disappointed their decision if we make the ratio I think I don't cost them dearly we have the car no accident, health not sick well we will kidnap everything</v>
      </c>
    </row>
    <row r="940" ht="15.75" customHeight="1">
      <c r="A940" s="2">
        <v>2.0</v>
      </c>
      <c r="B940" s="2" t="s">
        <v>2598</v>
      </c>
      <c r="C940" s="2" t="s">
        <v>2599</v>
      </c>
      <c r="D940" s="2" t="s">
        <v>2154</v>
      </c>
      <c r="E940" s="2" t="s">
        <v>285</v>
      </c>
      <c r="F940" s="2" t="s">
        <v>15</v>
      </c>
      <c r="G940" s="2" t="s">
        <v>2600</v>
      </c>
      <c r="H940" s="2" t="s">
        <v>85</v>
      </c>
      <c r="I940" s="3" t="str">
        <f>IFERROR(__xludf.DUMMYFUNCTION("GOOGLETRANSLATE(C940,""fr"",""en"")"),"Already they are expensive and when you want to report a contract modification which will have the consequence of lowering your annual subscription no one wants to take your request into consideration. The person who answers you on the phone tells you tha"&amp;"t they are not empowered to make the change, that someone will remind you ... The days pass nobody reminds you. You then remember and there always the same thing ... and after a year we send you the contribution call with almost € 300 to pay instead of 95"&amp;" € approx. So you don't pay these € 300 and we terminate you but we still claim these € 300 by formal notice and threat of seizure ...
Groupama Insurance to flee !!!")</f>
        <v>Already they are expensive and when you want to report a contract modification which will have the consequence of lowering your annual subscription no one wants to take your request into consideration. The person who answers you on the phone tells you that they are not empowered to make the change, that someone will remind you ... The days pass nobody reminds you. You then remember and there always the same thing ... and after a year we send you the contribution call with almost € 300 to pay instead of 95 € approx. So you don't pay these € 300 and we terminate you but we still claim these € 300 by formal notice and threat of seizure ...
Groupama Insurance to flee !!!</v>
      </c>
    </row>
    <row r="941" ht="15.75" customHeight="1">
      <c r="A941" s="2">
        <v>2.0</v>
      </c>
      <c r="B941" s="2" t="s">
        <v>2601</v>
      </c>
      <c r="C941" s="2" t="s">
        <v>2602</v>
      </c>
      <c r="D941" s="2" t="s">
        <v>48</v>
      </c>
      <c r="E941" s="2" t="s">
        <v>14</v>
      </c>
      <c r="F941" s="2" t="s">
        <v>15</v>
      </c>
      <c r="G941" s="2" t="s">
        <v>422</v>
      </c>
      <c r="H941" s="2" t="s">
        <v>25</v>
      </c>
      <c r="I941" s="3" t="str">
        <f>IFERROR(__xludf.DUMMYFUNCTION("GOOGLETRANSLATE(C941,""fr"",""en"")"),"My insurances at home increase all the time!
While this year and the year of Advent we have led less for the reasons of Covid ... it is not logical")</f>
        <v>My insurances at home increase all the time!
While this year and the year of Advent we have led less for the reasons of Covid ... it is not logical</v>
      </c>
    </row>
    <row r="942" ht="15.75" customHeight="1">
      <c r="A942" s="2">
        <v>5.0</v>
      </c>
      <c r="B942" s="2" t="s">
        <v>2603</v>
      </c>
      <c r="C942" s="2" t="s">
        <v>2604</v>
      </c>
      <c r="D942" s="2" t="s">
        <v>126</v>
      </c>
      <c r="E942" s="2" t="s">
        <v>127</v>
      </c>
      <c r="F942" s="2" t="s">
        <v>15</v>
      </c>
      <c r="G942" s="2" t="s">
        <v>857</v>
      </c>
      <c r="H942" s="2" t="s">
        <v>50</v>
      </c>
      <c r="I942" s="3" t="str">
        <f>IFERROR(__xludf.DUMMYFUNCTION("GOOGLETRANSLATE(C942,""fr"",""en"")"),"It's quick is inexpensive, in a few clicks the two wheels is ensured incredible. I recommend everyone, made like me opted for the assurance of your choice.")</f>
        <v>It's quick is inexpensive, in a few clicks the two wheels is ensured incredible. I recommend everyone, made like me opted for the assurance of your choice.</v>
      </c>
    </row>
    <row r="943" ht="15.75" customHeight="1">
      <c r="A943" s="2">
        <v>2.0</v>
      </c>
      <c r="B943" s="2" t="s">
        <v>2605</v>
      </c>
      <c r="C943" s="2" t="s">
        <v>2606</v>
      </c>
      <c r="D943" s="2" t="s">
        <v>116</v>
      </c>
      <c r="E943" s="2" t="s">
        <v>14</v>
      </c>
      <c r="F943" s="2" t="s">
        <v>15</v>
      </c>
      <c r="G943" s="2" t="s">
        <v>2607</v>
      </c>
      <c r="H943" s="2" t="s">
        <v>94</v>
      </c>
      <c r="I943" s="3" t="str">
        <f>IFERROR(__xludf.DUMMYFUNCTION("GOOGLETRANSLATE(C943,""fr"",""en"")"),"On Saturday February 24 I do an online quote then and active insurance on the phone to finalize the quote. Have asked me to pay 4 months in advance I give my CB number once the regulations do I receive the quote by email more contract except that there th"&amp;"e quote does not at all error at the level of the bonus and other ...! ! ! I call customer service I explain my case first time have hung up on the great nose! Second time have asked me to achieve 08 .... surcharge number for nothing in the end told me to"&amp;" return the documents to ask that it will make the changes after ect ... but I do not send any documents and either the quote sign because it does not correspond. This morning I recall, explaining that I have a 14 -day rectual right told me that this is f"&amp;"alse ... told me that the 4 months I pay will only be withdrawn if I validate my file. .. And the discovery had me withdraw 151 € when I was not signing anything with you !!! I ask for the total reimbursement of this one!
I send a recommend to request mo"&amp;"re termination refund even if I was not signing anything normally you should not have removed the knowing money that I had not signed any document!
After contacting a consumer association have my informed that I had the right to a 14 -day withdrawal pe"&amp;"riod
If no return and refund, the ACPR will be contact!
Quote 3366752")</f>
        <v>On Saturday February 24 I do an online quote then and active insurance on the phone to finalize the quote. Have asked me to pay 4 months in advance I give my CB number once the regulations do I receive the quote by email more contract except that there the quote does not at all error at the level of the bonus and other ...! ! ! I call customer service I explain my case first time have hung up on the great nose! Second time have asked me to achieve 08 .... surcharge number for nothing in the end told me to return the documents to ask that it will make the changes after ect ... but I do not send any documents and either the quote sign because it does not correspond. This morning I recall, explaining that I have a 14 -day rectual right told me that this is false ... told me that the 4 months I pay will only be withdrawn if I validate my file. .. And the discovery had me withdraw 151 € when I was not signing anything with you !!! I ask for the total reimbursement of this one!
I send a recommend to request more termination refund even if I was not signing anything normally you should not have removed the knowing money that I had not signed any document!
After contacting a consumer association have my informed that I had the right to a 14 -day withdrawal period
If no return and refund, the ACPR will be contact!
Quote 3366752</v>
      </c>
    </row>
    <row r="944" ht="15.75" customHeight="1">
      <c r="A944" s="2">
        <v>1.0</v>
      </c>
      <c r="B944" s="2" t="s">
        <v>2608</v>
      </c>
      <c r="C944" s="2" t="s">
        <v>2609</v>
      </c>
      <c r="D944" s="2" t="s">
        <v>48</v>
      </c>
      <c r="E944" s="2" t="s">
        <v>14</v>
      </c>
      <c r="F944" s="2" t="s">
        <v>15</v>
      </c>
      <c r="G944" s="2" t="s">
        <v>2610</v>
      </c>
      <c r="H944" s="2" t="s">
        <v>149</v>
      </c>
      <c r="I944" s="3" t="str">
        <f>IFERROR(__xludf.DUMMYFUNCTION("GOOGLETRANSLATE(C944,""fr"",""en"")"),"To flee this insurance or provide a lawyer in the event of concerns. During the flight of my vehicle they asked me for the keys the gray card the act of sale signs and it's been a year now that they did not pay a penny. Not an interlocutor opposite. And t"&amp;"he only reason evokes is. Why is your son who bought the vehicle")</f>
        <v>To flee this insurance or provide a lawyer in the event of concerns. During the flight of my vehicle they asked me for the keys the gray card the act of sale signs and it's been a year now that they did not pay a penny. Not an interlocutor opposite. And the only reason evokes is. Why is your son who bought the vehicle</v>
      </c>
    </row>
    <row r="945" ht="15.75" customHeight="1">
      <c r="A945" s="2">
        <v>4.0</v>
      </c>
      <c r="B945" s="2" t="s">
        <v>2611</v>
      </c>
      <c r="C945" s="2" t="s">
        <v>2612</v>
      </c>
      <c r="D945" s="2" t="s">
        <v>126</v>
      </c>
      <c r="E945" s="2" t="s">
        <v>127</v>
      </c>
      <c r="F945" s="2" t="s">
        <v>15</v>
      </c>
      <c r="G945" s="2" t="s">
        <v>2613</v>
      </c>
      <c r="H945" s="2" t="s">
        <v>99</v>
      </c>
      <c r="I945" s="3" t="str">
        <f>IFERROR(__xludf.DUMMYFUNCTION("GOOGLETRANSLATE(C945,""fr"",""en"")"),"I am satisfied with the product.
Thank you for your advice and prices at low prices.
I recommend that you
 knowledge.
Good road to all")</f>
        <v>I am satisfied with the product.
Thank you for your advice and prices at low prices.
I recommend that you
 knowledge.
Good road to all</v>
      </c>
    </row>
    <row r="946" ht="15.75" customHeight="1">
      <c r="A946" s="2">
        <v>2.0</v>
      </c>
      <c r="B946" s="2" t="s">
        <v>2614</v>
      </c>
      <c r="C946" s="2" t="s">
        <v>2615</v>
      </c>
      <c r="D946" s="2" t="s">
        <v>121</v>
      </c>
      <c r="E946" s="2" t="s">
        <v>285</v>
      </c>
      <c r="F946" s="2" t="s">
        <v>15</v>
      </c>
      <c r="G946" s="2" t="s">
        <v>2595</v>
      </c>
      <c r="H946" s="2" t="s">
        <v>247</v>
      </c>
      <c r="I946" s="3" t="str">
        <f>IFERROR(__xludf.DUMMYFUNCTION("GOOGLETRANSLATE(C946,""fr"",""en"")"),"A member for more than twenty years at MAIF, I receive a letter denouncing my insurance contract at MAIF (where all my insurance contracts are) on the grounds of the alteration of the commercial relationship. I have never had a particular problem at the M"&amp;"AIF, my loss files (quite modest) were quite well treated in general.
I regret being left, without human contact, in the fog concerning the real reason for denunciation of the contract (or how their algorithm works).")</f>
        <v>A member for more than twenty years at MAIF, I receive a letter denouncing my insurance contract at MAIF (where all my insurance contracts are) on the grounds of the alteration of the commercial relationship. I have never had a particular problem at the MAIF, my loss files (quite modest) were quite well treated in general.
I regret being left, without human contact, in the fog concerning the real reason for denunciation of the contract (or how their algorithm works).</v>
      </c>
    </row>
    <row r="947" ht="15.75" customHeight="1">
      <c r="A947" s="2">
        <v>4.0</v>
      </c>
      <c r="B947" s="2" t="s">
        <v>2616</v>
      </c>
      <c r="C947" s="2" t="s">
        <v>2617</v>
      </c>
      <c r="D947" s="2" t="s">
        <v>176</v>
      </c>
      <c r="E947" s="2" t="s">
        <v>14</v>
      </c>
      <c r="F947" s="2" t="s">
        <v>15</v>
      </c>
      <c r="G947" s="2" t="s">
        <v>2618</v>
      </c>
      <c r="H947" s="2" t="s">
        <v>628</v>
      </c>
      <c r="I947" s="3" t="str">
        <f>IFERROR(__xludf.DUMMYFUNCTION("GOOGLETRANSLATE(C947,""fr"",""en"")"),"Following a sinister with a malicious trash truck which did not want to sign the observation (because it was in wrong) I should have received a 50/50 when I was for nothing. The Macif took my version into account and reimbursed all of the repairs to me, w"&amp;"ell done! It took a while and it lacked a little communication but it's done. On the rest of the services apart from a story of quote for home insurance that could not be sent online (and for which I left a bad opinion) I have been a member for 25 years a"&amp;"nd really satisfied. Contrary to what is written, they respond very often in the minute and speak French (unlike other customer services, especially operators); Each time they have been very effective. At the price level they are well placed (I have self "&amp;"-insurance, home, civil, accident warranty). And I advise you the legal service included in the service (free), they are great, they have untangled lots of problems with the trustees among others. Often we do not know that we are entitled to it, it's grea"&amp;"t!")</f>
        <v>Following a sinister with a malicious trash truck which did not want to sign the observation (because it was in wrong) I should have received a 50/50 when I was for nothing. The Macif took my version into account and reimbursed all of the repairs to me, well done! It took a while and it lacked a little communication but it's done. On the rest of the services apart from a story of quote for home insurance that could not be sent online (and for which I left a bad opinion) I have been a member for 25 years and really satisfied. Contrary to what is written, they respond very often in the minute and speak French (unlike other customer services, especially operators); Each time they have been very effective. At the price level they are well placed (I have self -insurance, home, civil, accident warranty). And I advise you the legal service included in the service (free), they are great, they have untangled lots of problems with the trustees among others. Often we do not know that we are entitled to it, it's great!</v>
      </c>
    </row>
    <row r="948" ht="15.75" customHeight="1">
      <c r="A948" s="2">
        <v>4.0</v>
      </c>
      <c r="B948" s="2" t="s">
        <v>2619</v>
      </c>
      <c r="C948" s="2" t="s">
        <v>2620</v>
      </c>
      <c r="D948" s="2" t="s">
        <v>48</v>
      </c>
      <c r="E948" s="2" t="s">
        <v>14</v>
      </c>
      <c r="F948" s="2" t="s">
        <v>15</v>
      </c>
      <c r="G948" s="2" t="s">
        <v>1055</v>
      </c>
      <c r="H948" s="2" t="s">
        <v>21</v>
      </c>
      <c r="I948" s="3" t="str">
        <f>IFERROR(__xludf.DUMMYFUNCTION("GOOGLETRANSLATE(C948,""fr"",""en"")"),"Excellent quality price, fast and efficient service, I particularly appreciated school insurance for my son. Very good the possibility of opening postdated insurance")</f>
        <v>Excellent quality price, fast and efficient service, I particularly appreciated school insurance for my son. Very good the possibility of opening postdated insurance</v>
      </c>
    </row>
    <row r="949" ht="15.75" customHeight="1">
      <c r="A949" s="2">
        <v>3.0</v>
      </c>
      <c r="B949" s="2" t="s">
        <v>2621</v>
      </c>
      <c r="C949" s="2" t="s">
        <v>2622</v>
      </c>
      <c r="D949" s="2" t="s">
        <v>28</v>
      </c>
      <c r="E949" s="2" t="s">
        <v>14</v>
      </c>
      <c r="F949" s="2" t="s">
        <v>15</v>
      </c>
      <c r="G949" s="2" t="s">
        <v>2623</v>
      </c>
      <c r="H949" s="2" t="s">
        <v>80</v>
      </c>
      <c r="I949" s="3" t="str">
        <f>IFERROR(__xludf.DUMMYFUNCTION("GOOGLETRANSLATE(C949,""fr"",""en"")"),"Good refund following an accident with wild boars. Reactive insurance. I recommend")</f>
        <v>Good refund following an accident with wild boars. Reactive insurance. I recommend</v>
      </c>
    </row>
    <row r="950" ht="15.75" customHeight="1">
      <c r="A950" s="2">
        <v>3.0</v>
      </c>
      <c r="B950" s="2" t="s">
        <v>2624</v>
      </c>
      <c r="C950" s="2" t="s">
        <v>2625</v>
      </c>
      <c r="D950" s="2" t="s">
        <v>102</v>
      </c>
      <c r="E950" s="2" t="s">
        <v>127</v>
      </c>
      <c r="F950" s="2" t="s">
        <v>15</v>
      </c>
      <c r="G950" s="2" t="s">
        <v>2294</v>
      </c>
      <c r="H950" s="2" t="s">
        <v>200</v>
      </c>
      <c r="I950" s="3" t="str">
        <f>IFERROR(__xludf.DUMMYFUNCTION("GOOGLETRANSLATE(C950,""fr"",""en"")"),"I strongly recommend this insurance. MAAF the only insurance that makes its insured persons responsible. With them all the means are good for making money on the back of customers. In short, thanks to their methods I found cheaper elsewhere.")</f>
        <v>I strongly recommend this insurance. MAAF the only insurance that makes its insured persons responsible. With them all the means are good for making money on the back of customers. In short, thanks to their methods I found cheaper elsewhere.</v>
      </c>
    </row>
    <row r="951" ht="15.75" customHeight="1">
      <c r="A951" s="2">
        <v>5.0</v>
      </c>
      <c r="B951" s="2" t="s">
        <v>2626</v>
      </c>
      <c r="C951" s="2" t="s">
        <v>2627</v>
      </c>
      <c r="D951" s="2" t="s">
        <v>48</v>
      </c>
      <c r="E951" s="2" t="s">
        <v>14</v>
      </c>
      <c r="F951" s="2" t="s">
        <v>15</v>
      </c>
      <c r="G951" s="2" t="s">
        <v>2628</v>
      </c>
      <c r="H951" s="2" t="s">
        <v>164</v>
      </c>
      <c r="I951" s="3" t="str">
        <f>IFERROR(__xludf.DUMMYFUNCTION("GOOGLETRANSLATE(C951,""fr"",""en"")"),"Clear procedures. Competitive. Ergonomic personal site and space. The documents sent are studied during the day, speed of responses. I recommend.")</f>
        <v>Clear procedures. Competitive. Ergonomic personal site and space. The documents sent are studied during the day, speed of responses. I recommend.</v>
      </c>
    </row>
    <row r="952" ht="15.75" customHeight="1">
      <c r="A952" s="2">
        <v>2.0</v>
      </c>
      <c r="B952" s="2" t="s">
        <v>2629</v>
      </c>
      <c r="C952" s="2" t="s">
        <v>2630</v>
      </c>
      <c r="D952" s="2" t="s">
        <v>372</v>
      </c>
      <c r="E952" s="2" t="s">
        <v>127</v>
      </c>
      <c r="F952" s="2" t="s">
        <v>15</v>
      </c>
      <c r="G952" s="2" t="s">
        <v>1244</v>
      </c>
      <c r="H952" s="2" t="s">
        <v>29</v>
      </c>
      <c r="I952" s="3" t="str">
        <f>IFERROR(__xludf.DUMMYFUNCTION("GOOGLETRANSLATE(C952,""fr"",""en"")"),"I am satisfied with the service which is practical and easy available 24 hours a day and 7 days a week. For the value for money depending on the options remains reasonable")</f>
        <v>I am satisfied with the service which is practical and easy available 24 hours a day and 7 days a week. For the value for money depending on the options remains reasonable</v>
      </c>
    </row>
    <row r="953" ht="15.75" customHeight="1">
      <c r="A953" s="2">
        <v>2.0</v>
      </c>
      <c r="B953" s="2" t="s">
        <v>2631</v>
      </c>
      <c r="C953" s="2" t="s">
        <v>2632</v>
      </c>
      <c r="D953" s="2" t="s">
        <v>116</v>
      </c>
      <c r="E953" s="2" t="s">
        <v>14</v>
      </c>
      <c r="F953" s="2" t="s">
        <v>15</v>
      </c>
      <c r="G953" s="2" t="s">
        <v>2633</v>
      </c>
      <c r="H953" s="2" t="s">
        <v>85</v>
      </c>
      <c r="I953" s="3" t="str">
        <f>IFERROR(__xludf.DUMMYFUNCTION("GOOGLETRANSLATE(C953,""fr"",""en"")"),"
To look for customers they are there !!!
But once we are in it, it's over
Allergic insurance with incoming emails.
But they know how to do it and do not correct their mistakes.
For example, I am told unpaid levy when there has never been a sample "&amp;"since there was no rib.
Emails are sent, in vain!
You have to systematically call ... on the other hand unlike other comments, they are doing quite well on the phone ??.
But actually from a communication point of view is 0.
A last email in order"&amp;" to simply request the green card by mail, do you think I have the right to an answer!
Their professionalism speaks volumes about the quality of their work.
I hope for others that they have no accident because they scare me.")</f>
        <v>
To look for customers they are there !!!
But once we are in it, it's over
Allergic insurance with incoming emails.
But they know how to do it and do not correct their mistakes.
For example, I am told unpaid levy when there has never been a sample since there was no rib.
Emails are sent, in vain!
You have to systematically call ... on the other hand unlike other comments, they are doing quite well on the phone ??.
But actually from a communication point of view is 0.
A last email in order to simply request the green card by mail, do you think I have the right to an answer!
Their professionalism speaks volumes about the quality of their work.
I hope for others that they have no accident because they scare me.</v>
      </c>
    </row>
    <row r="954" ht="15.75" customHeight="1">
      <c r="A954" s="2">
        <v>4.0</v>
      </c>
      <c r="B954" s="2" t="s">
        <v>2634</v>
      </c>
      <c r="C954" s="2" t="s">
        <v>2635</v>
      </c>
      <c r="D954" s="2" t="s">
        <v>102</v>
      </c>
      <c r="E954" s="2" t="s">
        <v>14</v>
      </c>
      <c r="F954" s="2" t="s">
        <v>15</v>
      </c>
      <c r="G954" s="2" t="s">
        <v>2108</v>
      </c>
      <c r="H954" s="2" t="s">
        <v>164</v>
      </c>
      <c r="I954" s="3" t="str">
        <f>IFERROR(__xludf.DUMMYFUNCTION("GOOGLETRANSLATE(C954,""fr"",""en"")"),"For me it is the best car and home insurance insurer. They are attentive and very reactive. The prices are really suitable.
They are reachable in case of problems, or advice.
I highly recommend.")</f>
        <v>For me it is the best car and home insurance insurer. They are attentive and very reactive. The prices are really suitable.
They are reachable in case of problems, or advice.
I highly recommend.</v>
      </c>
    </row>
    <row r="955" ht="15.75" customHeight="1">
      <c r="A955" s="2">
        <v>2.0</v>
      </c>
      <c r="B955" s="2" t="s">
        <v>2636</v>
      </c>
      <c r="C955" s="2" t="s">
        <v>2637</v>
      </c>
      <c r="D955" s="2" t="s">
        <v>126</v>
      </c>
      <c r="E955" s="2" t="s">
        <v>127</v>
      </c>
      <c r="F955" s="2" t="s">
        <v>15</v>
      </c>
      <c r="G955" s="2" t="s">
        <v>1528</v>
      </c>
      <c r="H955" s="2" t="s">
        <v>50</v>
      </c>
      <c r="I955" s="3" t="str">
        <f>IFERROR(__xludf.DUMMYFUNCTION("GOOGLETRANSLATE(C955,""fr"",""en"")"),"Hello; satisfaction remains relative because:
- The interlocutor is difficult to reach
- a loyalty offer is missing (because I have 2 contracts in progress)")</f>
        <v>Hello; satisfaction remains relative because:
- The interlocutor is difficult to reach
- a loyalty offer is missing (because I have 2 contracts in progress)</v>
      </c>
    </row>
    <row r="956" ht="15.75" customHeight="1">
      <c r="A956" s="2">
        <v>1.0</v>
      </c>
      <c r="B956" s="2" t="s">
        <v>2638</v>
      </c>
      <c r="C956" s="2" t="s">
        <v>2639</v>
      </c>
      <c r="D956" s="2" t="s">
        <v>176</v>
      </c>
      <c r="E956" s="2" t="s">
        <v>38</v>
      </c>
      <c r="F956" s="2" t="s">
        <v>15</v>
      </c>
      <c r="G956" s="2" t="s">
        <v>2640</v>
      </c>
      <c r="H956" s="2" t="s">
        <v>231</v>
      </c>
      <c r="I956" s="3" t="str">
        <f>IFERROR(__xludf.DUMMYFUNCTION("GOOGLETRANSLATE(C956,""fr"",""en"")"),"I have been in Macif for over 30 years and more than 30,000 euros in contributions! I suffered a domestic accident triple ruptures of the tendons of the rotator cuff !! When we are signed by a GAV DS contract, we don't talk to you about 10% minimum to be "&amp;"compensable C by asking for the contract that we are noticed !! Result the expert of the Macif recognizes it at 7% invalidity so compensable name while I am limited in the movements and I think that I deserve at least 10% !! Here are my damages do not tal"&amp;"k about it c more physical work I had to borrow from family and friends to survive !! I'm going to terminate all my contracts at this and I leave my email if someone already has a similar situation !!! latechnique84000@laposte.net! Very disappointed with "&amp;"the Macif !!!!")</f>
        <v>I have been in Macif for over 30 years and more than 30,000 euros in contributions! I suffered a domestic accident triple ruptures of the tendons of the rotator cuff !! When we are signed by a GAV DS contract, we don't talk to you about 10% minimum to be compensable C by asking for the contract that we are noticed !! Result the expert of the Macif recognizes it at 7% invalidity so compensable name while I am limited in the movements and I think that I deserve at least 10% !! Here are my damages do not talk about it c more physical work I had to borrow from family and friends to survive !! I'm going to terminate all my contracts at this and I leave my email if someone already has a similar situation !!! latechnique84000@laposte.net! Very disappointed with the Macif !!!!</v>
      </c>
    </row>
    <row r="957" ht="15.75" customHeight="1">
      <c r="A957" s="2">
        <v>5.0</v>
      </c>
      <c r="B957" s="2" t="s">
        <v>2641</v>
      </c>
      <c r="C957" s="2" t="s">
        <v>2642</v>
      </c>
      <c r="D957" s="2" t="s">
        <v>126</v>
      </c>
      <c r="E957" s="2" t="s">
        <v>127</v>
      </c>
      <c r="F957" s="2" t="s">
        <v>15</v>
      </c>
      <c r="G957" s="2" t="s">
        <v>2643</v>
      </c>
      <c r="H957" s="2" t="s">
        <v>50</v>
      </c>
      <c r="I957" s="3" t="str">
        <f>IFERROR(__xludf.DUMMYFUNCTION("GOOGLETRANSLATE(C957,""fr"",""en"")"),"I am happy because I assured my scooter with you it's easy and super very effective it's not ah thank you very much at the next goodbye")</f>
        <v>I am happy because I assured my scooter with you it's easy and super very effective it's not ah thank you very much at the next goodbye</v>
      </c>
    </row>
    <row r="958" ht="15.75" customHeight="1">
      <c r="A958" s="2">
        <v>4.0</v>
      </c>
      <c r="B958" s="2" t="s">
        <v>2644</v>
      </c>
      <c r="C958" s="2" t="s">
        <v>2645</v>
      </c>
      <c r="D958" s="2" t="s">
        <v>48</v>
      </c>
      <c r="E958" s="2" t="s">
        <v>14</v>
      </c>
      <c r="F958" s="2" t="s">
        <v>15</v>
      </c>
      <c r="G958" s="2" t="s">
        <v>2231</v>
      </c>
      <c r="H958" s="2" t="s">
        <v>25</v>
      </c>
      <c r="I958" s="3" t="str">
        <f>IFERROR(__xludf.DUMMYFUNCTION("GOOGLETRANSLATE(C958,""fr"",""en"")"),"I am satisfied with the services thank you
I am satisfied with the price thank you
I am really satisfied thank you very much
thank you thank you cordially
Fernandez")</f>
        <v>I am satisfied with the services thank you
I am satisfied with the price thank you
I am really satisfied thank you very much
thank you thank you cordially
Fernandez</v>
      </c>
    </row>
    <row r="959" ht="15.75" customHeight="1">
      <c r="A959" s="2">
        <v>3.0</v>
      </c>
      <c r="B959" s="2" t="s">
        <v>2646</v>
      </c>
      <c r="C959" s="2" t="s">
        <v>2647</v>
      </c>
      <c r="D959" s="2" t="s">
        <v>105</v>
      </c>
      <c r="E959" s="2" t="s">
        <v>44</v>
      </c>
      <c r="F959" s="2" t="s">
        <v>15</v>
      </c>
      <c r="G959" s="2" t="s">
        <v>634</v>
      </c>
      <c r="H959" s="2" t="s">
        <v>635</v>
      </c>
      <c r="I959" s="3" t="str">
        <f>IFERROR(__xludf.DUMMYFUNCTION("GOOGLETRANSLATE(C959,""fr"",""en"")"),"Hello,
Unlike previous comments, I never had a problem with AG2R La Mondiale which decided to do an individual health contract. However, I believe that in our time, it is almost iDNAmissible to be able to create your personal account by Internet to avo"&amp;"id calling and waiting for several minutes to the Customer Service phone. For several weeks I have come across pleasant televisional teleconsillers that inform me of maintenance. Do I have to wait for Christmas to be able to create one? Fortunately, so fa"&amp;"r, I have not had a refund problem and I thank you.")</f>
        <v>Hello,
Unlike previous comments, I never had a problem with AG2R La Mondiale which decided to do an individual health contract. However, I believe that in our time, it is almost iDNAmissible to be able to create your personal account by Internet to avoid calling and waiting for several minutes to the Customer Service phone. For several weeks I have come across pleasant televisional teleconsillers that inform me of maintenance. Do I have to wait for Christmas to be able to create one? Fortunately, so far, I have not had a refund problem and I thank you.</v>
      </c>
    </row>
    <row r="960" ht="15.75" customHeight="1">
      <c r="A960" s="2">
        <v>5.0</v>
      </c>
      <c r="B960" s="2" t="s">
        <v>2648</v>
      </c>
      <c r="C960" s="2" t="s">
        <v>2649</v>
      </c>
      <c r="D960" s="2" t="s">
        <v>48</v>
      </c>
      <c r="E960" s="2" t="s">
        <v>14</v>
      </c>
      <c r="F960" s="2" t="s">
        <v>15</v>
      </c>
      <c r="G960" s="2" t="s">
        <v>1128</v>
      </c>
      <c r="H960" s="2" t="s">
        <v>29</v>
      </c>
      <c r="I960" s="3" t="str">
        <f>IFERROR(__xludf.DUMMYFUNCTION("GOOGLETRANSLATE(C960,""fr"",""en"")"),"I am very satisfied with the price which is very competitive compared to other insurances. The entry of the registration file was relatively easy quite accessible, even for people not very skilful in computer science ... in terms of prices, we will see Co"&amp;"mpetitive next year")</f>
        <v>I am very satisfied with the price which is very competitive compared to other insurances. The entry of the registration file was relatively easy quite accessible, even for people not very skilful in computer science ... in terms of prices, we will see Competitive next year</v>
      </c>
    </row>
    <row r="961" ht="15.75" customHeight="1">
      <c r="A961" s="2">
        <v>1.0</v>
      </c>
      <c r="B961" s="2" t="s">
        <v>2650</v>
      </c>
      <c r="C961" s="2" t="s">
        <v>2651</v>
      </c>
      <c r="D961" s="2" t="s">
        <v>97</v>
      </c>
      <c r="E961" s="2" t="s">
        <v>33</v>
      </c>
      <c r="F961" s="2" t="s">
        <v>15</v>
      </c>
      <c r="G961" s="2" t="s">
        <v>49</v>
      </c>
      <c r="H961" s="2" t="s">
        <v>50</v>
      </c>
      <c r="I961" s="3" t="str">
        <f>IFERROR(__xludf.DUMMYFUNCTION("GOOGLETRANSLATE(C961,""fr"",""en"")"),"To flee. When they are called it is difficult to have a competent person. So with each new call, the answers are different. The advisor I had was incompetent and I was never able to recover the nonsense that she had made me do despite the fact that I had "&amp;"met her hierarchical superior. He confirmed to me that it was a mistake and that she had not met my expectation but orally of course. Never could have written so impossible to move afterwards.
I made a change of bank for a contract, they continued to tak"&amp;"e me from the old bank making me pay agios by the latter because the account was no longer supplied. So I blocked them on my old bank, despite this, they preferred to interrupt the contract in the end rather than thinking about the fact that if I no longe"&amp;"r paid the subscription it was because they did not take the right place despite A letter from my bank and myself. Human error they said to me ....
In short, completely incompetent. General is no longer at all that was 20 years ago when they were still c"&amp;"alled GPA. At the time, I had a very good advisor and completely confidence. Now it's incompetence and everything is good to take money from you. So I have only one word: flee without regrets ...")</f>
        <v>To flee. When they are called it is difficult to have a competent person. So with each new call, the answers are different. The advisor I had was incompetent and I was never able to recover the nonsense that she had made me do despite the fact that I had met her hierarchical superior. He confirmed to me that it was a mistake and that she had not met my expectation but orally of course. Never could have written so impossible to move afterwards.
I made a change of bank for a contract, they continued to take me from the old bank making me pay agios by the latter because the account was no longer supplied. So I blocked them on my old bank, despite this, they preferred to interrupt the contract in the end rather than thinking about the fact that if I no longer paid the subscription it was because they did not take the right place despite A letter from my bank and myself. Human error they said to me ....
In short, completely incompetent. General is no longer at all that was 20 years ago when they were still called GPA. At the time, I had a very good advisor and completely confidence. Now it's incompetence and everything is good to take money from you. So I have only one word: flee without regrets ...</v>
      </c>
    </row>
    <row r="962" ht="15.75" customHeight="1">
      <c r="A962" s="2">
        <v>4.0</v>
      </c>
      <c r="B962" s="2" t="s">
        <v>2652</v>
      </c>
      <c r="C962" s="2" t="s">
        <v>2653</v>
      </c>
      <c r="D962" s="2" t="s">
        <v>126</v>
      </c>
      <c r="E962" s="2" t="s">
        <v>127</v>
      </c>
      <c r="F962" s="2" t="s">
        <v>15</v>
      </c>
      <c r="G962" s="2" t="s">
        <v>823</v>
      </c>
      <c r="H962" s="2" t="s">
        <v>99</v>
      </c>
      <c r="I962" s="3" t="str">
        <f>IFERROR(__xludf.DUMMYFUNCTION("GOOGLETRANSLATE(C962,""fr"",""en"")"),"Very attractive price
Easy and simple subscription to perform
Well -explained contract option
Very good motorcycle insurance value
To see for the future !!
")</f>
        <v>Very attractive price
Easy and simple subscription to perform
Well -explained contract option
Very good motorcycle insurance value
To see for the future !!
</v>
      </c>
    </row>
    <row r="963" ht="15.75" customHeight="1">
      <c r="A963" s="2">
        <v>1.0</v>
      </c>
      <c r="B963" s="2" t="s">
        <v>2654</v>
      </c>
      <c r="C963" s="2" t="s">
        <v>2655</v>
      </c>
      <c r="D963" s="2" t="s">
        <v>155</v>
      </c>
      <c r="E963" s="2" t="s">
        <v>14</v>
      </c>
      <c r="F963" s="2" t="s">
        <v>15</v>
      </c>
      <c r="G963" s="2" t="s">
        <v>1708</v>
      </c>
      <c r="H963" s="2" t="s">
        <v>21</v>
      </c>
      <c r="I963" s="3" t="str">
        <f>IFERROR(__xludf.DUMMYFUNCTION("GOOGLETRANSLATE(C963,""fr"",""en"")"),"Only contractualization is going well. Regarding management a disaster whatever the subject (claim, follow -up, reimbursement, industrial sample ...) endless waiting to reach someone who is not able to inform you ... to flee !!!!!")</f>
        <v>Only contractualization is going well. Regarding management a disaster whatever the subject (claim, follow -up, reimbursement, industrial sample ...) endless waiting to reach someone who is not able to inform you ... to flee !!!!!</v>
      </c>
    </row>
    <row r="964" ht="15.75" customHeight="1">
      <c r="A964" s="2">
        <v>5.0</v>
      </c>
      <c r="B964" s="2" t="s">
        <v>2656</v>
      </c>
      <c r="C964" s="2" t="s">
        <v>2657</v>
      </c>
      <c r="D964" s="2" t="s">
        <v>53</v>
      </c>
      <c r="E964" s="2" t="s">
        <v>44</v>
      </c>
      <c r="F964" s="2" t="s">
        <v>15</v>
      </c>
      <c r="G964" s="2" t="s">
        <v>2231</v>
      </c>
      <c r="H964" s="2" t="s">
        <v>25</v>
      </c>
      <c r="I964" s="3" t="str">
        <f>IFERROR(__xludf.DUMMYFUNCTION("GOOGLETRANSLATE(C964,""fr"",""en"")"),"Very cordial welcome and clear response from my angelic interlocutor.
I am satisfied with the services.
I recommend this mutual.
Michèle Dubray")</f>
        <v>Very cordial welcome and clear response from my angelic interlocutor.
I am satisfied with the services.
I recommend this mutual.
Michèle Dubray</v>
      </c>
    </row>
    <row r="965" ht="15.75" customHeight="1">
      <c r="A965" s="2">
        <v>1.0</v>
      </c>
      <c r="B965" s="2" t="s">
        <v>2658</v>
      </c>
      <c r="C965" s="2" t="s">
        <v>2659</v>
      </c>
      <c r="D965" s="2" t="s">
        <v>110</v>
      </c>
      <c r="E965" s="2" t="s">
        <v>44</v>
      </c>
      <c r="F965" s="2" t="s">
        <v>15</v>
      </c>
      <c r="G965" s="2" t="s">
        <v>548</v>
      </c>
      <c r="H965" s="2" t="s">
        <v>123</v>
      </c>
      <c r="I965" s="3" t="str">
        <f>IFERROR(__xludf.DUMMYFUNCTION("GOOGLETRANSLATE(C965,""fr"",""en"")"),"deplorable mutual")</f>
        <v>deplorable mutual</v>
      </c>
    </row>
    <row r="966" ht="15.75" customHeight="1">
      <c r="A966" s="2">
        <v>5.0</v>
      </c>
      <c r="B966" s="2" t="s">
        <v>2660</v>
      </c>
      <c r="C966" s="2" t="s">
        <v>2661</v>
      </c>
      <c r="D966" s="2" t="s">
        <v>48</v>
      </c>
      <c r="E966" s="2" t="s">
        <v>14</v>
      </c>
      <c r="F966" s="2" t="s">
        <v>15</v>
      </c>
      <c r="G966" s="2" t="s">
        <v>1373</v>
      </c>
      <c r="H966" s="2" t="s">
        <v>29</v>
      </c>
      <c r="I966" s="3" t="str">
        <f>IFERROR(__xludf.DUMMYFUNCTION("GOOGLETRANSLATE(C966,""fr"",""en"")"),"I am very satisfied. And I recommend this insurance,
I left for two years elsewhere, but I came back to re -register with Direct Insurance.
")</f>
        <v>I am very satisfied. And I recommend this insurance,
I left for two years elsewhere, but I came back to re -register with Direct Insurance.
</v>
      </c>
    </row>
    <row r="967" ht="15.75" customHeight="1">
      <c r="A967" s="2">
        <v>4.0</v>
      </c>
      <c r="B967" s="2" t="s">
        <v>2662</v>
      </c>
      <c r="C967" s="2" t="s">
        <v>2663</v>
      </c>
      <c r="D967" s="2" t="s">
        <v>48</v>
      </c>
      <c r="E967" s="2" t="s">
        <v>14</v>
      </c>
      <c r="F967" s="2" t="s">
        <v>15</v>
      </c>
      <c r="G967" s="2" t="s">
        <v>1159</v>
      </c>
      <c r="H967" s="2" t="s">
        <v>29</v>
      </c>
      <c r="I967" s="3" t="str">
        <f>IFERROR(__xludf.DUMMYFUNCTION("GOOGLETRANSLATE(C967,""fr"",""en"")"),"Very simple and practical, the other insurances are much more expensive, I am now quieter in my head now that I am assuring your home.")</f>
        <v>Very simple and practical, the other insurances are much more expensive, I am now quieter in my head now that I am assuring your home.</v>
      </c>
    </row>
    <row r="968" ht="15.75" customHeight="1">
      <c r="A968" s="2">
        <v>2.0</v>
      </c>
      <c r="B968" s="2" t="s">
        <v>2664</v>
      </c>
      <c r="C968" s="2" t="s">
        <v>2665</v>
      </c>
      <c r="D968" s="2" t="s">
        <v>121</v>
      </c>
      <c r="E968" s="2" t="s">
        <v>285</v>
      </c>
      <c r="F968" s="2" t="s">
        <v>15</v>
      </c>
      <c r="G968" s="2" t="s">
        <v>2666</v>
      </c>
      <c r="H968" s="2" t="s">
        <v>157</v>
      </c>
      <c r="I968" s="3" t="str">
        <f>IFERROR(__xludf.DUMMYFUNCTION("GOOGLETRANSLATE(C968,""fr"",""en"")"),"Owner of an apartment which is for rental and insured at MAIF as non -occupying owners.
On October 8, significant water damage (ceiling, walls and floors) following water infiltration from the common areas. I declared the claim on 8/10 and 31/10 No respo"&amp;"nse confirming the management by the MAIF and the designation of an expert.
Despite my various email and phone calls: subscriber absent from the person in charge of the file and no advice vis-à-vis the trustee, my tenant (rehousing?).
Non -existent and "&amp;"incompetent customer relationship.
Because of the laxity of the sinister management service, I cannot start work to relocate my tenant and prevent the apartment from deteriorating more.
I have been insured at Maif for over 20 years (house, cars, people "&amp;"...), I plan to change insurer.
Advice from a militant insured: avoid maif housing because the loss management entity is not in solidarity with these members.
To flee...")</f>
        <v>Owner of an apartment which is for rental and insured at MAIF as non -occupying owners.
On October 8, significant water damage (ceiling, walls and floors) following water infiltration from the common areas. I declared the claim on 8/10 and 31/10 No response confirming the management by the MAIF and the designation of an expert.
Despite my various email and phone calls: subscriber absent from the person in charge of the file and no advice vis-à-vis the trustee, my tenant (rehousing?).
Non -existent and incompetent customer relationship.
Because of the laxity of the sinister management service, I cannot start work to relocate my tenant and prevent the apartment from deteriorating more.
I have been insured at Maif for over 20 years (house, cars, people ...), I plan to change insurer.
Advice from a militant insured: avoid maif housing because the loss management entity is not in solidarity with these members.
To flee...</v>
      </c>
    </row>
    <row r="969" ht="15.75" customHeight="1">
      <c r="A969" s="2">
        <v>2.0</v>
      </c>
      <c r="B969" s="2" t="s">
        <v>2667</v>
      </c>
      <c r="C969" s="2" t="s">
        <v>2668</v>
      </c>
      <c r="D969" s="2" t="s">
        <v>48</v>
      </c>
      <c r="E969" s="2" t="s">
        <v>14</v>
      </c>
      <c r="F969" s="2" t="s">
        <v>15</v>
      </c>
      <c r="G969" s="2" t="s">
        <v>592</v>
      </c>
      <c r="H969" s="2" t="s">
        <v>405</v>
      </c>
      <c r="I969" s="3" t="str">
        <f>IFERROR(__xludf.DUMMYFUNCTION("GOOGLETRANSLATE(C969,""fr"",""en"")"),"I am unhappy to have taken out insurance at Direct Insurance because I was insured all risk with them, however I have not yet been reimbursed for the money that I have advanced for the repair of my vehicle due to a shock no Responsible that dates from Aug"&amp;"ust 2015, it is a drunk person who returned to my vehicle at a stop and that the police arrested immediately!")</f>
        <v>I am unhappy to have taken out insurance at Direct Insurance because I was insured all risk with them, however I have not yet been reimbursed for the money that I have advanced for the repair of my vehicle due to a shock no Responsible that dates from August 2015, it is a drunk person who returned to my vehicle at a stop and that the police arrested immediately!</v>
      </c>
    </row>
    <row r="970" ht="15.75" customHeight="1">
      <c r="A970" s="2">
        <v>4.0</v>
      </c>
      <c r="B970" s="2" t="s">
        <v>2669</v>
      </c>
      <c r="C970" s="2" t="s">
        <v>2670</v>
      </c>
      <c r="D970" s="2" t="s">
        <v>135</v>
      </c>
      <c r="E970" s="2" t="s">
        <v>44</v>
      </c>
      <c r="F970" s="2" t="s">
        <v>15</v>
      </c>
      <c r="G970" s="2" t="s">
        <v>2671</v>
      </c>
      <c r="H970" s="2" t="s">
        <v>324</v>
      </c>
      <c r="I970" s="3" t="str">
        <f>IFERROR(__xludf.DUMMYFUNCTION("GOOGLETRANSLATE(C970,""fr"",""en"")"),"Very well ! Thanks to Caroline for the efficient answers and her good humor. A real professional is nice")</f>
        <v>Very well ! Thanks to Caroline for the efficient answers and her good humor. A real professional is nice</v>
      </c>
    </row>
    <row r="971" ht="15.75" customHeight="1">
      <c r="A971" s="2">
        <v>1.0</v>
      </c>
      <c r="B971" s="2" t="s">
        <v>2672</v>
      </c>
      <c r="C971" s="2" t="s">
        <v>2673</v>
      </c>
      <c r="D971" s="2" t="s">
        <v>37</v>
      </c>
      <c r="E971" s="2" t="s">
        <v>38</v>
      </c>
      <c r="F971" s="2" t="s">
        <v>15</v>
      </c>
      <c r="G971" s="2" t="s">
        <v>2674</v>
      </c>
      <c r="H971" s="2" t="s">
        <v>149</v>
      </c>
      <c r="I971" s="3" t="str">
        <f>IFERROR(__xludf.DUMMYFUNCTION("GOOGLETRANSLATE(C971,""fr"",""en"")"),"Insurer of very bad faith, which requires you to send recommended letters to communicate, but which imposes its answers by phone (no writing). + Vicious that them, it does not exist. Remains the mediator ...")</f>
        <v>Insurer of very bad faith, which requires you to send recommended letters to communicate, but which imposes its answers by phone (no writing). + Vicious that them, it does not exist. Remains the mediator ...</v>
      </c>
    </row>
    <row r="972" ht="15.75" customHeight="1">
      <c r="A972" s="2">
        <v>1.0</v>
      </c>
      <c r="B972" s="2" t="s">
        <v>2675</v>
      </c>
      <c r="C972" s="2" t="s">
        <v>2676</v>
      </c>
      <c r="D972" s="2" t="s">
        <v>2154</v>
      </c>
      <c r="E972" s="2" t="s">
        <v>285</v>
      </c>
      <c r="F972" s="2" t="s">
        <v>15</v>
      </c>
      <c r="G972" s="2" t="s">
        <v>1142</v>
      </c>
      <c r="H972" s="2" t="s">
        <v>17</v>
      </c>
      <c r="I972" s="3" t="str">
        <f>IFERROR(__xludf.DUMMYFUNCTION("GOOGLETRANSLATE(C972,""fr"",""en"")"),"10 years that I am at Groupama Nice
For 2 years I have declared claims because I am on rental the owner does not do the work for water infiltration out of 5 loss in 2 years I have never been compensated and yet in 10 years I never had anything I Receive "&amp;"a letter by asking me to change insurance because too much disaster but they have never given a sub -joke of Groupama and Ben Tampeis 4 insurance at home Good Bye leaked because never even advised")</f>
        <v>10 years that I am at Groupama Nice
For 2 years I have declared claims because I am on rental the owner does not do the work for water infiltration out of 5 loss in 2 years I have never been compensated and yet in 10 years I never had anything I Receive a letter by asking me to change insurance because too much disaster but they have never given a sub -joke of Groupama and Ben Tampeis 4 insurance at home Good Bye leaked because never even advised</v>
      </c>
    </row>
    <row r="973" ht="15.75" customHeight="1">
      <c r="A973" s="2">
        <v>1.0</v>
      </c>
      <c r="B973" s="2" t="s">
        <v>2677</v>
      </c>
      <c r="C973" s="2" t="s">
        <v>2678</v>
      </c>
      <c r="D973" s="2" t="s">
        <v>475</v>
      </c>
      <c r="E973" s="2" t="s">
        <v>242</v>
      </c>
      <c r="F973" s="2" t="s">
        <v>15</v>
      </c>
      <c r="G973" s="2" t="s">
        <v>1944</v>
      </c>
      <c r="H973" s="2" t="s">
        <v>231</v>
      </c>
      <c r="I973" s="3" t="str">
        <f>IFERROR(__xludf.DUMMYFUNCTION("GOOGLETRANSLATE(C973,""fr"",""en"")"),"Resiliation impossible. There is always missing information but no problem continuing to take up. The advisers all have the same speech. But nothing moves. Already 3 months that I call once a week.")</f>
        <v>Resiliation impossible. There is always missing information but no problem continuing to take up. The advisers all have the same speech. But nothing moves. Already 3 months that I call once a week.</v>
      </c>
    </row>
    <row r="974" ht="15.75" customHeight="1">
      <c r="A974" s="2">
        <v>3.0</v>
      </c>
      <c r="B974" s="2" t="s">
        <v>2679</v>
      </c>
      <c r="C974" s="2" t="s">
        <v>2680</v>
      </c>
      <c r="D974" s="2" t="s">
        <v>83</v>
      </c>
      <c r="E974" s="2" t="s">
        <v>14</v>
      </c>
      <c r="F974" s="2" t="s">
        <v>15</v>
      </c>
      <c r="G974" s="2" t="s">
        <v>2681</v>
      </c>
      <c r="H974" s="2" t="s">
        <v>211</v>
      </c>
      <c r="I974" s="3" t="str">
        <f>IFERROR(__xludf.DUMMYFUNCTION("GOOGLETRANSLATE(C974,""fr"",""en"")"),"Hello, I am the victim of a flight by cunning declared in July 2016. The vehicle has been re-indmistilized. I do not ask for the refund of my vehicle but the recovery. To date the Matmut is under license. ???")</f>
        <v>Hello, I am the victim of a flight by cunning declared in July 2016. The vehicle has been re-indmistilized. I do not ask for the refund of my vehicle but the recovery. To date the Matmut is under license. ???</v>
      </c>
    </row>
    <row r="975" ht="15.75" customHeight="1">
      <c r="A975" s="2">
        <v>4.0</v>
      </c>
      <c r="B975" s="2" t="s">
        <v>2682</v>
      </c>
      <c r="C975" s="2" t="s">
        <v>2683</v>
      </c>
      <c r="D975" s="2" t="s">
        <v>48</v>
      </c>
      <c r="E975" s="2" t="s">
        <v>14</v>
      </c>
      <c r="F975" s="2" t="s">
        <v>15</v>
      </c>
      <c r="G975" s="2" t="s">
        <v>63</v>
      </c>
      <c r="H975" s="2" t="s">
        <v>50</v>
      </c>
      <c r="I975" s="3" t="str">
        <f>IFERROR(__xludf.DUMMYFUNCTION("GOOGLETRANSLATE(C975,""fr"",""en"")"),"Simple and practical. Pleasant and patient staff .. attractive price. Customer for several years and satisfied with the fast and efficient claims service.")</f>
        <v>Simple and practical. Pleasant and patient staff .. attractive price. Customer for several years and satisfied with the fast and efficient claims service.</v>
      </c>
    </row>
    <row r="976" ht="15.75" customHeight="1">
      <c r="A976" s="2">
        <v>2.0</v>
      </c>
      <c r="B976" s="2" t="s">
        <v>2684</v>
      </c>
      <c r="C976" s="2" t="s">
        <v>2685</v>
      </c>
      <c r="D976" s="2" t="s">
        <v>155</v>
      </c>
      <c r="E976" s="2" t="s">
        <v>14</v>
      </c>
      <c r="F976" s="2" t="s">
        <v>15</v>
      </c>
      <c r="G976" s="2" t="s">
        <v>250</v>
      </c>
      <c r="H976" s="2" t="s">
        <v>50</v>
      </c>
      <c r="I976" s="3" t="str">
        <f>IFERROR(__xludf.DUMMYFUNCTION("GOOGLETRANSLATE(C976,""fr"",""en"")"),"Very responsive for subscription but then deplorable customer service wait 1 hour without anyone won or then it wins and hang up on the nose !!!")</f>
        <v>Very responsive for subscription but then deplorable customer service wait 1 hour without anyone won or then it wins and hang up on the nose !!!</v>
      </c>
    </row>
    <row r="977" ht="15.75" customHeight="1">
      <c r="A977" s="2">
        <v>1.0</v>
      </c>
      <c r="B977" s="2" t="s">
        <v>2686</v>
      </c>
      <c r="C977" s="2" t="s">
        <v>2687</v>
      </c>
      <c r="D977" s="2" t="s">
        <v>83</v>
      </c>
      <c r="E977" s="2" t="s">
        <v>285</v>
      </c>
      <c r="F977" s="2" t="s">
        <v>15</v>
      </c>
      <c r="G977" s="2" t="s">
        <v>1511</v>
      </c>
      <c r="H977" s="2" t="s">
        <v>628</v>
      </c>
      <c r="I977" s="3" t="str">
        <f>IFERROR(__xludf.DUMMYFUNCTION("GOOGLETRANSLATE(C977,""fr"",""en"")"),"Since October 23 awaiting expertise. In the meantime, ""you should not touch anything"". Heating, hot water problems ... I live in a cooler.
Matmut response: you are not the only customer we have to deal with ....
Cheer...")</f>
        <v>Since October 23 awaiting expertise. In the meantime, "you should not touch anything". Heating, hot water problems ... I live in a cooler.
Matmut response: you are not the only customer we have to deal with ....
Cheer...</v>
      </c>
    </row>
    <row r="978" ht="15.75" customHeight="1">
      <c r="A978" s="2">
        <v>5.0</v>
      </c>
      <c r="B978" s="2" t="s">
        <v>2688</v>
      </c>
      <c r="C978" s="2" t="s">
        <v>2689</v>
      </c>
      <c r="D978" s="2" t="s">
        <v>241</v>
      </c>
      <c r="E978" s="2" t="s">
        <v>242</v>
      </c>
      <c r="F978" s="2" t="s">
        <v>15</v>
      </c>
      <c r="G978" s="2" t="s">
        <v>2690</v>
      </c>
      <c r="H978" s="2" t="s">
        <v>185</v>
      </c>
      <c r="I978" s="3" t="str">
        <f>IFERROR(__xludf.DUMMYFUNCTION("GOOGLETRANSLATE(C978,""fr"",""en"")"),"Reactive company, which guides us step by step in the procedures, which respects procedures and which is very facilitating in all steps.")</f>
        <v>Reactive company, which guides us step by step in the procedures, which respects procedures and which is very facilitating in all steps.</v>
      </c>
    </row>
    <row r="979" ht="15.75" customHeight="1">
      <c r="A979" s="2">
        <v>2.0</v>
      </c>
      <c r="B979" s="2" t="s">
        <v>2691</v>
      </c>
      <c r="C979" s="2" t="s">
        <v>2692</v>
      </c>
      <c r="D979" s="2" t="s">
        <v>577</v>
      </c>
      <c r="E979" s="2" t="s">
        <v>215</v>
      </c>
      <c r="F979" s="2" t="s">
        <v>15</v>
      </c>
      <c r="G979" s="2" t="s">
        <v>2693</v>
      </c>
      <c r="H979" s="2" t="s">
        <v>21</v>
      </c>
      <c r="I979" s="3" t="str">
        <f>IFERROR(__xludf.DUMMYFUNCTION("GOOGLETRANSLATE(C979,""fr"",""en"")"),"I have been running after my refund since April 26. Care sheets sent to AR and to date no more new and when I try to join them, CA COVID they no longer answer calls ... Online cat cannot answer, the interlocutor that made my contract volatilized!
If I to"&amp;"ok insurance it is to be able to ensure the health of my female dog at best.
Very disappointed being alone with 3 children and costs per unnecessary month to date since they make the dead! While I had studied all the insurance before subscribing! I c"&amp;"ould have relying at the I had comments which are very numerous !!!!")</f>
        <v>I have been running after my refund since April 26. Care sheets sent to AR and to date no more new and when I try to join them, CA COVID they no longer answer calls ... Online cat cannot answer, the interlocutor that made my contract volatilized!
If I took insurance it is to be able to ensure the health of my female dog at best.
Very disappointed being alone with 3 children and costs per unnecessary month to date since they make the dead! While I had studied all the insurance before subscribing! I could have relying at the I had comments which are very numerous !!!!</v>
      </c>
    </row>
    <row r="980" ht="15.75" customHeight="1">
      <c r="A980" s="2">
        <v>2.0</v>
      </c>
      <c r="B980" s="2" t="s">
        <v>2694</v>
      </c>
      <c r="C980" s="2" t="s">
        <v>2695</v>
      </c>
      <c r="D980" s="2" t="s">
        <v>126</v>
      </c>
      <c r="E980" s="2" t="s">
        <v>127</v>
      </c>
      <c r="F980" s="2" t="s">
        <v>15</v>
      </c>
      <c r="G980" s="2" t="s">
        <v>1975</v>
      </c>
      <c r="H980" s="2" t="s">
        <v>628</v>
      </c>
      <c r="I980" s="3" t="str">
        <f>IFERROR(__xludf.DUMMYFUNCTION("GOOGLETRANSLATE(C980,""fr"",""en"")"),"Horrible to flee absolutely hello prices its attractive on the other hand when it comes to reimbursement there was no one left I was stolen my scooter the expert I waited for the legal deadline of 1 month April motorcycle reimbursed me 2 months later And "&amp;"each time I am answered on the phone the transfer will be validated next week and nothing on my account I find it shameful")</f>
        <v>Horrible to flee absolutely hello prices its attractive on the other hand when it comes to reimbursement there was no one left I was stolen my scooter the expert I waited for the legal deadline of 1 month April motorcycle reimbursed me 2 months later And each time I am answered on the phone the transfer will be validated next week and nothing on my account I find it shameful</v>
      </c>
    </row>
    <row r="981" ht="15.75" customHeight="1">
      <c r="A981" s="2">
        <v>4.0</v>
      </c>
      <c r="B981" s="2" t="s">
        <v>2696</v>
      </c>
      <c r="C981" s="2" t="s">
        <v>2697</v>
      </c>
      <c r="D981" s="2" t="s">
        <v>53</v>
      </c>
      <c r="E981" s="2" t="s">
        <v>44</v>
      </c>
      <c r="F981" s="2" t="s">
        <v>15</v>
      </c>
      <c r="G981" s="2" t="s">
        <v>1222</v>
      </c>
      <c r="H981" s="2" t="s">
        <v>173</v>
      </c>
      <c r="I981" s="3" t="str">
        <f>IFERROR(__xludf.DUMMYFUNCTION("GOOGLETRANSLATE(C981,""fr"",""en"")"),"Excellent service, very competitive price. Very satisfied with customer service! Best price found so far")</f>
        <v>Excellent service, very competitive price. Very satisfied with customer service! Best price found so far</v>
      </c>
    </row>
    <row r="982" ht="15.75" customHeight="1">
      <c r="A982" s="2">
        <v>5.0</v>
      </c>
      <c r="B982" s="2" t="s">
        <v>2698</v>
      </c>
      <c r="C982" s="2" t="s">
        <v>2699</v>
      </c>
      <c r="D982" s="2" t="s">
        <v>13</v>
      </c>
      <c r="E982" s="2" t="s">
        <v>14</v>
      </c>
      <c r="F982" s="2" t="s">
        <v>15</v>
      </c>
      <c r="G982" s="2" t="s">
        <v>2700</v>
      </c>
      <c r="H982" s="2" t="s">
        <v>247</v>
      </c>
      <c r="I982" s="3" t="str">
        <f>IFERROR(__xludf.DUMMYFUNCTION("GOOGLETRANSLATE(C982,""fr"",""en"")"),"I am satisfied with the service you offer compared to classic brands. Your advisers know how to respond clearly to our request, why I recommend.")</f>
        <v>I am satisfied with the service you offer compared to classic brands. Your advisers know how to respond clearly to our request, why I recommend.</v>
      </c>
    </row>
    <row r="983" ht="15.75" customHeight="1">
      <c r="A983" s="2">
        <v>4.0</v>
      </c>
      <c r="B983" s="2" t="s">
        <v>2701</v>
      </c>
      <c r="C983" s="2" t="s">
        <v>2702</v>
      </c>
      <c r="D983" s="2" t="s">
        <v>13</v>
      </c>
      <c r="E983" s="2" t="s">
        <v>14</v>
      </c>
      <c r="F983" s="2" t="s">
        <v>15</v>
      </c>
      <c r="G983" s="2" t="s">
        <v>25</v>
      </c>
      <c r="H983" s="2" t="s">
        <v>25</v>
      </c>
      <c r="I983" s="3" t="str">
        <f>IFERROR(__xludf.DUMMYFUNCTION("GOOGLETRANSLATE(C983,""fr"",""en"")"),"I am satisfied with the service.
The subscription was done simply and quickly.
As a young driver, it is not always easy to find low -cost insurance, here the prices are affordable.")</f>
        <v>I am satisfied with the service.
The subscription was done simply and quickly.
As a young driver, it is not always easy to find low -cost insurance, here the prices are affordable.</v>
      </c>
    </row>
    <row r="984" ht="15.75" customHeight="1">
      <c r="A984" s="2">
        <v>1.0</v>
      </c>
      <c r="B984" s="2" t="s">
        <v>2703</v>
      </c>
      <c r="C984" s="2" t="s">
        <v>2704</v>
      </c>
      <c r="D984" s="2" t="s">
        <v>110</v>
      </c>
      <c r="E984" s="2" t="s">
        <v>242</v>
      </c>
      <c r="F984" s="2" t="s">
        <v>15</v>
      </c>
      <c r="G984" s="2" t="s">
        <v>2705</v>
      </c>
      <c r="H984" s="2" t="s">
        <v>123</v>
      </c>
      <c r="I984" s="3" t="str">
        <f>IFERROR(__xludf.DUMMYFUNCTION("GOOGLETRANSLATE(C984,""fr"",""en"")"),"Please note: when you leave your contact details on their site for a price simulation, everything is transferred to brokers for the management and monitoring of files !!! It is perfectly unacceptable! I don't even imagine the level of follow -up in the ev"&amp;"ent of a problem.")</f>
        <v>Please note: when you leave your contact details on their site for a price simulation, everything is transferred to brokers for the management and monitoring of files !!! It is perfectly unacceptable! I don't even imagine the level of follow -up in the event of a problem.</v>
      </c>
    </row>
    <row r="985" ht="15.75" customHeight="1">
      <c r="A985" s="2">
        <v>3.0</v>
      </c>
      <c r="B985" s="2" t="s">
        <v>2706</v>
      </c>
      <c r="C985" s="2" t="s">
        <v>2707</v>
      </c>
      <c r="D985" s="2" t="s">
        <v>53</v>
      </c>
      <c r="E985" s="2" t="s">
        <v>44</v>
      </c>
      <c r="F985" s="2" t="s">
        <v>15</v>
      </c>
      <c r="G985" s="2" t="s">
        <v>2708</v>
      </c>
      <c r="H985" s="2" t="s">
        <v>118</v>
      </c>
      <c r="I985" s="3" t="str">
        <f>IFERROR(__xludf.DUMMYFUNCTION("GOOGLETRANSLATE(C985,""fr"",""en"")"),"Fairly competent customer service, client since 2015 some concerns but which is serious arrange for customer service.")</f>
        <v>Fairly competent customer service, client since 2015 some concerns but which is serious arrange for customer service.</v>
      </c>
    </row>
    <row r="986" ht="15.75" customHeight="1">
      <c r="A986" s="2">
        <v>5.0</v>
      </c>
      <c r="B986" s="2" t="s">
        <v>2709</v>
      </c>
      <c r="C986" s="2" t="s">
        <v>2710</v>
      </c>
      <c r="D986" s="2" t="s">
        <v>48</v>
      </c>
      <c r="E986" s="2" t="s">
        <v>14</v>
      </c>
      <c r="F986" s="2" t="s">
        <v>15</v>
      </c>
      <c r="G986" s="2" t="s">
        <v>45</v>
      </c>
      <c r="H986" s="2" t="s">
        <v>25</v>
      </c>
      <c r="I986" s="3" t="str">
        <f>IFERROR(__xludf.DUMMYFUNCTION("GOOGLETRANSLATE(C986,""fr"",""en"")"),"Efficient telephone reception except Monday morning!
interesting price
I will ask direct insurance for my next home and cars contracts")</f>
        <v>Efficient telephone reception except Monday morning!
interesting price
I will ask direct insurance for my next home and cars contracts</v>
      </c>
    </row>
    <row r="987" ht="15.75" customHeight="1">
      <c r="A987" s="2">
        <v>5.0</v>
      </c>
      <c r="B987" s="2" t="s">
        <v>2711</v>
      </c>
      <c r="C987" s="2" t="s">
        <v>2712</v>
      </c>
      <c r="D987" s="2" t="s">
        <v>13</v>
      </c>
      <c r="E987" s="2" t="s">
        <v>14</v>
      </c>
      <c r="F987" s="2" t="s">
        <v>15</v>
      </c>
      <c r="G987" s="2" t="s">
        <v>2713</v>
      </c>
      <c r="H987" s="2" t="s">
        <v>89</v>
      </c>
      <c r="I987" s="3" t="str">
        <f>IFERROR(__xludf.DUMMYFUNCTION("GOOGLETRANSLATE(C987,""fr"",""en"")"),"I am satisfied with the service, simple and clear, clear prices for each option, and the cost in general is reasonable. The Internet service is practical and simplified. thank you")</f>
        <v>I am satisfied with the service, simple and clear, clear prices for each option, and the cost in general is reasonable. The Internet service is practical and simplified. thank you</v>
      </c>
    </row>
    <row r="988" ht="15.75" customHeight="1">
      <c r="A988" s="2">
        <v>5.0</v>
      </c>
      <c r="B988" s="2" t="s">
        <v>2714</v>
      </c>
      <c r="C988" s="2" t="s">
        <v>2715</v>
      </c>
      <c r="D988" s="2" t="s">
        <v>13</v>
      </c>
      <c r="E988" s="2" t="s">
        <v>14</v>
      </c>
      <c r="F988" s="2" t="s">
        <v>15</v>
      </c>
      <c r="G988" s="2" t="s">
        <v>2716</v>
      </c>
      <c r="H988" s="2" t="s">
        <v>17</v>
      </c>
      <c r="I988" s="3" t="str">
        <f>IFERROR(__xludf.DUMMYFUNCTION("GOOGLETRANSLATE(C988,""fr"",""en"")"),"Fast, efficient, thank you very much, sympathetic person on the phone, being inscribed quickly without traveling is particularly interesting.")</f>
        <v>Fast, efficient, thank you very much, sympathetic person on the phone, being inscribed quickly without traveling is particularly interesting.</v>
      </c>
    </row>
    <row r="989" ht="15.75" customHeight="1">
      <c r="A989" s="2">
        <v>3.0</v>
      </c>
      <c r="B989" s="2" t="s">
        <v>2717</v>
      </c>
      <c r="C989" s="2" t="s">
        <v>2718</v>
      </c>
      <c r="D989" s="2" t="s">
        <v>102</v>
      </c>
      <c r="E989" s="2" t="s">
        <v>285</v>
      </c>
      <c r="F989" s="2" t="s">
        <v>15</v>
      </c>
      <c r="G989" s="2" t="s">
        <v>2719</v>
      </c>
      <c r="H989" s="2" t="s">
        <v>238</v>
      </c>
      <c r="I989" s="3" t="str">
        <f>IFERROR(__xludf.DUMMYFUNCTION("GOOGLETRANSLATE(C989,""fr"",""en"")"),"The MAAF is an insurance that makes fun of its customers, and which does not hesitate to terminate contracts. We have been customers for several years, we were robbed in October. The expert got us ""lice"" ... We lost a lot and were very little compensate"&amp;"d, because already 20% less because no armored windows in the garage. The thieves did not go through the window ... Then we received a registered letter which informed us that for the good of the company we will no longer leave the members ... We had 1 mo"&amp;"nth to regain insurance. I no longer recommend this insurance which only wants profits ... very bad insurance when there is a claim.")</f>
        <v>The MAAF is an insurance that makes fun of its customers, and which does not hesitate to terminate contracts. We have been customers for several years, we were robbed in October. The expert got us "lice" ... We lost a lot and were very little compensated, because already 20% less because no armored windows in the garage. The thieves did not go through the window ... Then we received a registered letter which informed us that for the good of the company we will no longer leave the members ... We had 1 month to regain insurance. I no longer recommend this insurance which only wants profits ... very bad insurance when there is a claim.</v>
      </c>
    </row>
    <row r="990" ht="15.75" customHeight="1">
      <c r="A990" s="2">
        <v>5.0</v>
      </c>
      <c r="B990" s="2" t="s">
        <v>2720</v>
      </c>
      <c r="C990" s="2" t="s">
        <v>2721</v>
      </c>
      <c r="D990" s="2" t="s">
        <v>13</v>
      </c>
      <c r="E990" s="2" t="s">
        <v>14</v>
      </c>
      <c r="F990" s="2" t="s">
        <v>15</v>
      </c>
      <c r="G990" s="2" t="s">
        <v>1207</v>
      </c>
      <c r="H990" s="2" t="s">
        <v>29</v>
      </c>
      <c r="I990" s="3" t="str">
        <f>IFERROR(__xludf.DUMMYFUNCTION("GOOGLETRANSLATE(C990,""fr"",""en"")"),"I am satisfied with the service. The price is perfect for my budget. I will recommend other friends. It's quick and easy. So thank you and cordially")</f>
        <v>I am satisfied with the service. The price is perfect for my budget. I will recommend other friends. It's quick and easy. So thank you and cordially</v>
      </c>
    </row>
    <row r="991" ht="15.75" customHeight="1">
      <c r="A991" s="2">
        <v>5.0</v>
      </c>
      <c r="B991" s="2" t="s">
        <v>2722</v>
      </c>
      <c r="C991" s="2" t="s">
        <v>2723</v>
      </c>
      <c r="D991" s="2" t="s">
        <v>48</v>
      </c>
      <c r="E991" s="2" t="s">
        <v>14</v>
      </c>
      <c r="F991" s="2" t="s">
        <v>15</v>
      </c>
      <c r="G991" s="2" t="s">
        <v>160</v>
      </c>
      <c r="H991" s="2" t="s">
        <v>50</v>
      </c>
      <c r="I991" s="3" t="str">
        <f>IFERROR(__xludf.DUMMYFUNCTION("GOOGLETRANSLATE(C991,""fr"",""en"")"),"I am very satisfied with the service and the prices. As well as the ease of membership. Quote on the site and very simple online subscription. Termination sent directly by Direct Insurance to the former insurer.")</f>
        <v>I am very satisfied with the service and the prices. As well as the ease of membership. Quote on the site and very simple online subscription. Termination sent directly by Direct Insurance to the former insurer.</v>
      </c>
    </row>
    <row r="992" ht="15.75" customHeight="1">
      <c r="A992" s="2">
        <v>1.0</v>
      </c>
      <c r="B992" s="2" t="s">
        <v>2724</v>
      </c>
      <c r="C992" s="2" t="s">
        <v>2725</v>
      </c>
      <c r="D992" s="2" t="s">
        <v>92</v>
      </c>
      <c r="E992" s="2" t="s">
        <v>44</v>
      </c>
      <c r="F992" s="2" t="s">
        <v>15</v>
      </c>
      <c r="G992" s="2" t="s">
        <v>2726</v>
      </c>
      <c r="H992" s="2" t="s">
        <v>1383</v>
      </c>
      <c r="I992" s="3" t="str">
        <f>IFERROR(__xludf.DUMMYFUNCTION("GOOGLETRANSLATE(C992,""fr"",""en"")"),"Mutual lapire that I had.
Exorbitant monthly contributions, no advance of costs, including for hospital care and no reimbursement even after a period of three months.")</f>
        <v>Mutual lapire that I had.
Exorbitant monthly contributions, no advance of costs, including for hospital care and no reimbursement even after a period of three months.</v>
      </c>
    </row>
    <row r="993" ht="15.75" customHeight="1">
      <c r="A993" s="2">
        <v>3.0</v>
      </c>
      <c r="B993" s="2" t="s">
        <v>2727</v>
      </c>
      <c r="C993" s="2" t="s">
        <v>2728</v>
      </c>
      <c r="D993" s="2" t="s">
        <v>48</v>
      </c>
      <c r="E993" s="2" t="s">
        <v>14</v>
      </c>
      <c r="F993" s="2" t="s">
        <v>15</v>
      </c>
      <c r="G993" s="2" t="s">
        <v>2316</v>
      </c>
      <c r="H993" s="2" t="s">
        <v>468</v>
      </c>
      <c r="I993" s="3" t="str">
        <f>IFERROR(__xludf.DUMMYFUNCTION("GOOGLETRANSLATE(C993,""fr"",""en"")"),"The prices seem to be related to my research, and I strongly plan to do what is necessary to ensure my vehicle at Direct Insurance if the franchises allow me
")</f>
        <v>The prices seem to be related to my research, and I strongly plan to do what is necessary to ensure my vehicle at Direct Insurance if the franchises allow me
</v>
      </c>
    </row>
    <row r="994" ht="15.75" customHeight="1">
      <c r="A994" s="2">
        <v>2.0</v>
      </c>
      <c r="B994" s="2" t="s">
        <v>2729</v>
      </c>
      <c r="C994" s="2" t="s">
        <v>2730</v>
      </c>
      <c r="D994" s="2" t="s">
        <v>787</v>
      </c>
      <c r="E994" s="2" t="s">
        <v>44</v>
      </c>
      <c r="F994" s="2" t="s">
        <v>15</v>
      </c>
      <c r="G994" s="2" t="s">
        <v>1055</v>
      </c>
      <c r="H994" s="2" t="s">
        <v>21</v>
      </c>
      <c r="I994" s="3" t="str">
        <f>IFERROR(__xludf.DUMMYFUNCTION("GOOGLETRANSLATE(C994,""fr"",""en"")"),"In addition to their incompetence and deadlines for non -response to distressing emails, they make mistakes in their responses to quotes, especially in dental and tell you that some of your care are not refundable while this is not the case. Have their re"&amp;"sponses checked to quotes by your health professionals by showing them your table of MERCER guarantees. You are not immune to certain surprises")</f>
        <v>In addition to their incompetence and deadlines for non -response to distressing emails, they make mistakes in their responses to quotes, especially in dental and tell you that some of your care are not refundable while this is not the case. Have their responses checked to quotes by your health professionals by showing them your table of MERCER guarantees. You are not immune to certain surprises</v>
      </c>
    </row>
    <row r="995" ht="15.75" customHeight="1">
      <c r="A995" s="2">
        <v>3.0</v>
      </c>
      <c r="B995" s="2" t="s">
        <v>2731</v>
      </c>
      <c r="C995" s="2" t="s">
        <v>2732</v>
      </c>
      <c r="D995" s="2" t="s">
        <v>102</v>
      </c>
      <c r="E995" s="2" t="s">
        <v>14</v>
      </c>
      <c r="F995" s="2" t="s">
        <v>15</v>
      </c>
      <c r="G995" s="2" t="s">
        <v>2165</v>
      </c>
      <c r="H995" s="2" t="s">
        <v>211</v>
      </c>
      <c r="I995" s="3" t="str">
        <f>IFERROR(__xludf.DUMMYFUNCTION("GOOGLETRANSLATE(C995,""fr"",""en"")"),"It's good when you don't use them. For the rest, as soon as there is a refund to make, good luck to make you hear with their service! Instead of helping you, it feels like they are looking to save time and you often have to restart them by phone.")</f>
        <v>It's good when you don't use them. For the rest, as soon as there is a refund to make, good luck to make you hear with their service! Instead of helping you, it feels like they are looking to save time and you often have to restart them by phone.</v>
      </c>
    </row>
    <row r="996" ht="15.75" customHeight="1">
      <c r="A996" s="2">
        <v>5.0</v>
      </c>
      <c r="B996" s="2" t="s">
        <v>2733</v>
      </c>
      <c r="C996" s="2" t="s">
        <v>2734</v>
      </c>
      <c r="D996" s="2" t="s">
        <v>48</v>
      </c>
      <c r="E996" s="2" t="s">
        <v>14</v>
      </c>
      <c r="F996" s="2" t="s">
        <v>15</v>
      </c>
      <c r="G996" s="2" t="s">
        <v>250</v>
      </c>
      <c r="H996" s="2" t="s">
        <v>50</v>
      </c>
      <c r="I996" s="3" t="str">
        <f>IFERROR(__xludf.DUMMYFUNCTION("GOOGLETRANSLATE(C996,""fr"",""en"")"),"Nickel
Very happy with the price and also guarantees
I had no problem since I was insured at Direct
Assurance
It's been more than 5 years")</f>
        <v>Nickel
Very happy with the price and also guarantees
I had no problem since I was insured at Direct
Assurance
It's been more than 5 years</v>
      </c>
    </row>
    <row r="997" ht="15.75" customHeight="1">
      <c r="A997" s="2">
        <v>4.0</v>
      </c>
      <c r="B997" s="2" t="s">
        <v>2735</v>
      </c>
      <c r="C997" s="2" t="s">
        <v>2736</v>
      </c>
      <c r="D997" s="2" t="s">
        <v>330</v>
      </c>
      <c r="E997" s="2" t="s">
        <v>44</v>
      </c>
      <c r="F997" s="2" t="s">
        <v>15</v>
      </c>
      <c r="G997" s="2" t="s">
        <v>2737</v>
      </c>
      <c r="H997" s="2" t="s">
        <v>164</v>
      </c>
      <c r="I997" s="3" t="str">
        <f>IFERROR(__xludf.DUMMYFUNCTION("GOOGLETRANSLATE(C997,""fr"",""en"")"),"Good ratio /price ratio
listening to his members
Very good professional mutual
good network of delegates and technicians allowing the speed of information and reimbursements")</f>
        <v>Good ratio /price ratio
listening to his members
Very good professional mutual
good network of delegates and technicians allowing the speed of information and reimbursements</v>
      </c>
    </row>
    <row r="998" ht="15.75" customHeight="1">
      <c r="A998" s="2">
        <v>5.0</v>
      </c>
      <c r="B998" s="2" t="s">
        <v>2738</v>
      </c>
      <c r="C998" s="2" t="s">
        <v>2739</v>
      </c>
      <c r="D998" s="2" t="s">
        <v>126</v>
      </c>
      <c r="E998" s="2" t="s">
        <v>127</v>
      </c>
      <c r="F998" s="2" t="s">
        <v>15</v>
      </c>
      <c r="G998" s="2" t="s">
        <v>1923</v>
      </c>
      <c r="H998" s="2" t="s">
        <v>50</v>
      </c>
      <c r="I998" s="3" t="str">
        <f>IFERROR(__xludf.DUMMYFUNCTION("GOOGLETRANSLATE(C998,""fr"",""en"")"),"Competitive prices, everything is done online
Quick subscription by the site, detail of the different options and their price, possibility of modulating options as we want.")</f>
        <v>Competitive prices, everything is done online
Quick subscription by the site, detail of the different options and their price, possibility of modulating options as we want.</v>
      </c>
    </row>
    <row r="999" ht="15.75" customHeight="1">
      <c r="A999" s="2">
        <v>3.0</v>
      </c>
      <c r="B999" s="2" t="s">
        <v>2740</v>
      </c>
      <c r="C999" s="2" t="s">
        <v>2741</v>
      </c>
      <c r="D999" s="2" t="s">
        <v>13</v>
      </c>
      <c r="E999" s="2" t="s">
        <v>14</v>
      </c>
      <c r="F999" s="2" t="s">
        <v>15</v>
      </c>
      <c r="G999" s="2" t="s">
        <v>460</v>
      </c>
      <c r="H999" s="2" t="s">
        <v>17</v>
      </c>
      <c r="I999" s="3" t="str">
        <f>IFERROR(__xludf.DUMMYFUNCTION("GOOGLETRANSLATE(C999,""fr"",""en"")"),"Correct price
Very friendly advisor and listening to these customers.
I highly recommend her and thank her for her professionalism.
I hope to fall back on this person during my next call")</f>
        <v>Correct price
Very friendly advisor and listening to these customers.
I highly recommend her and thank her for her professionalism.
I hope to fall back on this person during my next call</v>
      </c>
    </row>
    <row r="1000" ht="15.75" customHeight="1">
      <c r="A1000" s="2">
        <v>5.0</v>
      </c>
      <c r="B1000" s="2" t="s">
        <v>2742</v>
      </c>
      <c r="C1000" s="2" t="s">
        <v>2743</v>
      </c>
      <c r="D1000" s="2" t="s">
        <v>48</v>
      </c>
      <c r="E1000" s="2" t="s">
        <v>14</v>
      </c>
      <c r="F1000" s="2" t="s">
        <v>15</v>
      </c>
      <c r="G1000" s="2" t="s">
        <v>181</v>
      </c>
      <c r="H1000" s="2" t="s">
        <v>29</v>
      </c>
      <c r="I1000" s="3" t="str">
        <f>IFERROR(__xludf.DUMMYFUNCTION("GOOGLETRANSLATE(C1000,""fr"",""en"")"),"I was looking for a new insurance for my new vehicle, and I am satisfied with the website which is ergonomic, simplified view and speed of subscription.")</f>
        <v>I was looking for a new insurance for my new vehicle, and I am satisfied with the website which is ergonomic, simplified view and speed of subscription.</v>
      </c>
    </row>
    <row r="1001" ht="15.75" customHeight="1">
      <c r="A1001" s="2">
        <v>1.0</v>
      </c>
      <c r="B1001" s="2" t="s">
        <v>2744</v>
      </c>
      <c r="C1001" s="2" t="s">
        <v>2745</v>
      </c>
      <c r="D1001" s="2" t="s">
        <v>13</v>
      </c>
      <c r="E1001" s="2" t="s">
        <v>14</v>
      </c>
      <c r="F1001" s="2" t="s">
        <v>15</v>
      </c>
      <c r="G1001" s="2" t="s">
        <v>2746</v>
      </c>
      <c r="H1001" s="2" t="s">
        <v>40</v>
      </c>
      <c r="I1001" s="3" t="str">
        <f>IFERROR(__xludf.DUMMYFUNCTION("GOOGLETRANSLATE(C1001,""fr"",""en"")"),"Flee the prices are not so competitive the guarantees and deductibles are not comparable for 1 month and 15 days that I had a non -responsible accident still no reimbursement so 3 weeks of Christmas with 3 dependent children I still cannot Not moving than"&amp;"k you loan car 1 week so choose your week well if you sign with them and since they have been playing the violin on the phone the telephone advisor advises me to buy me a car before obtaining the reimbursement of my disaster vehicle to believe that I am r"&amp;"ich?
Yesterday I couldn't even take my daughter to the doctor because too far from my home, they don't understand my impatience!")</f>
        <v>Flee the prices are not so competitive the guarantees and deductibles are not comparable for 1 month and 15 days that I had a non -responsible accident still no reimbursement so 3 weeks of Christmas with 3 dependent children I still cannot Not moving thank you loan car 1 week so choose your week well if you sign with them and since they have been playing the violin on the phone the telephone advisor advises me to buy me a car before obtaining the reimbursement of my disaster vehicle to believe that I am rich?
Yesterday I couldn't even take my daughter to the doctor because too far from my home, they don't understand my impatience!</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2022-12-16T15:48:23Z</dcterms:created>
</cp:coreProperties>
</file>