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shlNgIHYQ9aVRQ8EGvtYwp/+lyQ=="/>
    </ext>
  </extLst>
</workbook>
</file>

<file path=xl/sharedStrings.xml><?xml version="1.0" encoding="utf-8"?>
<sst xmlns="http://schemas.openxmlformats.org/spreadsheetml/2006/main" count="7011" uniqueCount="2705">
  <si>
    <t>note</t>
  </si>
  <si>
    <t>auteur</t>
  </si>
  <si>
    <t>avis</t>
  </si>
  <si>
    <t>assureur</t>
  </si>
  <si>
    <t>produit</t>
  </si>
  <si>
    <t>type</t>
  </si>
  <si>
    <t>date_publication</t>
  </si>
  <si>
    <t>date_exp</t>
  </si>
  <si>
    <t>avis_en</t>
  </si>
  <si>
    <t>avis_cor</t>
  </si>
  <si>
    <t>avis_cor_en</t>
  </si>
  <si>
    <t>croco47-108902</t>
  </si>
  <si>
    <t>nouvelle adhérente et ayant été en contact avec Pape, je suis entièrement satisfaite des réponses apportées ,de son écoute et de sa patience. Aline Louvet.</t>
  </si>
  <si>
    <t>Néoliane Santé</t>
  </si>
  <si>
    <t>sante</t>
  </si>
  <si>
    <t>train</t>
  </si>
  <si>
    <t>02/04/2021</t>
  </si>
  <si>
    <t>01/04/2021</t>
  </si>
  <si>
    <t>dt-117016</t>
  </si>
  <si>
    <t>Service téléphonique lamentable, impossibilité d'avoir une réponse sur une actualisation de carrière depuis plus de 8 mois, et la seule réponse au téléphone se réfère à" une transmission aux services compétents", sans prise en compte de la demande , et sans engagement sur un délai de réponse.
Refus de transmettre ou de donner les coordonnées d'un responsable, aucune indication du service réclamation.
Il est scandaleux en 2021 que ce type de fonctionnement puisse encore exister.</t>
  </si>
  <si>
    <t>Malakoff Humanis</t>
  </si>
  <si>
    <t>prevoyance</t>
  </si>
  <si>
    <t>14/06/2021</t>
  </si>
  <si>
    <t>01/06/2021</t>
  </si>
  <si>
    <t>william-g-130367</t>
  </si>
  <si>
    <t xml:space="preserve">Je suis très satisfait de l'ensemble des prestations proposées par la GMF. Je suis client depuis de très nombreuses années et n'ai jamais eu à m'en plaindre. </t>
  </si>
  <si>
    <t>GMF</t>
  </si>
  <si>
    <t>auto</t>
  </si>
  <si>
    <t>31/08/2021</t>
  </si>
  <si>
    <t>01/08/2021</t>
  </si>
  <si>
    <t>gilberte-c-138206</t>
  </si>
  <si>
    <t>Je suis satisfaite le prix me convient très bien j'ai connue april grâce à mes collègues de travail et leurs remercie  Beaucoup ont a être inscrit chez vous moi ça me va très bien</t>
  </si>
  <si>
    <t>APRIL</t>
  </si>
  <si>
    <t>25/10/2021</t>
  </si>
  <si>
    <t>01/10/2021</t>
  </si>
  <si>
    <t>mica-72266</t>
  </si>
  <si>
    <t>..l.... .  Nickel pour l instant,  pas de  sinistre on verra à l usage..l accueil et réactivité oK personnel plutôt sympa. Et à l écoute tarif bien place..........;. ..   .  .... .</t>
  </si>
  <si>
    <t>L'olivier Assurance</t>
  </si>
  <si>
    <t>18/03/2019</t>
  </si>
  <si>
    <t>01/03/2019</t>
  </si>
  <si>
    <t>lolita83-86385</t>
  </si>
  <si>
    <t xml:space="preserve">Toujours pas de réponses aux mails envoyés pas de remboursement ne prenez jamais cette mutuelle ils sont incapables de gérer quoi que ce soit et prétendent même gérer vos placements alors méfiez vous ils ne sont pas honnêtes passez votre chemin </t>
  </si>
  <si>
    <t>Ag2r La Mondiale</t>
  </si>
  <si>
    <t>17/02/2020</t>
  </si>
  <si>
    <t>01/02/2020</t>
  </si>
  <si>
    <t>victime-122365</t>
  </si>
  <si>
    <t>Attention !!! Cette assurance n'indemnise pas les victimes.. elle vous epuise à vous demander des pièces justificatives, tout en vous mettant à l'aise sur un paiement..
J'ai payé pendant plus 12 ans avec une exclusion pour le dos et pourtant paye plus cher.. à ce jour on me refuse l'indemnisation de mon arrêt, alors que la pathologie cause principale est l'épaule...
Je Vais bien entendu mediatiser cette affaire, et vous tiendrai informé des suites...
Beaucoup de personnes victimes de cette assurance pourront se joindre à moi pour poursuivre cette affaire en justice..</t>
  </si>
  <si>
    <t>LCL</t>
  </si>
  <si>
    <t>credit</t>
  </si>
  <si>
    <t>05/07/2021</t>
  </si>
  <si>
    <t>01/07/2021</t>
  </si>
  <si>
    <t>piloux13-115780</t>
  </si>
  <si>
    <t xml:space="preserve">Ils on plus voulu m'assurer après des années sans aucun souci  ni car glass ni accident... 
rien la retrer suspension de permis 5 mois  demandé à suspentre mon assurance 5 mois il me viré. 
Bravoooo... ca peut arriver à tous après une soirée d'anniversaire. </t>
  </si>
  <si>
    <t>Direct Assurance</t>
  </si>
  <si>
    <t>03/06/2021</t>
  </si>
  <si>
    <t>tutubalci-105022</t>
  </si>
  <si>
    <t xml:space="preserve">Je suis entièrement satisfaite de l'accueil téléphonique : écoute, patience, capacité de compréhension, professionnalisme et résolution de problèmes. 
Ce jour, j'ai eu un entretien avec "Lucie" de la MGP qui a toute ces qualités. 
Cordialement </t>
  </si>
  <si>
    <t>MGP</t>
  </si>
  <si>
    <t>01/03/2021</t>
  </si>
  <si>
    <t>shanty-117872</t>
  </si>
  <si>
    <t>Je remercie Saliha qui, avec beaucoup de gentillesse et de professionnalisme, a su mettre à jour ma demande de remboursement. Elle s'est assurée de la réception des pièces jointes et m'a rappelée peu de temps après, afin de me dire que le dossier finalisé partait au centre de gestion.
Un suivi au top, bravo !</t>
  </si>
  <si>
    <t>Santiane</t>
  </si>
  <si>
    <t>22/06/2021</t>
  </si>
  <si>
    <t>daniel-122073</t>
  </si>
  <si>
    <t xml:space="preserve">site injoignable impossible de créer un compte ou d'y accéder
site internet brouillon et touffu incompréhensible
je voulais créer un compte et consulter mes remboursements
impossible!!!
cordialement
breuil daniel </t>
  </si>
  <si>
    <t>Cegema Assurances</t>
  </si>
  <si>
    <t>florelucasmrl-94776</t>
  </si>
  <si>
    <t xml:space="preserve">Je suis très satisfaite des services de direct assurance ! Le rapport qualité prix, le service client sont irréprochable ! Je les recommande vivement </t>
  </si>
  <si>
    <t>21/07/2020</t>
  </si>
  <si>
    <t>01/07/2020</t>
  </si>
  <si>
    <t>pereira-d-112313</t>
  </si>
  <si>
    <t>J'avais demandé hier à ce que l'on me rappelle par téléphone... pas fait c'est dommage. J'espère ne pas regretter mon changement de police d'assurance.</t>
  </si>
  <si>
    <t>01/05/2021</t>
  </si>
  <si>
    <t>angelo-29139</t>
  </si>
  <si>
    <t xml:space="preserve">sinistre dégats électriques sur ordinateur neuf. payé 2 mois avant 980 euros chez un petit commerçant à ile rousse en corse. remboursement à neuf : 620 euros au motif que c'est le prix chez Darty . Pour information DARTY n'est pas représenté en haute Corse et le contrat ne prévoit pas un remboursement en fonction des prix pratiqués par DARTY et à cela il faut encore déduire la franchise de environ 200 euros . Si je devais engager une procédure, je suis certain de gagner mais il m'en couterait cent fois plus et la Cie d'assurance le sait. Conclusion c'est une ........ par abus de position dominante. </t>
  </si>
  <si>
    <t>Allianz</t>
  </si>
  <si>
    <t>habitation</t>
  </si>
  <si>
    <t>18/05/2021</t>
  </si>
  <si>
    <t>magali-n-138010</t>
  </si>
  <si>
    <t>Bonjour,
le choix des options est intuitif et très pratique pour construire l'offre sur mesure qui nous convient le mieux.
Les explications sont claires et précises</t>
  </si>
  <si>
    <t>APRIL Moto</t>
  </si>
  <si>
    <t>moto</t>
  </si>
  <si>
    <t>21/10/2021</t>
  </si>
  <si>
    <t>forest-95787</t>
  </si>
  <si>
    <t>bonjour
je ne suis pas client chez active assurances. je voulais justement assurer un véhicule chez eux mais quand je vois tous les commentaires négatifs..... Je ne comprends pas pourquoi "les furets.com" nous dirigent vers des professionnels de cette piètre qualité (apparemment). Faut-il faire confiance aussi à ce site ?</t>
  </si>
  <si>
    <t>Active Assurances</t>
  </si>
  <si>
    <t>31/07/2020</t>
  </si>
  <si>
    <t>maryg-50265</t>
  </si>
  <si>
    <t>Après arrêt maladie pris en charge par Allianz avec 7 mois d'attente pour le règlement des IG sécu.Mon mari est en invalidité depuis le 1 juin 2017 catégorie 2.Depuis impossible de se faire régler le complément de la rente auquel il a le droit.Nous appelons tout les 15 jours et rien n'arrive.Nous n'en pouvons plus.Les factures s'accumulent.C'est très dur financierement.Et pourtant c'était une prévoyance collective et obligatoire.</t>
  </si>
  <si>
    <t>28/09/2017</t>
  </si>
  <si>
    <t>01/09/2017</t>
  </si>
  <si>
    <t>nanou-52645</t>
  </si>
  <si>
    <t xml:space="preserve">suite a des inflitration d eaux dans les murs on m a dit qu il avait de condensation et pas d eaux j ai perdu tous mes meubles je dois vivre sans meuble et de ne pas utilise les murs et de plus sa fait 10 ans que je suis chez eux et c est maintenant qu il dise que j ai fait une faux déclaration quand j ai souscrit mon contrat je ne comprend pas </t>
  </si>
  <si>
    <t>22/02/2017</t>
  </si>
  <si>
    <t>01/02/2017</t>
  </si>
  <si>
    <t>teddy-d-131135</t>
  </si>
  <si>
    <t xml:space="preserve">je suis satisfais du service client , réactif et aimable au téléphone , il m'ont aider a faire ma souscription en ligne +1 
les prix son plutôt concurrentielles.
 </t>
  </si>
  <si>
    <t>AMV</t>
  </si>
  <si>
    <t>03/09/2021</t>
  </si>
  <si>
    <t>01/09/2021</t>
  </si>
  <si>
    <t>yoann-s-136866</t>
  </si>
  <si>
    <t xml:space="preserve">Je suis super content même si je ne voulais pas laisser d’avis et je suis obliger le prix et bien et rapide merci je suis très content c’est super génial </t>
  </si>
  <si>
    <t>10/10/2021</t>
  </si>
  <si>
    <t>henri-b-111814</t>
  </si>
  <si>
    <t>Direct assurance propose un bon service pour un prix très correct; le personnel est compétent et attentif tant aux intérêts de sa compagnie qu'à celui des assurés</t>
  </si>
  <si>
    <t>27/04/2021</t>
  </si>
  <si>
    <t>raph-71061</t>
  </si>
  <si>
    <t>Détenteur mon épouse et moi de contrats Odyssiel, nous pouvons exprimer notre déception. Certes les placements sont corrects (fonds euros; selectivimmo) mais la gestion "bancaire" de ces comptes (rachat versements) est très mauvaise: frais de versements (??) élévés, délais de rachat hors virements bancaires très longs; mise à jour des comptes très longues; inscriptions des intérêts très tardives (mi février); créations des comptes très complexes; gestion informatique difficile et quelquefois aléatoire. Renseignements fournis par le commercial dédié quelque fois insuffisants et renvoie sur le site d'AXA, PAYANT DE SURCROIT !!</t>
  </si>
  <si>
    <t>AXA</t>
  </si>
  <si>
    <t>vie</t>
  </si>
  <si>
    <t>07/02/2019</t>
  </si>
  <si>
    <t>01/02/2019</t>
  </si>
  <si>
    <t>antonin-m-127218</t>
  </si>
  <si>
    <t>Attente longue au téléphone et personnes parfois incompétentes. Ne sait pas ce qu'est un siège auto pour enfant... Pas capable de détailler les modalités de prise en charge d'un siège auto accidenté...</t>
  </si>
  <si>
    <t>09/08/2021</t>
  </si>
  <si>
    <t>soraya-k-132713</t>
  </si>
  <si>
    <t>Bonjour,
La souscription en ligne c’est bien passé et le prix est très correcte pour les prestations annoncées donc pour l'instant satisfait du service de DirectAssurance</t>
  </si>
  <si>
    <t>13/09/2021</t>
  </si>
  <si>
    <t>am1709-137425</t>
  </si>
  <si>
    <t xml:space="preserve">J'ai été très bien accueillie par Mariama qui a pris le temps de répondre à  l'ensemble de mes questions et de me reseigner. Elle a été très réactive. </t>
  </si>
  <si>
    <t>14/10/2021</t>
  </si>
  <si>
    <t>pipelette-66056</t>
  </si>
  <si>
    <t>bien obligée de mettre une étoile sur la satisfaction, alors que j'en aurai mise aucune.
Assurée pour l'ensemble de mes biens (une maison, un appart, 2 voitures) depuis longtemps chez eux. J'en avais été satisfaite jusqu'à présent: bonne réactivité, relations clients super. Faut dire que j'avais pas besoin d'eux: les 2 voitures et les 2 conducteurs sont au malus minimum, pas d'accident depuis plus de 3 ans, zéro soucis.
Jusqu'à l'an dernier où j'ai eu un 1er sinistre habitation...
Sauf que là on m'informe que j'ai trop de sinistre habitation: un dégat électrique suite à un impact de foude en 2017 (387 euros de frais pour la maaf) et une problématique de racine d'un voisin dans un tuyau extérieur (un expert est passé, suite à quoi, j'ai pris en charge à mes frais le retrait d'arbres car l'expert n'a pas voulu juger que le saule pleureur de mon voisin était en cause...). Donc je suis virée de l'assurance habitation pour ça!
Ridicule et lamentable.</t>
  </si>
  <si>
    <t>MAAF</t>
  </si>
  <si>
    <t>08/08/2018</t>
  </si>
  <si>
    <t>01/08/2018</t>
  </si>
  <si>
    <t>judithstrigl-71459</t>
  </si>
  <si>
    <t>Très content du service client, ont même réussi a m'obtenir une petite remise grâce a la preuve d'avoir été assuré a l'étranger</t>
  </si>
  <si>
    <t>19/02/2019</t>
  </si>
  <si>
    <t>artix-92945</t>
  </si>
  <si>
    <t xml:space="preserve">servi protection juridiqu incompetant , ne prennes pas en chrge un defaut de fabricat piscine coque intallé ou les defaut sont apparu aprés 1 an d'instal , leur argument , defaut seulement esthetique </t>
  </si>
  <si>
    <t>Matmut</t>
  </si>
  <si>
    <t>arthur-p-109799</t>
  </si>
  <si>
    <t>PARFAIT tout est clair et les prix sont correct. service client parfait et sympathique,  bien dirigé et explication clair et le suivi est parfait aussi</t>
  </si>
  <si>
    <t>09/04/2021</t>
  </si>
  <si>
    <t>alex-90424</t>
  </si>
  <si>
    <t>Les prix et la qualité des garanties sont corrects mais le personnel de la maif est condescendant et très désagréable. et ne fait pas son travail lorsque l'on demande des relevés d'information</t>
  </si>
  <si>
    <t>MAIF</t>
  </si>
  <si>
    <t>11/06/2020</t>
  </si>
  <si>
    <t>01/06/2020</t>
  </si>
  <si>
    <t>lesert-j-134310</t>
  </si>
  <si>
    <t>RAS POUR L'INSTANT TOUT ME PARAIT CLAIR,NOUS VERRONS VOTRE EFFICACITE DANS L'UTILISATION FUTURE ,JE VOUS SOUHAITE BONNE RECEPTION DE MON MESSAGE. J.LESERT</t>
  </si>
  <si>
    <t>24/09/2021</t>
  </si>
  <si>
    <t>ludovic-b-131197</t>
  </si>
  <si>
    <t>je suis un peu plus rassuré , car je suis jeune permis 
Je prépare mon premier road trip .
Mais j'ai eu encore aucun soucis , on verra dans le temps , si amv tiens ses promesses</t>
  </si>
  <si>
    <t>04/09/2021</t>
  </si>
  <si>
    <t>leonor-ferreira-h-114658</t>
  </si>
  <si>
    <t>Réactif , prix très intéressant 
Devis fait  rapidement et contrat également je le conseillerais a mes proches . Interlocuteur très à l'écoute et super agréable</t>
  </si>
  <si>
    <t>23/05/2021</t>
  </si>
  <si>
    <t>melissa-b-131168</t>
  </si>
  <si>
    <t xml:space="preserve">Satisfait  de la rapidité et la simplicité du site et des services mise en place Bon rapport niveau prix et de l’efficacité mise en place simple efficace </t>
  </si>
  <si>
    <t>jcgabet-92140</t>
  </si>
  <si>
    <t>Je viens de réaliser qu'il est impossible de joindre mon assureur, que mon espace personnel n'offre pas la possibilité élémentaire et essentiel d'envoyer un courriel, que pour obtenir mon relevé d'information le lien me renvoie vers un numéro qui ne répond pas... et que, de plus, les tarifs sont plus élevés qu'ailleurs. Plus cher avec moins de prestations...</t>
  </si>
  <si>
    <t>Mutuelle des Motards</t>
  </si>
  <si>
    <t>24/06/2020</t>
  </si>
  <si>
    <t>oussama966-99012</t>
  </si>
  <si>
    <t>J'ai adhéré à cette mutuelle auprès de mon employeur, les démarches étaient très fluides, attestation tiers-payant dans quelques jours. Très bon rapport qualité/prix et service client rapide, sympatique et à l'écoute!</t>
  </si>
  <si>
    <t>Génération</t>
  </si>
  <si>
    <t>21/10/2020</t>
  </si>
  <si>
    <t>01/10/2020</t>
  </si>
  <si>
    <t>sab-57585</t>
  </si>
  <si>
    <t>Bon assureur. Les prix des assurances voitures sont plus que corrects.</t>
  </si>
  <si>
    <t>25/09/2017</t>
  </si>
  <si>
    <t>alex-111336</t>
  </si>
  <si>
    <t>A fuir! Pas compétent du tout et les remboursement n'en parlons pas, si vous avez le choix n'allez surtout pas là-bas, mutuelles obligatoire malheureusement mais à fuir!</t>
  </si>
  <si>
    <t>22/04/2021</t>
  </si>
  <si>
    <t>nad24-81889</t>
  </si>
  <si>
    <t>Je suis assurée chez eux depuis 20 ans avec bonus 50% à vie. Il a fallu un accident causé par un tiers et considérée comme non responsable en 2017, un bris de glace et un accident occasionné par un défaut d'entretien de la voirie (évidemment j'ai perdu face à la mairie de Nice ! ) et suis donc considérée comme responsable en 2019 pour recevoir un avis que ma franchise sera doublée et que si je n'accepte pas le contrat je serai résiliée.
Un peu facile ... c'est la Maaf.
Il faudrait enfin une loi qui ne permette pas aux assureurs de faire ce que bon leur semble.
Tous pareils</t>
  </si>
  <si>
    <t>30/09/2020</t>
  </si>
  <si>
    <t>01/09/2020</t>
  </si>
  <si>
    <t>ait-oufqir-m-116103</t>
  </si>
  <si>
    <t>Très bonne assurance, je viens de me souscrire un contrat auto. Personne à l’écoute et des explications clair.
A voir avec le temps.
Qualité prix imbattable.  Je le conseille à tout le monde</t>
  </si>
  <si>
    <t>05/06/2021</t>
  </si>
  <si>
    <t>berardier-g-115719</t>
  </si>
  <si>
    <t xml:space="preserve">Satisfait de vos services et la rapidité avec laquelle vous intervenez les tarifs sont raisonnable
Merci a tous vos conseillers pour la prise en charge
Cordialement </t>
  </si>
  <si>
    <t>02/06/2021</t>
  </si>
  <si>
    <t>aimad-e-135351</t>
  </si>
  <si>
    <t xml:space="preserve">Je suis satisfait du service … satisfait du prix et de l’assurance proposé ainsi que la clareté des démarches. Je compte sur vous pour assurer ma voiture comme il se doit </t>
  </si>
  <si>
    <t>valery-h-130427</t>
  </si>
  <si>
    <t>je remercie AMV l'assurance deux roue de la famille doublement   merci pour tout cela ( pourvue que cela dure ) ne changer rien rester les meilleur  .</t>
  </si>
  <si>
    <t>florian62-76703</t>
  </si>
  <si>
    <t>attractivité des prix, réactivité des équipes, transparence clarté dans les conseils, les explications... une nette différence contrairement à ma précédente assurance moto,  il conseil l'assistance 0 Km en moto c'est pratique.</t>
  </si>
  <si>
    <t>12/06/2019</t>
  </si>
  <si>
    <t>01/06/2019</t>
  </si>
  <si>
    <t>celine0731-71791</t>
  </si>
  <si>
    <t>Si je pouvais ce serait 0 étoile... Service au téléphone incapable de répondre sur le suivi du dossier. Mais à quoi servez-vous ? 3 semaines que j'ai envoyé mes demandes de remboursement... c'est toujours en attente... pourquoi ? A priori il y a un problème "technique". LA BLAGUE. Ok il y a un problème, j'appelle pour demander quel est le problème et surtout pour essayer de le régler... Personne ne sait !!! JE REPETE LA BLAGUE. Il y a un problème mais on ne peut pas vous dire quel est le problème. Ok merci.</t>
  </si>
  <si>
    <t>gui123-42582</t>
  </si>
  <si>
    <t>demander un renseignement chez eux vos changement effectif de suite sans signature et forcement plus avantageux pour eux</t>
  </si>
  <si>
    <t>Afi Esca</t>
  </si>
  <si>
    <t>24/11/2018</t>
  </si>
  <si>
    <t>01/11/2018</t>
  </si>
  <si>
    <t>juantono-65865</t>
  </si>
  <si>
    <t>Vraie mutuelle avec de vrais valeurs appliqué au quotidien: solidarité, rapport pair à pair, offre global, action social accompagnement tout au longe de la vie</t>
  </si>
  <si>
    <t>Mgen</t>
  </si>
  <si>
    <t>30/07/2018</t>
  </si>
  <si>
    <t>01/07/2018</t>
  </si>
  <si>
    <t>thomas-ph-116271</t>
  </si>
  <si>
    <t>L'assureur ne m'a pas envoyé mon relevé d'information qu'il m'avait promis par téléphone.
Cela me pose des problèmes pour ma nouvelle assurance.
Marlgrés plusieurs relances pas moyen d'avoir quelqu'un.
Le service client est inexistant.</t>
  </si>
  <si>
    <t>07/06/2021</t>
  </si>
  <si>
    <t>lamia-g-133664</t>
  </si>
  <si>
    <t xml:space="preserve">Je suis satisfaite très simple et facile j ai pu effectuer mon assurance moto en ligne très rapidement et simplement merci April pour votre sens commercial </t>
  </si>
  <si>
    <t>20/09/2021</t>
  </si>
  <si>
    <t>gomez-cervantes--100390</t>
  </si>
  <si>
    <t xml:space="preserve">Je suis vraiment déçu et énervé, je suis cliente actuellement et  je veux partager mon expérience, déjà ça fait 2 mois que j’attends un remboursement qui m’on promis et toujours pas, j’attends aussi toujours l’appel d’un responsable et personne le fait, le contrat qui m’ont promis se rien avoir à ce que j’ai demandé </t>
  </si>
  <si>
    <t>20/11/2020</t>
  </si>
  <si>
    <t>01/11/2020</t>
  </si>
  <si>
    <t>reychler-l-128307</t>
  </si>
  <si>
    <t>satisfaite du service, assurance raisonnable au niveau du prix, répondent rapidement, je recommande, sérieux , s'occupe eux même de la résiliation, très pratique.</t>
  </si>
  <si>
    <t>17/08/2021</t>
  </si>
  <si>
    <t>frick-c-131137</t>
  </si>
  <si>
    <t>JE SUIS SATISFAIT DU PRODUIT,ET DU TARIF, SIMPLE A  SANS PRISEDE TETE CONTACT SIMPLE ET RAPIDE A UTILISER RAPIDITER EFFICACITER BON RAPPORT QUALITER PRIX.</t>
  </si>
  <si>
    <t>privat-t-109933</t>
  </si>
  <si>
    <t>Nous sommes satisfait.
Rapide et efficace. Le relevé d'information devrait être automatique pour un souscripteur déjà dans votre base de données.
Cordialement</t>
  </si>
  <si>
    <t>10/04/2021</t>
  </si>
  <si>
    <t>mosse-christian-138972</t>
  </si>
  <si>
    <t>Victime d'un incendie de la maison et de la voiture stationné dans le garage le 16/10/21 l'expert intervient le 21/10. Il nous dit qu'il accorde une avance de 10000€  afin de parer au plus urgent ( relogement, mobilier etc...) En ce qui concerne la voiture l'expert nous indique le 22/10 qu'il nous accorde 17000€ pour la valeur vénale du véhicule. L'assurance m'indique qu'il leur faut la carte grise pour être payé. J'avais demandé un duplicata car cette dernière a aussi été brûlée. Je leur envoi le 22/10 et ensuite on le dit qu'il fallait la remettre à l'expert. Depuis cette carte grise est tantôt envoyé chez l'expert tantôt chez moi en recommandé. Mais bref depuis pas un seul centime reçu alors que nous sommes sans toit dans voiture. GMF assurément humain. Lol</t>
  </si>
  <si>
    <t>04/11/2021</t>
  </si>
  <si>
    <t>manon-l-131636</t>
  </si>
  <si>
    <t>Changement d'assurance pour en diminuer le cout, sans réduire les garanties
Je suis satisfaite du service : facilité de souscription et prix attractifs.</t>
  </si>
  <si>
    <t>07/09/2021</t>
  </si>
  <si>
    <t>rb-98628</t>
  </si>
  <si>
    <t>Moyennement satisfait. L'attente téléphonique est parfois longue. Pas très réactif sur les demandes d'attestation ou les changement de RIB...en ce qui concerne les remboursements ou les devis, plutôt satisfait des délais.</t>
  </si>
  <si>
    <t>12/10/2020</t>
  </si>
  <si>
    <t>pierre-v-114335</t>
  </si>
  <si>
    <t>pas satisfait. Impossible d'avoir un interlocuteur qui comprend ce que je veux. Différentes informations complètement contraires. Impossible de faire un changement par internet...</t>
  </si>
  <si>
    <t>20/05/2021</t>
  </si>
  <si>
    <t>larsouille60-63600</t>
  </si>
  <si>
    <t xml:space="preserve">Gros problème avec le remboursement mail tout les jours appel il vous renvoie un mail 
Votre dossier a été traité ok on est remboursée quand mdr </t>
  </si>
  <si>
    <t>Harmonie Mutuelle</t>
  </si>
  <si>
    <t>26/04/2018</t>
  </si>
  <si>
    <t>01/04/2018</t>
  </si>
  <si>
    <t>herve-d-111119</t>
  </si>
  <si>
    <t>tarifs et prestation interessante on verra en cas d'accident la réaction de l'assurance. En effet avoir des tarifs interessant est une chose, rembourser sans faire d'histoire à rallonge une autre..</t>
  </si>
  <si>
    <t>21/04/2021</t>
  </si>
  <si>
    <t>sams-64731</t>
  </si>
  <si>
    <t xml:space="preserve">LE SLOGAN ( C'EST LA MAAF QUE JE PREFERE )
me fait très doucement rire, étant client chez maaf depuis plus de 25 ans pour l'habitation ainsi que auto sans jamais avoir eu un sinistre, au mois d'aout dernier je me suis fait volé mon vehicule en vacances et la le 14/06/2018 soit 10 mois plus tard et avec la visite d'une détective privée entre temps qui est passée a la maison car lorsqu'il faut dédommager les victimes il vous font limite passé pour le coupable vous les appeler il vous dise dossier toujours en instruction une histoire sans fin.
je suis très très déçu par cette assurance donc je vous conseil de vous méfier de ce slogan totalement faux. 
je tiendrai au courant les internautes de la suite du dossier @+ </t>
  </si>
  <si>
    <t>14/06/2018</t>
  </si>
  <si>
    <t>01/06/2018</t>
  </si>
  <si>
    <t>madina-93690</t>
  </si>
  <si>
    <t>Pour le moment je compare les propositions d'offres mais le tarif que propose direct assurance ne se situent pas partis les plus  plus bas. Mais je reconnais que le contenu de l’offre reste intéressant.</t>
  </si>
  <si>
    <t>10/07/2020</t>
  </si>
  <si>
    <t>cc2711-90353</t>
  </si>
  <si>
    <t xml:space="preserve">A fuir. Attention, manque de transparence!!!Ils vous font des tarifs très intéressants sur devis pour que vous signez le contrat mais une fois les tableaux définitifs transmis les prix explosent(avec comme réponse que les devis sont non contractuels!!!)
De plus, quand on les contacte ils font les morts jusqu'à ce que vous rappeliez (en espérant sûrement que vous oubliez…)
Très attractif mais finalement beaucoup plus cher que les autres </t>
  </si>
  <si>
    <t>Magnolia</t>
  </si>
  <si>
    <t>09/06/2020</t>
  </si>
  <si>
    <t>lolo-100353</t>
  </si>
  <si>
    <t>Bonjour,
la macif a des offres comecriales bien placées mais dès que vous avez un so=inistre le délai de traitement est long environ 2 mois pour avoir une réponse négative alors que cette réponse il aurait pu me l'apporter au bout de 10 jours.
Je ne parle pas des appels et passage en agence qui ne gère pas les sinistres, j'ai fait un courrier de réclamation ou je n'ai jamais eu de réponse.
En résumé, ne pas avoir de sinistre car dans ce cas attention.</t>
  </si>
  <si>
    <t>MACIF</t>
  </si>
  <si>
    <t>thomas-99497</t>
  </si>
  <si>
    <t xml:space="preserve">TRÈS TRÈS DÉÇU DES CONSEILS DU SERVICE SINISTRE MAAF !!!!!!
Victime d’une fraude à l’assurance j’appelle ce service pour me conseiller et résultat j’ai le droit  à 25% de malus
Rappel des faits 
J’ai appelé la MAAF afin d’obtenir un conseil afin de me couvrir contre une fausse déclaration.
Voila ce que j’ai décrit par téléphone  «  sur un parking, je me suis garé et j.ai oublié mon frein à main.mon véhicule a reculé et s.est arrêté contre le véhicule situé derrière sans aucun choc. Le propriétaire de l.autre véhicule a profité de cette occasion pour déclarer un sinistre afin de se faire payer des réparations de dégâts déjà présents sur son véhicule . Sur quoi j.ai refusé de remplir un constat amiable » 
Pour nous couvrir la MAAF m’a conseillé de lui envoyer un constat à l.amiable afin de donner notre version sur la fausse déclaration adverse.
La MAAF m.a précisé qu'il ne fallait pas s'inquiéter que des experts seront capables de faire la part de choses et prouver ma véracité étant donné que mon véhicule n'a aucun dommage , même pas une rayure.
j.ai don adressé  suite à LEURS CONSEILS un constat amiable précisant bien les faits décrits ci dessus  et re précisant qu'il n'y avait aucun dommage ; ni aucune responsabilité de notre part puisque la déclaration de la partie était fausse.
En réponse à ce dernier, la MAAF  m'indique par lettre du 20/10/20 que ma responsabilité dans cet accident était totale et qu'il me serait appliqué un malus de 25% !!!!!meme si aucun dommage n.etait constaté !!!! </t>
  </si>
  <si>
    <t>loic-l-123302</t>
  </si>
  <si>
    <t>je ne suis pas sattisfait car mon tarif à augmenter de plus de 150 euros en un mois....et je ne comprends pas pourquoi. Le commercial au téléphone n'a pas pu me répondre</t>
  </si>
  <si>
    <t>13/07/2021</t>
  </si>
  <si>
    <t>kopp-c-126819</t>
  </si>
  <si>
    <t xml:space="preserve">satisfait mise à part que je dois avancer les frais du sinistre en cours vu que le garage n'est pas agréé j'espère que le remboursement se fera dans un délai relativement rapide ... merci d'avance pour cette requête   </t>
  </si>
  <si>
    <t>06/08/2021</t>
  </si>
  <si>
    <t>didier-122125</t>
  </si>
  <si>
    <t>j'ai eu un accident le 24 Mai 2021 et à ce jour ma voiture n'est toujours pas réparée !!!!
Il leur manque soit disant des éléments de la partie adverse alors que je suis tous risques et non responsable de l'assurance nous sommes le 2 Juillet et toujours rien !!!!
en plus pas de prêt de voiture car ma voiture pouvait rouler en gros je me démerde pour aller travailler ASSURANCE NULLE !!!!
Melle DITTE Pauline</t>
  </si>
  <si>
    <t>02/07/2021</t>
  </si>
  <si>
    <t>famht-78372</t>
  </si>
  <si>
    <t xml:space="preserve">20 ans chez eux !!! Et tres satisfaite !! 
J ai eu le malheur de devoir faire face a 3 sinistres en 2 ans ( deux degats des eaux) et des malfacons necessitant le recours a la protection juridique. 
Je suis pour l heure pleinement satisfaite de la gestion de ces sinistres : conseillers tres reactifs et efficaces, toujours le meme interlocuteur et rapidite d intervention .... je n'ai rien a redire .... tout recemment je viens malheureusement d ouvrir un autre dossier de sinistre : esperons que malgre tout ce dossier soit traite de maniere aussi efficzce et que la maif continue de nius assurer !!! </t>
  </si>
  <si>
    <t>12/08/2019</t>
  </si>
  <si>
    <t>01/08/2019</t>
  </si>
  <si>
    <t>helena-67040</t>
  </si>
  <si>
    <t>Tres content de mes assurances habitation mais pas eu de sinistre .. , auto quelques déboires mais sans pb de réglement  j'hésite a souscrire une assurance habitation pour un parent au vu de la foule de reproches et de critiques !! En plus leur service qualité WEB ne se foule pas dans ses réponses ?? toujours la même phrase demandant de contacter le service en accusé de réception.  Ca fait vraiment  " mépris du client " 
DIT MONSIEUR QUALITE ... ON TE DIT QUE PERSONNE NE REPOND ....</t>
  </si>
  <si>
    <t>25/09/2018</t>
  </si>
  <si>
    <t>01/09/2018</t>
  </si>
  <si>
    <t>teo75-57713</t>
  </si>
  <si>
    <t xml:space="preserve">J'ai plus de 12 années d'assurance avec un  bonnus de 50% et malgré cela direct assurance a résilié mon contrat en raison de n'avoir pas remis à temps les documents notamment la carte grise suite à l"achat d'une voiture neuve. C'est la préfecture qui a tardé à  émettre la carte grise. Les conséquences sont graves, Il est difficile de retrouver un autre assureur à moins de 1000 euros. </t>
  </si>
  <si>
    <t>29/09/2017</t>
  </si>
  <si>
    <t>zaid-m-113814</t>
  </si>
  <si>
    <t>Je suis satisfait de service et les prix ma conviennent aussi, j'ai comparé avec autre assurance et j'ai trouvé le meilleur prix chez Direct assurance.</t>
  </si>
  <si>
    <t>15/05/2021</t>
  </si>
  <si>
    <t>doudou-79048</t>
  </si>
  <si>
    <t xml:space="preserve">Une étoile, c'est parce que j'y suis forcée. Je n'ai eu aucunes mésaventures avec la Macif mais suis cliente depuis plusieurs années. Je veux juste soutenir ces clients lésés et envisage même de résilier mes contrats, au vu de la réputation de cette assurance. 
Que les futurs potentiels clients prennent connaissance de ces avis, je participe à votre moyenne et espère que vous fermerez boutique, vous et toutes les crapules de votre genre. Obnubilés par l'argent (argent que vous volez.... oui oui que vous volez)!!
Les pourris dehors, marre de laisser faire et de fermer notre bouche. </t>
  </si>
  <si>
    <t>08/09/2019</t>
  </si>
  <si>
    <t>01/09/2019</t>
  </si>
  <si>
    <t>frank-t-114357</t>
  </si>
  <si>
    <t>pour l'instant tout c'est bien passé et l'inscription a été facile j'espère que ça va continuer car c'est vraiment pas cher par rapport a d'autres assurances</t>
  </si>
  <si>
    <t>michel-g-127369</t>
  </si>
  <si>
    <t>Pour l'instant rien à dire. Les prix me conviennent. A voir dans le temps et avec l'expérience de cette première année de contrat et avec les besoins.</t>
  </si>
  <si>
    <t>10/08/2021</t>
  </si>
  <si>
    <t>christian-g-127031</t>
  </si>
  <si>
    <t>Je suis très satisfait , souscription rapide et efficace , prix tres compétitifs par rapport à la concurrence ,  large choix de garanties bien adaptées .</t>
  </si>
  <si>
    <t>07/08/2021</t>
  </si>
  <si>
    <t>gp-66147</t>
  </si>
  <si>
    <t xml:space="preserve">A fuir !!!
Accidenté le 8 juin dernier avec 10 jours d'ITT, j'ai fait le nécessaire en 48h pour apporter les éléments requis à l'expert et organiser l'enlèvement de ma moto. 
Ayant réussi à éviter la collision, un recours doit être effectuée auprès de l'assurance du tiers responsable avant toute prise en charge. La compagnie adverse étant étrangère (et le tiers aussi) AMV devra traiter avec un correspondant sur la France. 
Ensuite débute le cauchemar, les services d'AMV font preuve d'une passivité inadmissible qui ne fait que refléter l'intérêt qu'ils portent à leurs clients. 
En bref, il aura fallu que je prenne moi-même contact avec la maaf et avec l'assurance adverse au Portugal pour que mon dossier avance un minimum. A chaque prise de contact, mes interlocuteurs (tous confondus) découvrent de nouveaux éléments dans mon dossier (ce qui en dit long sur la qualité et la régularité du suivi). 
Suite à mes différentes relances auprès de la compagnie adverse et de son correspondant, j'informe AMV le 25/07 que l'accord de prise en charge est confirmé. Malgré plusieurs relances, aucun retour d'amv, aucune avancée, on se contentera de me répondre que le suivi est programmé pour le 07/08. A comprendre donc, que même en mâchant le travail de leur service sinistre, il faut attendre 2 semaines pour que quelqu'un ne daigne jeter un oeil au dossier. 
Quand enfin j'ai un retour le 08/08, ce dernier consiste à m'informer : 
- Qu'à défaut de retour de la MAAF, AMV les relançait par courrier postal... (rebelote pour 2 voire 3 semaines sans avancée...)
- Qu'ils réclamaient la déclaration circonstanciée du conducteur adverse (2 mois après l'ouverture du dossier et alors même qu'ils savent que le dossier a été confirmé par la partie adverse !!!)
La communication par téléphone ou e-mail semble totalement inexistante depuis le départ.
Résultat, un été sans moto, une amer sensation d'être pris en otage par des gens qui s'en foutent complètement et une condamnation aux transports en commun aux rotations réduites, car période estivale, pour aller au travail. </t>
  </si>
  <si>
    <t>12/08/2018</t>
  </si>
  <si>
    <t>clientronchon-77198</t>
  </si>
  <si>
    <t>UN CONTACT CATASTROPHIQUE, DES PRATIQUES DISCUTABLES, SYNTHESE D'UNE APPROCHE COMMERCIALE. 
Il y a 10 ans, j'étais sociétaire de la MACIF, pendant plusieurs années. Du fait d'une agence de proximité. J'y suis retourné demander un devis.
Si l'accueil était courtois. 
L'entrée en matière a été rapide
NOUS, ON FAIT LE TRI DES SOCIETAIRES À L'ENTRÉE
Soyons clair, cela s'appelle de l'INTIMIDATION
Sans moins être instructif comme entrée en matière pour un éventuel client. J'ai vite trouvé les cohérences, après 4 allée-retours sur plusieurs jours.
Au regard d'un tarif attractif et de demandes claires. Je me suis formalisé de la lecture des conditions générales pour éclaircir des points très ambiguës, voir flagrant d'incohérence, avec mes demandes. 
Et d'observer le type de clientèle. Entre autres demandes de mon interlocutrice. Qui se voulait professionnelle. Elle a vite trouvé la limite de ses contradictions.
Dès que j'ai demandé des explications et soulevé des incohérences. Celle-ci allant jusqu'à brandir la radiation de sociétaire sans motif, au delà de faire valoir leurs droits ???? Propos plus qu'interessant, pour moi qui ne l'était pas encore ! 
Entre autre contradiction totale des propos tenus et autres écrit précédent. Même à quelques heures d'intervalles.
Quant à la clientèle composée de personnes âgées ou d'origine étrangère. 
Bref, de personnes fragile ; incapable de faire face à un argumentaire étayé de bonne ou mauvaise foi. 
Globalement, c'est cohérent
1 - on n'aime pas les contestataires qui cherchent entre les lignes,
2 - le devis ne correspondait pas à l'un des points principal de ma demande. Ce qui engendrait un biais d'assurance
3 - on privilégie les personnes fragiles, (base de ma souscription initiale. Faisant comme pour moi ! Mon interlocutrice à vite changé d'attitude)
4 - Ce n'est pas la mauvaise foi, qui étouffe votre interlocuteur
5 - On héritera pas à utiliser l'intimidation
6 - A défaut on vous radiera, si vous avez des sinistres, même en faisant valoir vos droits
Et ce n'est manifestement qu'un avant goût, d'une approche commerciale, sans relation contractuelle. 
Qu'en est-il ensuite ?
Je remercie la MACIF pour cette aperçu de la relation client, avant même de le devenir. 
Pour moi, qui y suis très attaché dans les services ! 
Attachement que mon interlocutrice avait évidemment mis en avant, après lui en avoir fait part !
Les promesses n'engagent qui ceux qui y croient !
Les réalités semblent toutes autres.
TRES DEÇU</t>
  </si>
  <si>
    <t>28/06/2019</t>
  </si>
  <si>
    <t>francois-c-127152</t>
  </si>
  <si>
    <t>je suis dans l'ensemble satisfait des prix et des conditions mais manque quand meme un petit plus sur l'information avant la souscription de la part des conseillers , je viens de perdre 6000 euros avec mon piaggio mp3 de 2019 simplement parsque l'on ne mavait pas conseillé sur la clause panne et casse moteur , et croyez moi sa fait mal de perdre autant dargent juste à cause d'une clause a 3 euros de plus mensuel, 
j'en garderai un mauvais souvenir soyez en sur , mais je reste fidèle malgrès tout ne me demandez pas pourquoi je le sais meme pas , peut etre parsqu'il faut juste une assurance ??</t>
  </si>
  <si>
    <t>reda-b-114673</t>
  </si>
  <si>
    <t xml:space="preserve">je ne suis pas satisfait du services les prix augmente sans aucune raison .
ON EST EN CONFINEMENT DEPUIS 2020 !! 
c'est une honte !   
envoyer moi les statistiques de la préfectures de la vienne 86. </t>
  </si>
  <si>
    <t>24/05/2021</t>
  </si>
  <si>
    <t>tonio-107900</t>
  </si>
  <si>
    <t xml:space="preserve">Très très cher.
 Qualité du service proche du néant. Compter 4 mois minimum pour l'étude du devis d'une prothèse dentaire, s'ils n'egarent pas votre dossier.. 
Seule qualité : l'amabilité des personnels de leurs bureaux de Poitiers. 
Pour le reste, 0 pointé. 
</t>
  </si>
  <si>
    <t>24/03/2021</t>
  </si>
  <si>
    <t>hamdi-m-115596</t>
  </si>
  <si>
    <t xml:space="preserve">Je suis entièrement satisfait du service proposé , rapide et efficace ainsi que des prix attractifs je le recommanderai à mes proches si besoin. Cordialement  </t>
  </si>
  <si>
    <t>le-calvez-v-108740</t>
  </si>
  <si>
    <t>Devis d'un certain montant ne correspondant pas au contrat final qui est supérieur bien évidemment. Je suis très déçue même si un petit geste commercial a été fait la différence entre le devis et le contrat reste quand même de 120 euros (preuve à l'appuie et fournie au service réclamation). N'ayant plus le choix j'ai validé le contrat mais dès que je peux je change d'assurance car je n'ai plus confiance.</t>
  </si>
  <si>
    <t>31/03/2021</t>
  </si>
  <si>
    <t>marco14-138660</t>
  </si>
  <si>
    <t>Je suis à l'AFER depuis   2003.
En 2005 lorsque j'avais un besoin de trésorerie, je faisait la demande à mon gestionnaire de contrat et j'avais l'argent dans les trois jours, pui s les délais se sont allongés pour passer à environ 10 jours progrès oblige!
J'ai fait une demande de trésorerie qui a été finalisée le 13 octobre et je n'ai toujours pas reçu mon argent le 31 octobre .
Je trouve ce délai beaucoup tro plong car je trouve que mon épargne doit être immédiatement disponible en cas d'aléas.
J'avoue que j'ai un peu peur de laisser mon argent à l'AFER car je trouve qu'il y a beaucoup d'avis moyen et mauvais sur l'AFER sur ce site internet.
Le reproche que je fais est évidemment detiné à la maison mère à Paris et non à mon gestionnaire basé à Rouen qui a toujours répondu rapidement à toute mes attentes.
Ilserait peut-être temps de remplacer le Président actuel de l'AFER par un autre plus sensible aux souhaits de ses adhérents.
Je ne manquerai pas de menionner dans cette tribune le délai qu'il me faudra pour obtenir un remboursement partiel d'épagne dès que j'aurai reçu mon argent et si je dois attendre trop longtemps je n'exclue pas le fait de récupérer la totalité de mes avoirs placés à l'AFER
pour les mettre à un endroit où l'herbe est plus verte.</t>
  </si>
  <si>
    <t>Afer</t>
  </si>
  <si>
    <t>31/10/2021</t>
  </si>
  <si>
    <t>sass-117513</t>
  </si>
  <si>
    <t>Je déménage d'un hlm à une villa hyper sécurisée et mon contrat d'assurance augmente de 90 euros pour soit disant "adresse à risque" de plus le changement d'adresse est payant. J'ai vite résilié merci la loi Hamon et il est temps de se mettre à jour chez l'olivier assurance !!!</t>
  </si>
  <si>
    <t>18/06/2021</t>
  </si>
  <si>
    <t>jean-pierre-s-137446</t>
  </si>
  <si>
    <t xml:space="preserve">Bon qualité prix rapide en plus il appelle desuite sur le devis et pour la souscription je vais reconnande april  pour mes amiset ces tres bien il sont a l'écoute direct bravo a vs </t>
  </si>
  <si>
    <t>elya973-80260</t>
  </si>
  <si>
    <t>Résiliation de mon contrat d'assurance souscrit en ligne sans même m'en informer, motif invoqué les documents fournis par mon ancien assureur n'étaient pas conformes. J'ai conduis pendant deux semaines sans assurance dans l'ignorance totale!!</t>
  </si>
  <si>
    <t>21/10/2019</t>
  </si>
  <si>
    <t>01/10/2019</t>
  </si>
  <si>
    <t>tsogbe-a-109384</t>
  </si>
  <si>
    <t xml:space="preserve">Très rapide et envoie dans les temps de la carte verte.
C'est ma première souscription alors j'attends de voir le niveau des garanties souscrites. 
Pour l'instant je ne peux que recommander...
</t>
  </si>
  <si>
    <t>07/04/2021</t>
  </si>
  <si>
    <t>fredbl-51791</t>
  </si>
  <si>
    <t>Et voila!
1 ans de contrat auto auprès de cet assureur et toujours aucune possibilité d'accéder à mon espace client, et ce malgré mes relances courriels et téléphoniques.
Et, bien évidemment, aucune solution proposée ni aucune échéance.
Tout juste, au début, quelques explications vaseuses sur un problème de remise à niveau du programme informatique.
Puis, plus de nouvelles de qui que ce soit pour savoir où en est la situation.
Mademoiselle Nora du service client s'est volatilisée.
Par contre, ma cotisation, elle, a bien augmenté de 17,74€ à l'échéance du contrat.
Là, aucun problème informatique! Tout fonctionne parfaitement.</t>
  </si>
  <si>
    <t>01/01/2018</t>
  </si>
  <si>
    <t>cat-132598</t>
  </si>
  <si>
    <t xml:space="preserve">Efficacité.  Prix excellent, réactivité. 
C'est très  bien.  A voir si le pric continue de baisser avec le bonus. Et en cas de sinistre la capacité à réagir </t>
  </si>
  <si>
    <t>elm--112050</t>
  </si>
  <si>
    <t xml:space="preserve">Bonjour 
Cela fait bientôt 1 ans que j’essaye de résilier l’assurance auto , et à chaque fois c’est le même cinéma 
Avez vous envoyer les documents ?
Oui !
Non on n’a rien reçu !
</t>
  </si>
  <si>
    <t>Pacifica</t>
  </si>
  <si>
    <t>29/04/2021</t>
  </si>
  <si>
    <t>vanessa-p-128478</t>
  </si>
  <si>
    <t xml:space="preserve">Personne contactée par mail très agréable et réactive. 
Tarifs très intéressants. 
À voir dans le temps mais pour l'instant je suis plus que satisfaite. </t>
  </si>
  <si>
    <t>18/08/2021</t>
  </si>
  <si>
    <t>rose-69155</t>
  </si>
  <si>
    <t>Je reprends l'avis de Mikado avec lequel je suis entièrement d'accord. La façon qu'a MUTAVIE de gérer l'argent des autres est honteux, cette gestion est inconsciente, incompétent ou tout simplement méprisante.</t>
  </si>
  <si>
    <t>05/12/2018</t>
  </si>
  <si>
    <t>01/12/2018</t>
  </si>
  <si>
    <t>regis-b-109668</t>
  </si>
  <si>
    <t>Mon véhicule est immobilisé pour un mois en réparation sous garantie (rupture de stock de la pièce de pont arrière). Le garage concessionnaire me prête un véhicule de courtoisie mais je dois l'assurer en utilisant (comme ils sont habitués à le faire) mon assurance véhicule habituelle appliqué au nouveau véhicule de prêt. Refus de votre part car il s'agit de réparation et non de sinistre! Le garage a une couverture professionnelle groupe (3500€ de franchise + totalité de TVA) inenvisageable car trop risqué pour un particulier. Cette anomalie me fait marcher à pieds pendant 1 mois alors que toutes mes assurances sont regroupées chez vous. Autant vous dire ma frustration et mon mécontentement!</t>
  </si>
  <si>
    <t>08/04/2021</t>
  </si>
  <si>
    <t>nono62-130016</t>
  </si>
  <si>
    <t>Bien par rapport aux assurances en ligne et low-cost, mais peut mieux faire quand même. Chez PACIFICA auparavant, encore plus de soucis de papiers et de demandes pour n’être pris en charge que difficilement ou pas du tout.
Les inscriptions sont obligatoirement faites par un banquier qui transmet à un assureur. Tout est au téléphone ou par papier. Les refus de prise en charge sont nébuleux. La vétusté est de mise. On peut sûrement trouver mieux encore...</t>
  </si>
  <si>
    <t>Crédit Mutuel</t>
  </si>
  <si>
    <t>29/08/2021</t>
  </si>
  <si>
    <t>dwazus-77685</t>
  </si>
  <si>
    <t>interiale a par les standardiste  qui n ont accès a rien tout est nul les délais de traitement pour a la fin avoir un refus injustifié du service gestionnaire</t>
  </si>
  <si>
    <t>Intériale</t>
  </si>
  <si>
    <t>17/07/2019</t>
  </si>
  <si>
    <t>01/07/2019</t>
  </si>
  <si>
    <t>boucha-f-110173</t>
  </si>
  <si>
    <t>satisfait du service rapide clair on peux choisir nos options et on peux choisir la date du prelevement rapidite de paynant a tout heure cordialement Mr Boucha</t>
  </si>
  <si>
    <t>12/04/2021</t>
  </si>
  <si>
    <t>augustin-f-105963</t>
  </si>
  <si>
    <t>les prix me convient  je continuerais chez vous ci les prix  reste  correctes cordialement  que les démarches sois rapide et sans problèmes . recevez mes salutations</t>
  </si>
  <si>
    <t>09/03/2021</t>
  </si>
  <si>
    <t>loiseau-87613</t>
  </si>
  <si>
    <t>A fuir. Service nul.</t>
  </si>
  <si>
    <t>25/02/2020</t>
  </si>
  <si>
    <t>michel-d-111735</t>
  </si>
  <si>
    <t>Grosse augmentation tous les ans.
après un sinistre non responsable, je dois avancer les frais de réparations" honteux".
Le montant que l'assurance m'a remboursé ne correspond pas au montant que j'ai payé, obligé de faire une réclamation pour me faire rembourser la différence.</t>
  </si>
  <si>
    <t>26/04/2021</t>
  </si>
  <si>
    <t>farid--96943</t>
  </si>
  <si>
    <t>Assureur sérieux avec un prix compétitif. Dossier sinistre réglé assez rapidement. Par contre aucun détail sur le remboursement et la franchise..........</t>
  </si>
  <si>
    <t>02/09/2020</t>
  </si>
  <si>
    <t>jerome-98225</t>
  </si>
  <si>
    <t>En 3 années je n'ai eu aucun sinistre donc pas d'avis sur la gestion des sinistres. Néanmoins, que ce soit à la mise en place du contrat ou lors d'un appel pour modifier les options, le service par téléphone a été professionnel et efficace. Malheureusement les tarifs ont beaucoup augmenté... de 385€ en 2017 on est à 536€ en 2020, c'est exagéré !! Je quitte Direct Assurance pour cette raison.</t>
  </si>
  <si>
    <t>linkn-55062</t>
  </si>
  <si>
    <t>Assurance a fuire en cas de sinistre vous ne serais jamais remboursé .les long fils d attente au telephone et un personnel qui sert a rien envoie les gens se balader.</t>
  </si>
  <si>
    <t>01/06/2017</t>
  </si>
  <si>
    <t>emmanuel-h-105478</t>
  </si>
  <si>
    <t xml:space="preserve">Simple pratique, juste dommage de prélever 3 mois d'un coup                                                                                           </t>
  </si>
  <si>
    <t>04/03/2021</t>
  </si>
  <si>
    <t>guival35-77466</t>
  </si>
  <si>
    <t>Très mauvaise mutuelle avec un service client complètement
incompétent
je ne comprends qu une mutuelle comme celle ci existe encore
impossible d avoir un chargé de clientele qui puisse répondre a mes demandes malgré mes appels journaliers</t>
  </si>
  <si>
    <t>Mercer</t>
  </si>
  <si>
    <t>09/07/2019</t>
  </si>
  <si>
    <t>l'haricot-101839</t>
  </si>
  <si>
    <t>J'aurais apprécié un ton plus aimable patient et courtois de la part de la dame qui ma répondue au téléphone inutile d'en rajouter au stress causé par la panne pour le reste tout est parfait</t>
  </si>
  <si>
    <t>24/12/2020</t>
  </si>
  <si>
    <t>01/12/2020</t>
  </si>
  <si>
    <t>sgosgosgo-102092</t>
  </si>
  <si>
    <t>J'ai eu trois retraits partiels à faire en 2020, sur un contrat qui était nantis jusqu'à peu. 
Le premier retrait a mis un peu de temps (un peu plus d'un mois) car la levée du nantissement venait de se faire, ça semble avoi nécessité un traitement manuel, et il n'était pas possible de demander simplement le retrait sur le (nouveau) site internet mais il fallait faire une demande sur papier, et attendre (car le support téléphonique n'a pas été d'une grande aide).
Les 2 autres retraits  ont pu être demandé sur le site internet, et ont été rapides (une dizaine de jours après la demande, l'argent était sur mon compte bancaire).   
Donc, sauf cas particulier, les retraits me semblent fonctionner correctement !</t>
  </si>
  <si>
    <t>02/01/2021</t>
  </si>
  <si>
    <t>01/01/2021</t>
  </si>
  <si>
    <t>zenague-c-133584</t>
  </si>
  <si>
    <t xml:space="preserve">Service téléphone très compétent et réactif, caractère prix raisonnable. Je pense que ma souscription à cette assurance sera un très bon choix pour l’avenir </t>
  </si>
  <si>
    <t>sinclair30-57662</t>
  </si>
  <si>
    <t>assurbonplan !!! cela fait presque 1 mois que j'attends mon avis d échéance et un relevé d'information pour ma moto.Au téléphone on prends mes coordonnées mais rien ne se passe;Par email pas de réponse non plus.il y a t il quelqu'un qui bosse chez eux ?
Voici mon n° client 547897647 si pas de réponse je résilie ....C'est dans mon droit vu que vous ne respectais pas l'article L.113-15-1 du codes des assurances.</t>
  </si>
  <si>
    <t>Assur Bon Plan</t>
  </si>
  <si>
    <t>graveline-a-108150</t>
  </si>
  <si>
    <t xml:space="preserve">Malheureusement, le payement mensuel est plus cher que l'annuel, sinon en soit assez bon prix par rapport au autre assurance.
                                </t>
  </si>
  <si>
    <t>26/03/2021</t>
  </si>
  <si>
    <t>kellye-94395</t>
  </si>
  <si>
    <t>Nul ! 
Mettent en doute le rapport de l'expert pour ne pas rembourser. 
Je résilie très vite.
Je regrette d'avoir changé d'assurances. 
J'avais mis tous mes contrats.</t>
  </si>
  <si>
    <t>17/07/2020</t>
  </si>
  <si>
    <t>decraene-j-128643</t>
  </si>
  <si>
    <t xml:space="preserve">Un accueil chaleureux avec des personnes très sympathique et des explications très précises sur le contrat et je conseillerais comme une bonne assurance merci pour votre accueil 
</t>
  </si>
  <si>
    <t>19/08/2021</t>
  </si>
  <si>
    <t>yaels-69990</t>
  </si>
  <si>
    <t>désastreux!! des interlocuteurs qui ne savent pas de quoi ils parlent, qui nient avoir reçu un recommandé et qui vous raccroche au nez
J'ai adressé un dossier complet pour mon frère et moi même il y a deux mois</t>
  </si>
  <si>
    <t>Cardif</t>
  </si>
  <si>
    <t>07/01/2019</t>
  </si>
  <si>
    <t>01/01/2019</t>
  </si>
  <si>
    <t>patrick-m-125199</t>
  </si>
  <si>
    <t>satisfait du service, du prix et de la rapidité. tout est parfait.
Disponibilité sur le chat impeccable
rapidité de la mise en place de l'assurance
merci</t>
  </si>
  <si>
    <t>28/07/2021</t>
  </si>
  <si>
    <t>isalinda-f-107021</t>
  </si>
  <si>
    <t xml:space="preserve">très satisfaite de leurs services au niveau prix c'est assez accecible pour tout le monde et service très efficace je recommanderai très fortement direct assurance a des amis et même parrainer   </t>
  </si>
  <si>
    <t>18/03/2021</t>
  </si>
  <si>
    <t>alain-51456</t>
  </si>
  <si>
    <t>Mutavie   j ai effectué une demande de retrait sur mon assurance vie cela va faire 15 jours et toujours rien 
inadmisible ce n est plus ce que c etait !! pour les interets  mieux ailleurs !!</t>
  </si>
  <si>
    <t>19/01/2017</t>
  </si>
  <si>
    <t>01/01/2017</t>
  </si>
  <si>
    <t>choulak-l-112215</t>
  </si>
  <si>
    <t xml:space="preserve">Je suis satisfaite du service et de la prestation (téléphonique et Web)
Les prix sont raisonnables 
L'espace personnel est pratique et facile à utiliser </t>
  </si>
  <si>
    <t>30/04/2021</t>
  </si>
  <si>
    <t>paul-77455</t>
  </si>
  <si>
    <t>Il suffit de vivre un sinistre pour se rendre compte de la qualité de son assurance et là, Pacifica met la barre très haute ! Gestion du dossier catastrophique, cabinet d'expert en sous traitance à bannir... Même assurer tous risques, ce n'est jamais assez : Oui monsieur, tous risque "initial" donc pas de voiture de prêt, ça à votre charge, et ça sans parler du rapport de l'expert à pleurer (ou rire), ça dépend notre prise de recul. Bref, je vais avec ma plus grande joie TOUT résilier chez PACIFICA.</t>
  </si>
  <si>
    <t>david10-62929</t>
  </si>
  <si>
    <t>Bonjour,
RQTH en 2012-Invalidité catégorie 2 au 01/02/2017 - l'expert médecin conseil me délivre un taux global de 63 % ALORS que le taux de prise en charge CARDIF est de 66 % - Indications expert 100% professionel d'incapacité à exercer toutes activités et donc de recevoir toutes autres sources de revenus que les 1000 Euros mensuels de la SS pour l'invalidité. 50 % de taux d'incapacité fonctionnelle avec : Dires Expert Cardif : Assurée présente un ensemble de sévères pathologies évoluant depuis 2012 avec asthme sévère, HTA mal équilibrée, syndrome poly-arthrosique déclaré et particulièrement douloureux ainsi que divers troubles digestifs......
Avec tout cela, je recois de la CARDIF un courrier simple m'indiquant que leur EXPERT MEDECIN CONSEIL a estimé que je n'entrais pas dans le champs des 66 % de taux alors que ledit EXPERT m'en a octroyé, (au pif) un taux de 63 % - bien pratique pour CARDIF afin d'éviter de prendre en charge mes remboursements....
Je suis dégoutée car j'avais une grande confiance dans cet assureur CARDIF BNP - j'ai vraiment le sentiment de m'être fait rouler ---
Que faites vous pour contester cette décision car je refuse cet état de chose honteuse.
Merci de vos répones</t>
  </si>
  <si>
    <t>10/04/2018</t>
  </si>
  <si>
    <t>swan40-63474</t>
  </si>
  <si>
    <t>Je suis scandalisée d une telle assurance,  n étant pas intervenue pendant mon inondation durant 7j. Un expert ne daigne pas se déplacer et vous demande par téléphone d évaluer les dégâts. Pour finir il vous évalue que le prix du matériel et comprend que vous même ferez les travaux alors que vous êtes une femme handicapée moteur. Le pire c est qu' il vous soutient que vous avez dit que vous même tiendrez la main d oeuvre alors qu' en aucun cas, il n y a eu mot dit sur la main d oeuvre. Il vous laisse un message au final pour vous demander de lui faire parvenir un devis. 48h après je lui tel et une de ses associés m informe que mon dossier est clos et envoyé à mon assurance.  C est une honte, dés cette semaine, je change d assurance. Plusieurs personnes de mon entourage n ont jamais été indemnisé non plus.  Si tu as le feu ou inondé après les horaires de bureau, débrouille toi tout seul. Ce n'est pas digne d une assurance et je plaint les personnes accidentées sur la route si ils sont assurés chez eux. Dés lundi, je retire mes 4 contrats chez eux.</t>
  </si>
  <si>
    <t>Sogessur</t>
  </si>
  <si>
    <t>22/04/2018</t>
  </si>
  <si>
    <t>reglisse-103668</t>
  </si>
  <si>
    <t>lorsqu'il décroche le téléphone, coup du hasard? réponse logiciel en panne et ne peuvent pas nous renseigner !
beaucoup plus rapide lorsque vous souscrivez un contrat . mais quandvous avez besoin de parler de ce contrat pour un rachat ,  plus personne !!!
depuis  une semaine je fais 4 fois par jour le numéro , je reste en ligne sans que personne ne décroche , un disque ...........</t>
  </si>
  <si>
    <t>Generali</t>
  </si>
  <si>
    <t>04/02/2021</t>
  </si>
  <si>
    <t>01/02/2021</t>
  </si>
  <si>
    <t>latoya14390-56405</t>
  </si>
  <si>
    <t xml:space="preserve">je viens de résilier mon contrat via la loi chatel 
je ne est jamais u un accident sa fait trois ans que je suis cher eux je payer 575.56 est je suis passer a 728.82
voila est je venais de prendre 5% de bonus dans l'année 
je suis arriver cher direct assurance pour 478 euros par ans avec les même garantie
</t>
  </si>
  <si>
    <t>01/08/2017</t>
  </si>
  <si>
    <t>brigitte-s-127522</t>
  </si>
  <si>
    <t xml:space="preserve">Je cherchais une assurance moto pour assurer mon véhicule que je n'utilise que pour les loisirs
Assurance facile d'accès, simple à remplir, formulaire simplifié
Le tarif correspond à mes besoin
Dans l'immédiat tout c'est bien passé
</t>
  </si>
  <si>
    <t>11/08/2021</t>
  </si>
  <si>
    <t>brahim-69552</t>
  </si>
  <si>
    <t xml:space="preserve">services sérieux et mutuelle très avantageuse en terme de prix et de service. </t>
  </si>
  <si>
    <t>19/12/2018</t>
  </si>
  <si>
    <t>jeff62-104233</t>
  </si>
  <si>
    <t>Les interlocuteurs sont très compétents dans les renseignements et l'attente téléphonique très courtes.
Concernant les tarifs, feux ci restent  compétitifs par rapport aux autres mutuelles sur le marché</t>
  </si>
  <si>
    <t>16/02/2021</t>
  </si>
  <si>
    <t>cikibal-56721</t>
  </si>
  <si>
    <t>Assurance à fuir, vous payez uniquement la carte verte, n ayez aucun accrochage AMV vous saurais d aucune utilité. Il sont très efficaces pour vous bloquer la vente de la moto, (maintenant elle doit passer devant un expert), et vous radié. Vous devez croire que je suis frustrée parce qu'il on pas répondu à mes attentes mais en gros pour faire court, une personne mes rentrées dedans en marche arrière pour prendre mon stationnement et j étais immobile sur la moto, ils ont conclu que je sortais de mon stationnement donc j étais en tord....</t>
  </si>
  <si>
    <t>17/08/2017</t>
  </si>
  <si>
    <t>saousan-98294</t>
  </si>
  <si>
    <t>Direct assurance attiré ses clients au tout début avec un prix intéressant puis il suffit d'avoir le moindre incident, ils font passer ta cotisation au double. 
Puis si tu veux résilier ton contrat (lois Hamon ou autre ..) ils trouvent n'importe quel moyen pour ne pas résilier ton contrat</t>
  </si>
  <si>
    <t>03/10/2020</t>
  </si>
  <si>
    <t>alejandro-c-123732</t>
  </si>
  <si>
    <t>Il n'y pas de permanence telephonique au weekend en sortie de vancances!!!!
Très mal!!!!!!
Je peux comprendre que n'es pas economique tout l'anne, mais en été, il faut. On utilse la voirure et on achete l'assurance pour ça. Dans le cas que vou ne savez pas.</t>
  </si>
  <si>
    <t>18/07/2021</t>
  </si>
  <si>
    <t>paul-francois-f-127933</t>
  </si>
  <si>
    <t>Les prix sont chère en assurance "tous risques" .
Le service clients est TOP et facile a contacter .
Globalement satisfait dans l'ensemble de cette assurance .</t>
  </si>
  <si>
    <t>13/08/2021</t>
  </si>
  <si>
    <t>xaka-99944</t>
  </si>
  <si>
    <t xml:space="preserve">Bonjour 
De mon côté je cotise à une assurance Habitation, la plus haute formule et j’ai un service  inexistant  où je suis obligée d’appeler pour savoir où en est mon dossier en sachant que je suis la victime
Je suis allée chez eux en pensant qu’ils étaient différents mais pas sur cet apect </t>
  </si>
  <si>
    <t>10/11/2020</t>
  </si>
  <si>
    <t>bob89-100804</t>
  </si>
  <si>
    <t>ne répond pas au demande les remboursement ne ce fond pas correctement et il ne respect pas les courrier en AR les attente téléphonique interminable  pas de remercîment</t>
  </si>
  <si>
    <t>30/11/2020</t>
  </si>
  <si>
    <t>marimuthu-m-124994</t>
  </si>
  <si>
    <t>J aimerai que l'option des pannes à 0 Km soit déjà pris en question et non une option pour les nouveaux clients. Cela aiderait je pense à certains clients de venir chez vous?</t>
  </si>
  <si>
    <t>27/07/2021</t>
  </si>
  <si>
    <t>sylmio-60307</t>
  </si>
  <si>
    <t>la matmut la seule assurance qui vire les clients fidèles depuis 18 ans et qui paient leur cotisation</t>
  </si>
  <si>
    <t>09/01/2018</t>
  </si>
  <si>
    <t>andre-c-123093</t>
  </si>
  <si>
    <t>Pour l'instant je suis très satisfait de Direct Assurance, s'il y avait une option 0 Kilomètre pour l'assistance ce serait parfait car je ne roule qu'autour de chez moi (60km) et mon véhicule n'est pas tout jeune..</t>
  </si>
  <si>
    <t>11/07/2021</t>
  </si>
  <si>
    <t>coco22560-72285</t>
  </si>
  <si>
    <t>Dégâts dus à la grêle en octobre 2018 sur le toit de ma véranda La MAIF m'adresse à un partenaire qui après plusieurs relances finit par me dire en décembre 2018 qu'il ne peut pas réaliser ce type de travaux Je recontacte la MAIF qui me demande de trouver un réparateur et de lui adresser un devis Ce que je fais Après quelques semaines la MAIF me rappelle pour me dire que le devis étant trop élevé 2400€ elle mandate un expert Expert qui m'appelle le lendemain et commence par me dire qu'elle est allée voir sur le site de Leroy Merlin le prix des plaques de toit  100€ pièce Mon artisan les facture 290€ mais démontées remontées et les plaques détériorées évacuées Ce qui est loin de me paraitre excessif puisque cela nécessite une journée de travail à deux ouvriers L'"experte" après m'avoir demandé des photos supplémentaires rend son rapport  la grêle est bien responsable des dégâts mais ma véranda ayant plusieurs années elle déduit du montant de la réparation 40% de vétusté (10% par an) Le prix des plaques comparé à celui de Leroy merlin a disparu c'est la vétusté qui permet à la MAIF de se dédouaner du remboursement du dégât climatique Je précise que la véranda est bien assurée contractuellement Ma maison ayant été construite en 1975 je vous laisse imaginer le coefficient de vétusté appliqué en cas de destruction par un incendie par exemple Nous sommes en mars 2019 5 mois après le sinistre la MAIF m'appelle aujourd'hui suite à courrier de contestation daté de février 2019 pour me signaler qu elle mandate une nouvelle expertise  Tout cela pour moins de 1000€ de divergence sur le montant des réparations Deux expertises plutôt que proposer un remboursement en adéquation avec le prix des travaux Constat  la MAIF préfère payer des experts plutôt que de rembourser correctement les sinistres de ses sociétaires Vive l'assureur militant, militant pour Leroy Merlin</t>
  </si>
  <si>
    <t>19/03/2019</t>
  </si>
  <si>
    <t>rajossy1970-97027</t>
  </si>
  <si>
    <t xml:space="preserve">Bonjour je recommande car très rapide et les explications sont claires et mes interlocuteurs sont tout simplement très accueillants et sympathiques,une fois mon dossier complet en plus du mail les papiers sont arrivés très rapidement par courrier .
Ils savent de quoi ils parlent et un plus et non des moindres en cas de besoin quand j'appelle si il y a trop d'attente juste laissé un message et on me rappel vraiment top bonne journée </t>
  </si>
  <si>
    <t>04/09/2020</t>
  </si>
  <si>
    <t>alex31700-123315</t>
  </si>
  <si>
    <t xml:space="preserve">Attention compagnie d'assurance à fuir !!! Un véhicule me percute dans un rond point la case 7 et 12 sont cochés et on me déclare 100% responsable du sinistre alors que dans un rond point la case 12 prévoit soit 100%,50% ou 33% de part de responsabilité. Visiblement vous avez tranché. Merci direct assurance 800 euros de franchise 25% de malus pendant 5 ans pour un accident dont je ne suis pas responsable mais où vous avez décidé que j'avais tous les tords. Ce qui est énorme c'est que le choc sur mon véhicule est à l'arrière droit et celui de l'autre véhicule sur le pare choc avant ce qui veut bien dire qu'il m'est rentré dedans en s'insérant dans le rond point sans respecter la priorité mais visiblement vous ne voulez rien entendre. Comment osez-vous me dire au téléphone que vous défendez vos assurés ? C'est faux !!!! Je saurais le faire savoir dans mon entourage. </t>
  </si>
  <si>
    <t>avrixe-113098</t>
  </si>
  <si>
    <t xml:space="preserve">Les prix sont attractifs, à voir si ces prix restent aussi bon après la 1er année.
Le contact avec la conseillère pour la souscription était très bon, personne sympathique; aimable et très professionnel </t>
  </si>
  <si>
    <t>17/06/2021</t>
  </si>
  <si>
    <t>jumeaux-63487</t>
  </si>
  <si>
    <t xml:space="preserve">bonjour 
ayant un enfant handicapé ou ses soins s effectue principalement en milieu hospitalier et a l heure actuel il est suivi par un orthodontiste a l hôpital st julien a petit Quevilly , l hôpital me donnait une facture que je dois renvoyer a ma mutuelle jusqu alors aucun souci avec mon ancienne mutuelle et j étais remboursé dans la semaine et la depuis sa visite du 15mars 2018 toujours pas de remboursement , on les appelle ce matin maintenant il reclame des papiers de la CPAM pourtant ils ont bien la teletransmission mais veulent rien savoir de plus la CPAM par l hôpital on recu que la part que eux doivent rembourser et non les frais réelle et sur la facture que je leur ai adressé tout y figure montant réelle base de remboursement de la CPAM et restant a charge du patient mais non ca suffit pas et quand on appelle on se fait envoyé ballader meme en leur expliquant que sur le décompte de la CPAM le montant total ni figure pas donc aaplé l hôpital et la CPAM et ils me disent que la mutuelle est de mauvaise fois et que c est pour trainer la chose sauf que j y retourne pour le mois de mai a l orthodontiste et si la mutuelle traine a chaque fois pour le remboursement super.
CORDIALEMENT
</t>
  </si>
  <si>
    <t>23/04/2018</t>
  </si>
  <si>
    <t>mrdho-88132</t>
  </si>
  <si>
    <t xml:space="preserve">J'ai demandé des documents dans le cadre d'une renegociation de crédit, après un mail, deux appels et un recommandé, ils ont répondu 3 mois plus tard en me joignant un documents qui n'était pas celui demandé. </t>
  </si>
  <si>
    <t>MetLife</t>
  </si>
  <si>
    <t>09/03/2020</t>
  </si>
  <si>
    <t>01/03/2020</t>
  </si>
  <si>
    <t>jcn-108657</t>
  </si>
  <si>
    <t xml:space="preserve">
La souscription en ligne est simple et facile à réaliser, en cas de doute les conseillers sont très réactifs et compétents pour vous aider dans votre démarche. 
J'ai divisé par deux le tarif de mon contrat pour quasiment les mêmes avantages. 
</t>
  </si>
  <si>
    <t>537150-108020</t>
  </si>
  <si>
    <t>Super claire explication, la fille Kadija au téléphone est très mignonne et la voix est divine.   Elle a bien expliqué les détails aux détails, sans mauvaises habitudes personnelles</t>
  </si>
  <si>
    <t>25/03/2021</t>
  </si>
  <si>
    <t>you-135213</t>
  </si>
  <si>
    <t xml:space="preserve">Éviter cette assurance 1an que j'attends un remboursement pour un sinistre non responsable et on dis tout les mois qu'il faut attendre ! Pas sérieux, pas aimable. La seule solution pour être remboursé avec eux c'est la justice ! </t>
  </si>
  <si>
    <t>30/09/2021</t>
  </si>
  <si>
    <t>baba-57564</t>
  </si>
  <si>
    <t>Jeune conducteur je souscrits puisque c est le moins cher. Un jour on me rentre dedans au feu. Prise en charge parfaite. Ouais jusqu'à l avis d échéance . Passer'de 700e a 1000e pour un accident non responsable. C est pas ce foutre de la gueul du monde ça ? En aucun cas cela est stipuler dans le contrat. Je vais donc aller à l union des consommateurs et voir avec eux pour les mètres au tribunal.</t>
  </si>
  <si>
    <t>24/09/2017</t>
  </si>
  <si>
    <t>enseignante-98305</t>
  </si>
  <si>
    <t>J'ai effectué un devis dentaire chez eux. Première surprise, le montant des rembousement a baissé par rapport aux années précédentes. Et deuxième surprise, le montant réellement remboursé et 2 fois en dessous que celui annoncé. Sincèrement, je déconseille. Je résilie chez eux sous peu et je déconseille les nouveaux fonctionnaires de prendre une mutuelle chez eux!</t>
  </si>
  <si>
    <t>michele-s-106895</t>
  </si>
  <si>
    <t>Bonjour, je suis très contente de l'adaptabilité et de de la réactivitéé de l'interlocuteur que j'ai eu en ligne.
En revanche , aucun parrainage pour les assurances habitations, c'est vraiment dommage.</t>
  </si>
  <si>
    <t>17/03/2021</t>
  </si>
  <si>
    <t>antsirabe-85673</t>
  </si>
  <si>
    <t>Impossible de dialoguer avec ces gens là? Ne répondent pas aux messages, refusent d'envoyer les cartes de mutuelle, il faut se les imprimer, si on n'a pas d'ordinateur, c'est pareil</t>
  </si>
  <si>
    <t>09/01/2020</t>
  </si>
  <si>
    <t>01/01/2020</t>
  </si>
  <si>
    <t>guillaume-b-109042</t>
  </si>
  <si>
    <t>Dommage que le prix proposé n’est pas « tout compris » il y quand même 5 ou 6 options qui font vite monter la note.. Tarif de base assez compétitif je trouve.</t>
  </si>
  <si>
    <t>03/04/2021</t>
  </si>
  <si>
    <t>titite45-89683</t>
  </si>
  <si>
    <t xml:space="preserve">Ayant plusieurs Contrats chez eux, 3 voitures, habitation, juridique, j ai telephonée pour avoii un geste commercial par rapport à la situation action sanitaire actuel et ayant fait des devis ailleur et beaucoup moins chère ils n ont meme pas voulu faire un geste donc j envisage de changer </t>
  </si>
  <si>
    <t>16/05/2020</t>
  </si>
  <si>
    <t>01/05/2020</t>
  </si>
  <si>
    <t>martinez-f-123168</t>
  </si>
  <si>
    <t>Dommage que le tarif pour les societés soient plus élevés que les comptes perso rien ne justifie l écart de prix. 
Toutes fois il en va de meme chez la concurrence, vous restez compétitif.</t>
  </si>
  <si>
    <t>12/07/2021</t>
  </si>
  <si>
    <t>claire2marie1-55833</t>
  </si>
  <si>
    <t>ma mère a payé une assurance dépendance maintenant qu elle en a besoin ALLIANZ refuse la prise en charge Jai la sensation qu elle a été trompée escroquée abusée personne vulnérable atteinte de la maladie d Alzheimer Je suis très déçue</t>
  </si>
  <si>
    <t>05/07/2017</t>
  </si>
  <si>
    <t>01/07/2017</t>
  </si>
  <si>
    <t>christian-p-124163</t>
  </si>
  <si>
    <t>tout c'est bien passé, le site est d'accès facile et intuitif. Très pratique pour s'assurer en ligne. Les garanties sont exprimées de façon claires et précises.</t>
  </si>
  <si>
    <t>22/07/2021</t>
  </si>
  <si>
    <t>issam-a-129661</t>
  </si>
  <si>
    <t xml:space="preserve">Je suis satisfait de votre offre d'assistance merci beaucoup de votre confiance mais je ne suis pas sur que cela fonctionne bien avec les autres membres de la famille de votre part car je n'ai pas </t>
  </si>
  <si>
    <t>26/08/2021</t>
  </si>
  <si>
    <t>nadine-b-108802</t>
  </si>
  <si>
    <t>rapidité efficacité disponibilité à toute heure.
j'ai du régler un petit problème administratif  aussi j'ai contacté le service G M F par téléphone et je suis" tombée"  sur une charmante jeune fille qui a tout de suite compris ma demande et qui a aussitôt réglé mon problème de documents  pour les mettre à jour et me les faire parvenir par mail . 
ensuite j'ai du les signer  j'ai de suite obtenu le code par l'intermédiaire d'un monsieur  toujours par téléphone qui m'a guidé patiemment pendant que j'effectué les démarches sur mon espace client . merci à ces deux personnes  disponible alors qu'il était  au delà de 19h00.</t>
  </si>
  <si>
    <t>marie-francoise-l-112948</t>
  </si>
  <si>
    <t>Bonjour,
Comme vous pouvez le remarquer je suis surpris en 2 ans vous avez:
- augmenté la prime de la Hyundai de 31%.
-      "                    "                BMW de 28% 
Vous savez me signaler que j'ai plus de 12 ans sans sinistre, expliquez-moi pourquoi de telles augmentations.
Quant à la satisfaction des services, je n' ai de relations avec vous que pour des appels de cotisations, je ne saurai qu'en dire.
Je compte sur vous pour faire quelque chose!
Dans l'attente de vous relire.
Cordialement.</t>
  </si>
  <si>
    <t>07/05/2021</t>
  </si>
  <si>
    <t>gladys-99021</t>
  </si>
  <si>
    <t xml:space="preserve">Trés bonne assurance santé dont j'ai pu profiter grâce à mon entreprise. Service client excellent toujours joignable et à l'écoute. 
Tarifs un peu élevés cependant en individuel.
</t>
  </si>
  <si>
    <t>sebastien-r-110375</t>
  </si>
  <si>
    <t>service utilisé pour assurer rapidement ma nouvelle bmw K1100LT, je suis tres satisfait du service, simple et rapide ! devis obtenu tres rapidement en quelques minutes. je recommande vivement ce service.</t>
  </si>
  <si>
    <t>14/04/2021</t>
  </si>
  <si>
    <t>severine-b-115608</t>
  </si>
  <si>
    <t>je suis satisfaite des services que nous avons (assurance voiture, maison, et scolaire). Réponse assez rapide quand on contacte par téléphone. Assurance sérieuse</t>
  </si>
  <si>
    <t>licorne-407-63136</t>
  </si>
  <si>
    <t>Mon cauchemar a commencer en avril 2016. En effet, je possédais un contrat auto chez Axa Belgique depuis 2012, et je n'ai eu aucun soucis. Nous avons décider de changer de voiture en 2016 pour une neuve. En radiant les plaques près de mon courtier, je demande de couper l'assurance afin de pouvoir choisir une assurance ailleurs en omium. Lorsque je reviens 1 mois plus tard, j'apprends qu'en fait mon contrat a été suspendu et que suis obligée de continuer avec eux ! Je me renseigne donc pour mettre fin à leur contrat mais la date est dépassée je vois donc combien il demande en omium (3 fois le prix de ailleurs). J'espère donc juste qu'ils feront une augmentation tarifaire pour que je puisse me dégager du contrat et bien non ! Manque de bol, ma nouvelle voiture est volée le 1er mai 2017, la police radie les plaques. Je ne suis pas en omium donc je naurais rien (c'est logique) par contre je redemande de couper le contrat suite à la radiation des plaques chose qui m'est refusée !!! J'ai donc attendu la fin naturelle du contrat et même plus pour me racheter une voiture et 1 an après le vol de mon véhicule, j'apprends que la suspention serait peut-être encore d'actualité !!!  Cette assurance est un vrai cauchemar</t>
  </si>
  <si>
    <t>juslain-o-128702</t>
  </si>
  <si>
    <t>Satisfait du prix et de l'accueil. Pour la suite, on verra dans le temps. Conseillé par un ami qui n'a jamais été déçu. Première prise de contact et bonne impression. A voir pour la suite.</t>
  </si>
  <si>
    <t>gavin-r-131056</t>
  </si>
  <si>
    <t>rapide a la souscription 
dommage que le prix ne soit pas le même au téléphone qu'à la souscription en ligne.
efficace espérant que le service après vente soit bon</t>
  </si>
  <si>
    <t>kevin-f-135141</t>
  </si>
  <si>
    <t>Je suis tres satisfait niveau prix meilleur rapport qualité prix par rapport au comparatif effectué sur internet merci beaucoup sire tres pratique et rapide</t>
  </si>
  <si>
    <t>29/09/2021</t>
  </si>
  <si>
    <t>memo86-90104</t>
  </si>
  <si>
    <t>Client depuis depuis 5 ans résilie pour 2 sinistre 
premier sinistre responsable .
deuxième  non responsable ils ont juger responsable 50/50 a éviter 
prix a fuir
des insignifiant</t>
  </si>
  <si>
    <t>kimenau-l-113080</t>
  </si>
  <si>
    <t>Simple et rapide. Conseiller au téléphone très sympathique et qui explique de manière claire. Dommage qu'on ne puisse pas faire l'adhésion en ligne soi-même lors d'une immatriculation provisoire, ce qui m'a fait raté 35€ de cash back sur Igraal</t>
  </si>
  <si>
    <t>08/05/2021</t>
  </si>
  <si>
    <t>neoliane79-68604</t>
  </si>
  <si>
    <t>explication très détaillée rien a redire</t>
  </si>
  <si>
    <t>14/11/2018</t>
  </si>
  <si>
    <t>julie62-87395</t>
  </si>
  <si>
    <t>Devant tant d'incompétence et de médiocrité de la macif, j'ai fait récemment résilié tous mes contrats chez eux par mon nouvel assureur dans le cadre de la loi Hamon.
Hier, alors que la macif m'avait envoyé des courriers prenant vraisemblablement en compte mon départ de chez eux, je reçois contre toute attente, mon avis d'échéance pour l'année à venir accompagné des cartes vertes de mes véhicules???!!!!.... .
Finalement, en plus des invraisemblables problèmes que j'ai rencontrée avec la macif, je me dis que j'ai bien fait de m'enfuir!!!</t>
  </si>
  <si>
    <t>20/02/2020</t>
  </si>
  <si>
    <t>autran-56367</t>
  </si>
  <si>
    <t>Le pire chez eux c'est qu'ils ne justifie pas les factures  à payer comme les remboursements . Incompréhensibles pour une comptable !  Devis  payant non conforme à mes demandes. Sinistre degat des eaux : leur expert donne raison au crétin qui  n'a pas bien  fermé le robinet d'arrivée d'eau ....</t>
  </si>
  <si>
    <t>29/07/2017</t>
  </si>
  <si>
    <t>danielceline-90506</t>
  </si>
  <si>
    <t>Suite à un dégâts des eaux déclaré le 11/11/2019 et la mauvaise foi de l'expert Groupama l'appartement à ce jour (12/06/2020) n'est toujours pas sec malgré les multiples interventions d'une entreprise recommandée par cet expert.
Nous sommes toujours sans réponse de Groupama qui s'abrite derrière son expert qui fait trainer. Je déconseille cette assurance.</t>
  </si>
  <si>
    <t>Groupama</t>
  </si>
  <si>
    <t>12/06/2020</t>
  </si>
  <si>
    <t>ludovic-d-116789</t>
  </si>
  <si>
    <t xml:space="preserve">Satisfait complètement de votre organisme sur internet. Fluide, compréhensible, et prêt à l'emploi. Niveau des prix corrects. Bonne qualité du site... </t>
  </si>
  <si>
    <t>11/06/2021</t>
  </si>
  <si>
    <t>cyril-c-105199</t>
  </si>
  <si>
    <t xml:space="preserve">Je suis très satisfait des prix, mais je pensais que on me contacterai au vu de 3 souscription ( 2 voitures et une assurance maison ) . Mais pour joindre le service client par téléphone cela est très difficile . Temps d'attente interminable . 
</t>
  </si>
  <si>
    <t>02/03/2021</t>
  </si>
  <si>
    <t>doryann-o-133480</t>
  </si>
  <si>
    <t xml:space="preserve">RAPIDE CLAIR SIMPLE 
le site est bien fait, simple d'utilisation, accessible, montant de la prime correcte par rapport aux autres devis d'assurance auto. </t>
  </si>
  <si>
    <t>19/09/2021</t>
  </si>
  <si>
    <t>nicolas-l-115237</t>
  </si>
  <si>
    <t>Je viens de mettre en place mon premier contrat d'assurance avec Direct Assurance et je suis satisfait. Toute la démarche en ligne est clair et facile, les prix sont clairement annoncé, pas de mauvaise surprise.</t>
  </si>
  <si>
    <t>28/05/2021</t>
  </si>
  <si>
    <t>florianne-g-106457</t>
  </si>
  <si>
    <t xml:space="preserve">je souhaite résilier depuis le mois de novembre et vous refuser sans raison !!!!! je suis très déçue par vos services qui n'apportent pas de réponses complètes </t>
  </si>
  <si>
    <t>13/03/2021</t>
  </si>
  <si>
    <t>kwanhd-67116</t>
  </si>
  <si>
    <t>Service sinistre injoignable si vous avez un problème, créneaux horaires de 14h à 17h, 30 à 50 minutes d'attente, raccrochage intempestifs, 7h d'attente cumulés sur plusieurs jours pour ma part et j'ai pu échanger que quelques mots avec un conseiller, ça ne leur viens même pas à l'idée de vous recontacter</t>
  </si>
  <si>
    <t>26/09/2018</t>
  </si>
  <si>
    <t>slimi-k-107099</t>
  </si>
  <si>
    <t>Je suis satisfait par le service.
Les informations sont claires et l'interlocuteur au téléphone met le client à l'aise , répond aux différentes questions.</t>
  </si>
  <si>
    <t>christelle-c-129541</t>
  </si>
  <si>
    <t>Interlocuteur clair et précis. Prix intéressant
Nous avons 2 voitures et la maison ainsi que nous même a cette assurance et sommes très satisfait. A recommander à mon entourage</t>
  </si>
  <si>
    <t>fch-106710</t>
  </si>
  <si>
    <t>Assuré pour une prévoyance santé j'ai eu le malheur de me faire une rupture des ligaments croisés en décembre 2020, opéré début janvier 2021 avec un arrêt de travail conséquent me pénalisant fortement d'un point de vu salarial j'ai eu l'énorme surprise de recevoir dans un premier temps une réponse de prise en charge à hauteur de 52% dans un premier temps du fait d'un antécédent du genou en 2018 !!!!! Puis dans un deuxième temps Allianz me signifia que je n'aurai aucune indemnité et qu'Allianz résiliait mon contrat tout en me précisant qu'ils conservaient mes cotisations....sachant qu'il y a une famille derrière qui est pénalisée financièrement j'ai pu constater la non empathie et non humanisme de la part de cet assureur !!!!</t>
  </si>
  <si>
    <t>15/03/2021</t>
  </si>
  <si>
    <t>bouteille0-100876</t>
  </si>
  <si>
    <t>je viens d'assurer deux véhicules à cette assurance l'Olivier Assurance et je suis trés satisfait de la simplicité de ma souscription , ainsi que des tarifs compétitifs et de la rapidité de l'envoi de mes deux cartes vertes .</t>
  </si>
  <si>
    <t>02/12/2020</t>
  </si>
  <si>
    <t>corentin-76017</t>
  </si>
  <si>
    <t>Discourt de cocoon bien rodé au téléphone pour vous balader... A fuir !!! une résiliation de contrat dans les 3 mois de souscription impossible ! Que ce soit par mail ou par téléphone ... un service client désagréable qui ne répond que par des phrases toutes prêtes hors du contexte de l'appel</t>
  </si>
  <si>
    <t>17/05/2019</t>
  </si>
  <si>
    <t>01/05/2019</t>
  </si>
  <si>
    <t>de-carvalho-l-107884</t>
  </si>
  <si>
    <t>prix qui me conviennent                                                                                                    
et souscription rapide et simple.                                                                                j'espère que cela durera.</t>
  </si>
  <si>
    <t>alain13-62247</t>
  </si>
  <si>
    <t>Attention à cette Association pour la Garantie des chefs d entreprises - Association Services GSC Prestations 
GAN ASSURANCES
Et tout simplement une assurance utopique  on vous fait croire à une garantie de chef d entreprises, c est une gageure, vous êtes bon à payer comme les autres assureurs et au moment où vous avez besoin, eh bien, il faut remplir un dossier certe très bien détaillé ou toutes les possibilités sont répertorié une fois le dossier bien rempli et peaufiné, vous pensez que tout roule et tout simplement, on vous fait attendre deux à trois mois, sans signes de vie, le jour ou votre soit disant conseillé dédaigne regarder votre dossier, il vous demande le document improbable document qui n est même pas répertorié dans leur fabuleux canevas. vous lui expliquez que vous ne comprenez pas pourquoi ce document, et sans aucune explication, il botte en touche votre réponse, vous laisse sans réponse et quand vous le relancez quinze jours après et qu il vous répond, à désolé nous avons beaucoup de retard,on va re regarder votre dossier dans quelques temps, et le meilleur, le plus , le meilleur, l excellence, il va vous redemande le même document, preuve de l incompétence du système, et à ce moment là je me suis permis de douter de l organisation, et la preuve à l appuie on vous répond très très vite qu on vous refuse 
J invente  rien, j’ai tout les mails
alors futur adhérents ne faite surtout pas comme moi, vous allez être déçu le jour J
Regardez ailleurset demander des témoignages d adhérents surtout 
Fuiyez cette organisation</t>
  </si>
  <si>
    <t>Gan</t>
  </si>
  <si>
    <t>12/03/2018</t>
  </si>
  <si>
    <t>01/03/2018</t>
  </si>
  <si>
    <t>sirelor-75748</t>
  </si>
  <si>
    <t>A fuir a tout point de vue...</t>
  </si>
  <si>
    <t>09/05/2019</t>
  </si>
  <si>
    <t>rachid--98433</t>
  </si>
  <si>
    <t xml:space="preserve">Merci à marrion, j'étais plus que satisfait. Très professionnelle et disponible, très claire dans ces explications. Bravo et merci et bonne continuation à toute l'équipe. </t>
  </si>
  <si>
    <t>07/10/2020</t>
  </si>
  <si>
    <t>obb-55027</t>
  </si>
  <si>
    <t xml:space="preserve">Excellent!
J'étais victime d'un accident non responsable (mon coffre et pare choc ont été touchés). Le service sinistre m'a très bien suivi.  Les réparations ont été rapides avec un véhicule de remplacement comme neuf. Je n'ai payé aucune franchise (alors que pour d'autres assurances, on paie même si on n'est pas responsable).  Tout ça pour une assurance au tiers !
Axa, vous pouvez être sur que je vous recommanderai à toutes mes connaissances :)
Je passerai chez vous aussi l'année prochaine pour l'assurance habitation. 
</t>
  </si>
  <si>
    <t>31/05/2017</t>
  </si>
  <si>
    <t>01/05/2017</t>
  </si>
  <si>
    <t>moi-60174</t>
  </si>
  <si>
    <t>Mutuelle imposée par notre employeur, première fois que j'ai à faire avec eux et déjà des problèmes de connexion , pour mes collègues aussi...
nous avons re¢u une demande de rib pour les prélèvements alors que nous n'avons pas eu le détail des garanties ni les tarifs...</t>
  </si>
  <si>
    <t>04/01/2018</t>
  </si>
  <si>
    <t>france-107003</t>
  </si>
  <si>
    <t xml:space="preserve">Je remercie Emeline très professionnelle serviable et très aimable au téléphone.
Par contre difficile d'avoir quelque un qui réponde au téléphone ou par mail
</t>
  </si>
  <si>
    <t>pierrot-113566</t>
  </si>
  <si>
    <t>je suis satisfais des tarifs et de la rapidité de réception du devis.
tout est très bien expliqué et d'une simplicité incroyable. Je suis très content de connaitre votre assurance</t>
  </si>
  <si>
    <t>12/05/2021</t>
  </si>
  <si>
    <t>jjt-100460</t>
  </si>
  <si>
    <t xml:space="preserve">Super pub à la tété mais l'accueil ne correspond pas du tout sur montélimar pour engager des recours face à une autre assurance il faut se débrouillé tout seul 
</t>
  </si>
  <si>
    <t>22/11/2020</t>
  </si>
  <si>
    <t>tiger37-69309</t>
  </si>
  <si>
    <t>Ma belle-mère est décédée le19/10/18, j'ai fournis tous les documents à SwissLife qui a réceptionné le courrier avec AR le 29/10/18 . N'ayant aucune nouvelles j'ai contacté le service client le 06/12/18 qui comme par hasard ma informé qu'il manquais des documents que je leur avais déjà fournis . je leur renvois les dis documents par mail le 06/12/18 je reçois un AR .le 17/12/18 je rappelle le service client qui me répond que les documents reçus non pas été enregister et me demande de renvoyer les documents par mail . Le capital décès ne pourras être versé que dans un délai d'un mois a partir du moment ou le dossier seras complet A ce tarif la on peux se demander quand je pourrais régler les pompes funèbres sachant que sur les garanties du contrat le capital devais être versé en 72h</t>
  </si>
  <si>
    <t>SwissLife</t>
  </si>
  <si>
    <t>17/12/2018</t>
  </si>
  <si>
    <t>nina-121503</t>
  </si>
  <si>
    <t>Voiture disparue le 18 mai (avec dépot de plainte), retrouvée grâce à mes indications le 22 mai 2021, en très mauvais état. L'expert désigné par la MACIF - SARL JLDJ Bonnaire à Vulaines sur Seine 77870 - aux abonnés absents. La MACIF me répond tous les jours qu'ils vont l'appeler. Nous sommes le 29 juin et toujours pas de nouvelles, nous ne savons pas si ou quand l'expert va faire son rapport. Service poli mais totalement inefficace de la MACIF.</t>
  </si>
  <si>
    <t>29/06/2021</t>
  </si>
  <si>
    <t>cecile-71234</t>
  </si>
  <si>
    <t>assurée depuis 15 ans, 2 accidents en moins de 2 ans (les seuls) dont un responsable. malus a 0.90 et il me fond un devis pour assurer mon nouveau véhicule a 1600 euros à l'année, hors chez l'n de leur concurent, pour le meme véhicule, avec en plus remplacement de véhicule en cas de panne 845euros!!! Autant vous dire que je vais également résilier mes autre contrat pour aller voir ailleur!</t>
  </si>
  <si>
    <t>12/02/2019</t>
  </si>
  <si>
    <t>gerarmanvussa-86243</t>
  </si>
  <si>
    <t>Voilà 3 mois que je passe mes journées à appeler le 01 40 82 24 24. A chaque fois, après de longues minutes d'attente on m'invite à raccrocher, ce que je faisais au début mais que je ne fais plus. J'attends alors de longues minutes supplémentaires pour tomber sur un interlocuteur qui ne peut jamais rien faire à son niveau (on se demande à quoi il sert). Il faut alors insister lourdement pour avoir un responsable qui n'est presque jamais disponible et on vous invite à rappeler ultérieurement, sans aucune précision, c'est à dire revenir au début du cycle du 01 40 82 24 24. Je suis dans ce cycle infernal depuis 15 jours. Ma demande est simple : supprimer l'impossibilité, sur le nouveau site, de faire un versement libre en ligne si une avance est en cours . J'ai toujours pu le faire depuis 1996. D'ailleurs cette possibilité est CONTRACTUELLE : voir la documentation contractuelle du contrat AFER page 32 : "REMBOURSEMENT DU COMPTE DES AVANCES
Tout versement nouveau est affecté en priorité au
remboursement du compte des avances. Ce compte peut
être remboursé à tout moment, en une ou plusieurs fois, par
chèque, versement en ligne ou prélèvement automatique."
Je rappelle qu'à l'AFER nous ne sommes pas des clients , mais des adhérents, et que l'AFER se vante d'attacher une très grand attention à ses adhérents : il est démontré que c'est complètement faux : la communication avec les adhérents à propos de ce nouveau site est INEXISTANTE. On a même pas été prévenus de la mise en place de ce pitoyable nouveau site, pas d'accusés de réception de nos messages, encore moins de réponses.
L'AFER a bien de la chance que nous soyons captifs à cause de l'ancienneté de nos contrats qui n'est pas transférable! 
Il serait peut-etre temps d'envisager une action de groupe. N'hésitez pas à dire ce que vous en pensez!</t>
  </si>
  <si>
    <t>23/01/2020</t>
  </si>
  <si>
    <t>cath-69142</t>
  </si>
  <si>
    <t>10 ans de rentes non versées. Au moment de la succession impossible de se faire régler. Allianz ignore le décès malgré un dossier complet constitué il y a un an, des courriers et relances sans réponse</t>
  </si>
  <si>
    <t>04/12/2018</t>
  </si>
  <si>
    <t>christian-56474</t>
  </si>
  <si>
    <t>Je suis en disponibilité depuis le 12 mai 2016 à la suite d'un accident domestique survenu le 12 mai 2015. J'ai 20 ans d'ancienneté dans l'ancienne mutuelle SMPPN devenue Intériale au gré des restructurations. Cette mutuelle n'est pas à l'écoute de ses adhérents. J'ai de nombreux cas de dysfonctionnements pointés du doigt et inadmissibles. Aucun effort n'est fait pour améliorer la qualité du service rendu. Il y a une profond fossé entre ce qui est mentionné sur leur site idyllique et la réalité au quotidien. A titre d'exemple, il leur fallu 60 jours pour me verser mon complément de salaire de mai 2017. C'est scandaleux. A ce sujet, je trouve particulièrement honteux qu'on vous vende les bienfaits du "maintien de salaire" qui n'est en réalité qu'un maintien des primes ouvertes à cotisations retraites. J'ai toujours honoré mes cotisations malgré mes multiples mutations. Après 14 mois d'utilisation de la prévoyance et de trop nombreux appels qui pour la plupart se soldent par le sempiternel "je vous invite à patienter", je me pose la question légitime des liens contractuels qui m'unissent à eux. Je ne demande pas de régime de faveur, mais un organisme à caractère sociale social qui néglige à ce point ne serait-ce qu'un seul de ses adhérents ne mérite pas ce qualificatif de "social". Autre exemple, hier (3 aout 2017) j'ai reçu une lettre m'informant que mon maintien de salaire est devenu sans objet et que tout versement est supprimé depuis le 1er aout. Or j'ai toujours tenu informée ma mutuelle du moindre de mes arrêtés de disponibilité. Il n'empêche qu'en affaire il n'y a pas de sentiment, à ce même courrier ignoble est agrafé mon appel d'offfre à cotisations pour les mois à venir pour moi et pour ma famille.   Cette mutuelle n'a surtout pas omis de mentionner mon fils aîné qui prend 18 ans après-demain et qui poursuit des études supérieures à la rentrée de septembre 2017. C'est vrai qu'ils n'ont pas dans leurs fichiers les dates de naissances des membres de ma famille, c'est vrai aussi que mon garçon n'a pas été destinataire d'un courrier d'Intériale lui proposant sa mutuelle étudiante !!! C'est un exemple parmi tant d'autres de l''incohérence de communication de cette mutuelle, quand l'un dit noir et l'autre blanc, quand l'un fait vert et l'autre rouge. Cette façon d'agir confine plus à l'amateurisme qu'à l'apprenti-sorcier façon Seigneur des Anneaux. Au bout de 14 mois de sollicitations en tous genres, je suis extrêmement déçu de ce partenariat catastrophique et très très fatigué des relations houleuses pour ne pas dire venimeuses entre cet organisme qui est censé protéger son adhérent et sa famille. Je leur souhaite de vivre les situations difficiles que nous vivons au quotidien, car ce qui m'inquiète le plus, c'est de découvrir que je ne suis pas seul à me plaindre de ces dysfonctionnements. Pour améliorer le fonctionnement de cette mutuelle, il faudrait une véritable révolution interne et une prise de conscience philosophique à cette question existentialiste: Moi, Mutuelle Intériale, à quoi puis-je être utile au quotidien pour mes adhérents ? Merci à tous de m'avoir lu.</t>
  </si>
  <si>
    <t>04/08/2017</t>
  </si>
  <si>
    <t>arnaud12031963-50901</t>
  </si>
  <si>
    <t>AXA ne respecte pas ses contrat d'assurance. En particulier les contrats automobile. Je suis actuellement face à une situation abusive de la part de l'assurance....</t>
  </si>
  <si>
    <t>03/01/2017</t>
  </si>
  <si>
    <t>mls3093-78736</t>
  </si>
  <si>
    <t>Perte d'argent honteuse</t>
  </si>
  <si>
    <t>27/08/2019</t>
  </si>
  <si>
    <t>pierrep18-49915</t>
  </si>
  <si>
    <t>Service client vraiment très agréable et compétent. je suis ravi pour l'instant!</t>
  </si>
  <si>
    <t>Peyrac Assurances</t>
  </si>
  <si>
    <t>05/12/2016</t>
  </si>
  <si>
    <t>01/12/2016</t>
  </si>
  <si>
    <t>angel-25-137283</t>
  </si>
  <si>
    <t>Très bon traitement des dossiers avec efficacité. Agent très à l écoute et consciencieux.
Concernant le traitement des dossiers spécifique comme la perte de salaire dont je bénéficie actuellement, ce serait bien qu'une personne soit affecté au dossier de manière à ne pas avoir plusieurs interlocuteurs à la fois.</t>
  </si>
  <si>
    <t>13/10/2021</t>
  </si>
  <si>
    <t>melanieg93-64693</t>
  </si>
  <si>
    <t xml:space="preserve">Service qualité désastreux, très mauvaise gestion des réclamations. 
Prélever de 500euros concernant une location de voiture prévue dans le contrat. Ayant reconnu Avoir oublié de prolonger par tranche de 5 jours la location de voiture (chose pouvant arriver) et étant conscient de l'erreur, on me répond gentille ment d'attendre 4 jours pour récupérer cette somme. En attendant compte bloqué (je dois m'arrêter de vivre pendant 4jours) mais rien n'est fait de leur part pour régler le problème rapidement. Super service !! </t>
  </si>
  <si>
    <t>12/06/2018</t>
  </si>
  <si>
    <t>bennet-130781</t>
  </si>
  <si>
    <t>Lamentable!!! Suite a l'échéance de mon contrat auto et l'augmentation je décide de résilier pour une assurance moins chère et mieux garantie donc elle s'occupe des démarches pour la résiliation auprès de Direct assurance qui me réclame finalement 6€71 ce n'est pas pour la somme mais pour le principe. La fin de contrat est le 27 Aout et ma nouvelle assurance prend le relais le 28 Aout mais au téléphone le conseiller désagréable me signifie qu'en fait le problème ce n'est pas eux mais ma nouvelle assurance qui aurait du m'assurer à partir du 27 aout donc je suis redevable de 1 jour d'assurance en plus soit 6€71 car finalement le dernier jour d'assurance est le 26 aout et l'échéance le 27 aout donc on joue sur la mauvaise compréhension afin de gagner 1 jour de plus. Rendez-vous compte que si je multiplie 6€71 qui équivaut soit-disant a 1 journée supplémentaire par 365 jours, ça nous fait un total de 2412€ alors que je paye a l'année 250€?? cherchez l'erreur! l'honnêteté des assurances, ce n'est pas une légende! pour ma part, Direct Assurance retenez bien ce nom!! A fuir absolument...</t>
  </si>
  <si>
    <t>02/09/2021</t>
  </si>
  <si>
    <t>rodolphe-l-134578</t>
  </si>
  <si>
    <t>JE SUIS SATISFAIT ET LES PRIX ME CONVIENNENT
JE VIENS D'ASSURER MA DEUXIEME MOTOS
J'AI CONFIANCE ET TOUT SE FAIT EN LIGNE AVEC BEAUCOUP DE FACILITES ;</t>
  </si>
  <si>
    <t>26/09/2021</t>
  </si>
  <si>
    <t>bernjy-59914</t>
  </si>
  <si>
    <t>augmentation des tarifs trop important pas de remise concentie</t>
  </si>
  <si>
    <t>Eurofil</t>
  </si>
  <si>
    <t>23/12/2017</t>
  </si>
  <si>
    <t>01/12/2017</t>
  </si>
  <si>
    <t>bdagbdag-53331</t>
  </si>
  <si>
    <t>Voir les moins</t>
  </si>
  <si>
    <t>16/03/2017</t>
  </si>
  <si>
    <t>01/03/2017</t>
  </si>
  <si>
    <t>ademar-80393</t>
  </si>
  <si>
    <t>J'ai trés bien était informé par kadi elle a était émable est paciente pour répondre à toutes mes questions.</t>
  </si>
  <si>
    <t>24/10/2019</t>
  </si>
  <si>
    <t>vanessa-109342</t>
  </si>
  <si>
    <t>Je suis adhérente depuis de nombreuses années mais n'ayant aucun frais particulier de santé, je n'ai pas eu à me plaindre particulièrement, si ce n'est des tarifs mais que je déduis en Loi Madelin, des prestations offertes.
Mais sur cette dernière année, je me suis heurtée à des refus de remboursement non motivés, notamment concernant de l'orthodontie adulte prise en charge selon mon contrat à hauteur d'une somme forfaitaire annuelle de 200 €. Je pense résilier mon contrat car je crains me heurter aux mêmes difficultés concernant le traitement de mon fils également affilié à la Mutuelle. Le traitement des mails est extrêmement long (un bon mois pour obtenir une réponse), le dernier que j'ai envoyé est même resté sans réponse.</t>
  </si>
  <si>
    <t>06/04/2021</t>
  </si>
  <si>
    <t>jef-111026</t>
  </si>
  <si>
    <t>Déçu,  car suite à annulation en octobre 2020 il continu à prélever pour hospitalisation et décès, quand on résilié un contrat on résilié tout! Mais là, surprise on me dit que c à  part! Mdr pas stipulé dans le contrat! Attention avec cette mutuelle , pas sérieux du tout!  À fuir! J'ai remarqué aussi que tous les commentaires négatifs sont soit disant suspect!</t>
  </si>
  <si>
    <t>20/04/2021</t>
  </si>
  <si>
    <t>faure-a-123824</t>
  </si>
  <si>
    <t xml:space="preserve">C'était très rapide et mon interlocuteur était de bon conseil. 
Au niveau des prix comme je n'avais pas été assuré récemment, je trouve que c'est cher mais ça restait moins cher que la MACIF. </t>
  </si>
  <si>
    <t>19/07/2021</t>
  </si>
  <si>
    <t>chloe-h-111512</t>
  </si>
  <si>
    <t>Les prix augmente tout les ans sans même prévenir ! Je trouve sa pas correct ! Je n'ai jamais eu d'accident, jamais rien demander, toujours payé en tant et en heure.</t>
  </si>
  <si>
    <t>24/04/2021</t>
  </si>
  <si>
    <t>sublim59-59394</t>
  </si>
  <si>
    <t xml:space="preserve">Moi et mon petit garçon avons été victime d'un accident non responsable et suite à la violence du choc, mon véhicule a été déclaré irréparable par l'expert mandaté par la Maïf, expert qui a sous évalué la valeur réelle de mon véhicule (l'expert envoyé par la Maïf été en état d'ébriété durant plus de la moitié de nos échanges, pas terrible quoi!) Durant toute la durée post accident, c'est moi qui a du faire de multiples démarches alors que le jour du sinistre nous avons été transportés à l'hôpital et que je n'étais pas en état d'établir un constat mais la police était présente sur les lieux. J'ai du appeler le dépanneur pour lui indiquer dans quel garage il devait déposer mon véhicule, appeler le garage agréer pour envisager les délais de réparations, appeler l'expert et contacter plusieurs agences de locations de véhicules afin d'en avoir un à prêter car le garage agréer n'en avait plus. Etant à pieds en hiver avec des températures glaciales et tout ça sur mon lit d'hôpital bref je trouve ça scandaleux car j'estime que c'est à eux d'organiser ça! Au moment où j'arrive à trouver une voiture de prêt (la seule est l'unique car les disponibilités étaient exceptionnelles dans les agences de location étant donné que c'était la période des fêtes de fin d'année), la Maïf m'annonce que je ne peux pas prétendre à ce véhicule car il est en catégorie B alors que mon véhicule accidenté était le même, ils ont refusés de faire la prise en charge alors que j'ai fais des pieds et des mains pour le trouver et que j'y suis allée par mes propres moyens! je trouve ça honteux de leur part!!!!!! ils font tout pour minimiser les coûts sans penser au préjudice de la victime alors que j'étais assurée tous risques et victime d'un accident non responsable!!! Pour mon petit garçon de 3 ans, ils lui ont versé que 400 euros uniquement alors qu'il a du manquer l'école suite à l'accident et qu'il a du consulter un pédo psychiatre car il en ai resté choqué et traumatisé car au moment de l'accident, ma voiture a atterri dans un mur. Pour ma part, cela fait un peu plus d'un ans que le sinistre a eu lieu et je n'ai toujours pas été indemnisée malgré multiples sollicitations auprès d'eux!!!!!!! C'est révoltant! Et pourtant, j'ai rencontré leur médecin expert il y a plus de 5 mois et il a validé mes arrêts de travail (6 mois) car j'ai eu de la rééducation notamment des séances de kiné, prise de médicaments et examens de santé. Malgré ça, l'expert a minimisé mon préjudice et n'a pas pris en compte mes dents fissurées suite à l'accident et ma cloison nasale déviée à cause du choc alors que je n'avais rien de tout ça auparavant et je lui ai prouvé mais il n'a rien voulu entendre. Je suis toujours dans l'attente de la finalisation de ce dossier alors que la gestionnaire sinistre avec qui je suis en contact régulier m'annonce que l'on va me faire une offre dans la semaine qui suit mon dernier échange il y a un mois et je n'ai toujours rien, c'est une menteuse!!! Après réflexion et au vu de leurs mensonges et de leur mauvaise fois, je vais devoir faire appel à un avocat afin de faire valoir mes droits!!! </t>
  </si>
  <si>
    <t>05/12/2017</t>
  </si>
  <si>
    <t>machal-d-131594</t>
  </si>
  <si>
    <t xml:space="preserve">Dommage de toujours payer un frais de dossier sur chaque nouveau véhicule quand on en est client. Sinon niveau tarif, c est très intéressant, et compétitif. </t>
  </si>
  <si>
    <t>06/09/2021</t>
  </si>
  <si>
    <t>chebab-n-107882</t>
  </si>
  <si>
    <t xml:space="preserve">Je suis satisfait merci l'olivier niveau inscription ça été simple 
Tout est nickel 
Je suis ravi d'être assuré avec l'olivier assurance encore merci franchement </t>
  </si>
  <si>
    <t>natasha97-78786</t>
  </si>
  <si>
    <t xml:space="preserve">JE SUIS SATISFAITE DE TOUT CHEZ CETTE ASSURANCE VRAIMENT JE N'EN CHANGERAI PAS.
MERCI POUR TOUT. AINSI QUE LA CONNEXION DRIVE VRAIMENT TRES CONTENTE. </t>
  </si>
  <si>
    <t>alain-c-109449</t>
  </si>
  <si>
    <t xml:space="preserve">Les prix me convienne tout simplement.
Désolé pour le retard dans les papiers mon ordi a rendu l’âme donc impossible d'avoir pu terminer avant aujourd’hui.  </t>
  </si>
  <si>
    <t>franck-49949</t>
  </si>
  <si>
    <t xml:space="preserve">À éviter vraiment déçu suite à une casse accidentel de ma plaque de cuisson et du telephone qui se trouvais à côté il me font tourner en bourrique depuis'3 semaine me demande des documents que j ai déjà envoyé diffère , sur les réponsesont très désagréable je vous conseil de plus souscrire parce qu'au final les mots d ordre cet de tout faire pour ne pas vous paye . Il vous oblige à racheter du matériel et ne veulent pas rembourser sur facture !!! Moi j ai pas les moyen de me reprendre une table de cuisson à 400€ il me disent vous avez 2 ans pour acheter , et entre temps on cuisine à l indienne ?? Aller voir la concurrence vous serez pas déçu et cet tellement plus clair que leur mensonge </t>
  </si>
  <si>
    <t>06/12/2016</t>
  </si>
  <si>
    <t>pitorre-d-132603</t>
  </si>
  <si>
    <t>Parfait je recommande cette assurance audi s3 prix correct refus de direct assurance car puissance trop élevée donc nous voilà chez l’olivier merci pour tout</t>
  </si>
  <si>
    <t>tidiane-t-131296</t>
  </si>
  <si>
    <t>Bonjour,
Les prix sont corrects et satisfaisants. Le service est aussi très professionnel et cordiale et surtout disponible.
Cordialement
Famille TALL</t>
  </si>
  <si>
    <t>florian-b-129921</t>
  </si>
  <si>
    <t>Je suis très satisfait du service, et des prix pratiqués. Rapide et efficace, très bien pour les jeunes permis. Merci direct assurance,, je recommande</t>
  </si>
  <si>
    <t>28/08/2021</t>
  </si>
  <si>
    <t>dadache-z-125079</t>
  </si>
  <si>
    <t xml:space="preserve">Je suis satisfaite du service. Je vous remercie. Prix très attractif, personnel compétent qui a su répondre rapidement a mes demandes. Je vous en remercie </t>
  </si>
  <si>
    <t>didier-s-107334</t>
  </si>
  <si>
    <t>Le contrat est un peu long à remplir.
Globalement satisfait des prix et de l'efficacité de Direct Assurance.
J'espère que la résiliation chez mon ancien assureur se passera bien.
Cordialement.</t>
  </si>
  <si>
    <t>21/03/2021</t>
  </si>
  <si>
    <t>quentin-m-124145</t>
  </si>
  <si>
    <t xml:space="preserve">Je suis satisfait des prix et des services proposés par cette assurance  je recommande cette assurance à tout ceux qui souhaite assurer leurs véhicules </t>
  </si>
  <si>
    <t>21/07/2021</t>
  </si>
  <si>
    <t>cathy-65980</t>
  </si>
  <si>
    <t>J'ai demandé le 29 mai 2018,par lettre recommandée, la résiliation de mon contrat ouvert depuis 20 ans et la restitution complète de mon épargne depuis 1998. Or, à ce jour, je viens de voir sur le site que mon argent qui ne m'a toujours pas été remis vient d'être placé sur un autre compte. J'ai un conseiller qui ne répond jamais au mail ni au téléphone. Que dois-je faire pour récupérer mon argent ? Je suis anéantie car j'ai besoin de ce capital rapidement.</t>
  </si>
  <si>
    <t>04/08/2018</t>
  </si>
  <si>
    <t>levasseur-f-129299</t>
  </si>
  <si>
    <t>Satisfait du service , on verra sur le temps et qu'on pourra juger si c'est une bonne agence. J'ai été bien reçu par le conseiller clientèle . Merci de votre accueil.</t>
  </si>
  <si>
    <t>24/08/2021</t>
  </si>
  <si>
    <t>pennamen-a-111552</t>
  </si>
  <si>
    <t>Prix très satisfaisants pour les garanties proposées. Souscription facile et rapide. Interface du site très agréable. Pas encore eu de sinistre, à voir sur la prise en charge éventuelle mais si je souhaite n'en avoir aucun !</t>
  </si>
  <si>
    <t>michele-81650</t>
  </si>
  <si>
    <t>Lorsque tout va bien MATMUT est bon assureur assurée depuis plus de 20 ans bonus 65%</t>
  </si>
  <si>
    <t>05/12/2019</t>
  </si>
  <si>
    <t>01/12/2019</t>
  </si>
  <si>
    <t>bouton-n-130019</t>
  </si>
  <si>
    <t>SERVICE CLIENT TRES COURTOIS
SITE UN PEU DIFFICILE D UTILISATION.
SERVICE CLIENT TRES COURTOIS
SITE UN PEU DIFFICILE D UTILISATION.
SERVICE CLIENT TRES COURTOIS
SITE UN PEU DIFFICILE D UTILISATION.</t>
  </si>
  <si>
    <t>marinegdn-129357</t>
  </si>
  <si>
    <t xml:space="preserve">Assurance A FUIR absolument!!!! Pour une simple question posée me voilà résiliée ! Impensable ! J’ai passé un coup de téléphone pour savoir si éventuellement je pouvais assurer mon conjoint en deuxième conducteur et 10 jours après je reçois une lettre recommandée pour m’annoncer la résiliation de mon contrat auto 
N’ayant eu aucun sinistre ni aucun bris de glace mais en ayant juste demandé un renseignement ils m’annoncent que mon contrat va être résilié car ma demande constitue « une aggravation du risque » (mon conjoint ayant eu un sinistre en tord il y a 4 ans) 
Au lieu de m’informer qu’ils étaient dans l’incapacité de l’assurer ils ont préféré me résilier sans même me prévenir suite à ma demande! 
Je vous les déconseille fortement ! Si vous cherchez une assurance passez votre chemin ! </t>
  </si>
  <si>
    <t>chancea13-53985</t>
  </si>
  <si>
    <t>5 contrats chez eux! je fais faire un devis pour assurer mon fils et une voiture sportive, pas de problèmes j'arrive à avoir 3 devis et même un financement pour l'achat de ce véhicule.Notre fils étant déclaré chez eux pas de sinistres, il va avoir 3 ans de permis dans 2 mois, tout va bien! je réserve donc le véhicule et je vais à l'agence pour valider le devis et là une personne hautaine qui m'a manifesté un dédain que j'aurais pas cru possible me dit: ahh mais non on vous assure pas!je me retrouve avec un véhicule acheté que je peux plus assurer et que je récupère demain! bien sûr aucun dialogue, pas de responsable d'agence! système bien huilé tout est vérrouillé et le ton n'est plus courtois! je déconseille cette assureur qui déjà au stade du devis est nul, je vous laisse imaginer si vous avez vraiment un sinistre chez eux! ahhh oui ils ont même été jusqu'à me dire qu'un devis ça vaut rien, certes mais pour moi quand on est sérieux un devis c'est une proposition commerciale qu'on est en mesure de fournir sinon c'est du mensonge fuyez!!</t>
  </si>
  <si>
    <t>26/06/2018</t>
  </si>
  <si>
    <t>mika59-137801</t>
  </si>
  <si>
    <t>Le Sav  est plus que déplorable lorsque vous devez ne serait ce que changer la quotité de votre contrat.
Ils arrivent à prioriser un dossier en 90 jours!!!!!
Bravo l urgence!!!!
Satisfaction 0</t>
  </si>
  <si>
    <t>19/10/2021</t>
  </si>
  <si>
    <t>tanagra-37657</t>
  </si>
  <si>
    <t xml:space="preserve">MAIF ...A éviter absolument !!!  Pour régler les cotisations aucun problème...Mais en cas de sinistre, aucune écoute d'un conseiller quelqu'il soit, renseignements erronés, lenteur du traîtement du dossier, dirigé vers un soi-disant expert : TEXA EXPERTISES, qui n a d'expert que le nom, se contente de recevoir des devis ou factures,  en donnant son avis sur l'indemnisation....Ses honoraires sont exorbitants pour le travail fourni au détriment de l'assuré...Aucun contact par téléphone ! Aucune relation client -assuré à la MAIF !!! Dans mon cas sinistre foudre, prouvé résultat : AUCUNE INDEMNISATION...!!!  </t>
  </si>
  <si>
    <t>02/09/2018</t>
  </si>
  <si>
    <t>didier-s-106863</t>
  </si>
  <si>
    <t>Je suis satisfais des services sur mes dépannages,
les prix sont correct et les appels téléphoniques presque facile .
nous allons voir avec le site.
Voila</t>
  </si>
  <si>
    <t>collin-v-137815</t>
  </si>
  <si>
    <t>satisfaite . par contre compliquer pour certaine demarche en ligne 
arrive pas a valider mon devis 
pas facile d avoir un conseillier en ligne quand j appel</t>
  </si>
  <si>
    <t>dintragna-49809</t>
  </si>
  <si>
    <t>Très intéressant la première année, puis augmentation importante et injustifiée les années suivantes (+9% entre 2016 et 2017) Impossible d'avoir en ligne le service client Renoncement après 30 mn d'attente téléphonique</t>
  </si>
  <si>
    <t>02/12/2016</t>
  </si>
  <si>
    <t>laurent-r-106602</t>
  </si>
  <si>
    <t>pas satisfait du tout, de DIRECT ASSURANCES  envoi certificat de cession le 11/01/2021 via le site pour cession dh-316-fg.
Contrat suspendu aU LIEU DE RESILIE!!!!!!!!!!!!!!!!
Pas de remboursement de la prime trop percue  au /15/03/2021
Bref travail ni fait ni a faire</t>
  </si>
  <si>
    <t>encolere-60001</t>
  </si>
  <si>
    <t>Augmentation importante sans motif, prestations médiocres , accueil en agence très léger, remboursement tardif, carte non transmise dans délais, je change de mutuelle car très insatisfaite au niveau qualité prix !</t>
  </si>
  <si>
    <t>19/01/2019</t>
  </si>
  <si>
    <t>la-rocca-t-129847</t>
  </si>
  <si>
    <t>je suis très content et j'ai hâte d'avoir le tout risque, merci pour votre sympathie et tout ce que vous mettez en place pour nous. réactif et efficace</t>
  </si>
  <si>
    <t>27/08/2021</t>
  </si>
  <si>
    <t>cecile-roland-52858</t>
  </si>
  <si>
    <t>J'ai souscris avec neoliane il y'a plus de 2ans et rien à dire au top , je me suis fait hospitaliser et j'ai toucher mes indemnitées comme prévus je suis très satisfaite par la qualité de cette assurance</t>
  </si>
  <si>
    <t>28/02/2017</t>
  </si>
  <si>
    <t>alex-v-112597</t>
  </si>
  <si>
    <t xml:space="preserve">je suis satisfait de direct assurance . Simple et rapide pour s'assurer . C'est un plaisir . Cela m'évite de perdre une demi journée au tel avec les autres assurances . </t>
  </si>
  <si>
    <t>04/05/2021</t>
  </si>
  <si>
    <t>aurelie-70578</t>
  </si>
  <si>
    <t>Je suis scandalisée par l'accueil physique/téléphonique déplorable qui m'ont été faits lors d'une réclamation lors d'un rendez-vous pour une nouvelle souscription... Des frais pour un simple changement d'adresse postale m'ont été facturés alors que j'avais refusé de signer l'avenant ! Je suis cliente depuis 20 ans et détiens un bonus de 50%. Suite à un dernier appel infructueux (personne hautaine), j'ai décidé de rompre toute collaboration avec cet assureur. Ma nouvelle auto sera donc assurée ailleurs.</t>
  </si>
  <si>
    <t>25/01/2019</t>
  </si>
  <si>
    <t>aurelie-103980</t>
  </si>
  <si>
    <t xml:space="preserve">A Fuiiir !!!
Service sinistre déplorable ne sais pas faire son métier correctement. 
Percuter par un poids lourds qui ne s’arrête pas un a céder le passage. 
Et comme le service sinistre ne cherche pas à comprendre ni à appeler les témoins. Tranche l’affaire a 50/50 car je cite leurs mots ne sais pas définir la responsabilité.je vais me retrouver à payer les réparations et un malus alors que je me suis fait percuté 
Oui prix attractif mais si vous avez des problèmes passer votre chemin.
Surtout ne prenez aucun engagement avec l’oliver assurance. </t>
  </si>
  <si>
    <t>10/02/2021</t>
  </si>
  <si>
    <t>tosser-j-112575</t>
  </si>
  <si>
    <t>J'ai souscris mon assurance auto par téléphone. J'ai été très bien renseigné par la conseillère qui a été disponible et à l'écoute de ma demande. Cela s'est fait en quelques minutes et je suis satisfait de cette offre. je recommanderai cette assurance à mes amis.</t>
  </si>
  <si>
    <t>isabel-g-125552</t>
  </si>
  <si>
    <t>Assurance sérieuse et très facile à contacter en cas de soucis.
je la conseil à toutes personnes ayant besoin d'une assurance peut chère et avec des protections très convenables.</t>
  </si>
  <si>
    <t>30/07/2021</t>
  </si>
  <si>
    <t>n-m--carmona-99107</t>
  </si>
  <si>
    <t xml:space="preserve">Que ce soit auto ou mutuelle restez loin de cette assurance
Beaucoup de mauvaise foi     Courrier soit disant pas reçu malgré la réponse de l assureur.....
Vous n avez pas droit mais en levant la voie vous avez droit
Par exemple  Je ne peux pas vous faire un mail, la personne qui s occupe des mails n est pas la.....
Je déconseille fortement je tiens a disposition enregistrements et courriers ( contradictoires) a toutes associations tels que que choisir ou 50 millions de conso
</t>
  </si>
  <si>
    <t>22/10/2020</t>
  </si>
  <si>
    <t>darty-a-121570</t>
  </si>
  <si>
    <t xml:space="preserve">Je suis satisfait du tarif 
Des service proposer 
J espere que dans le futur tout se passera bien 
Prix meilleur que mon ancienne assurance 
A voir par la suite </t>
  </si>
  <si>
    <t>laura-b-131381</t>
  </si>
  <si>
    <t>Implacable je suis satisfaite de la rapidité 
Je voudrai assuré mon vélo vAE est ce possible pour moins utiliser ma voiture du coup fait vous des réductions?</t>
  </si>
  <si>
    <t>05/09/2021</t>
  </si>
  <si>
    <t>julie-128242</t>
  </si>
  <si>
    <t xml:space="preserve">A fuir !!! service lamentable, incompétence c'est limite une ar....
Des interlocuteurs qui ne savent pas traiter avec le client, ça raccroche à tout moment er rebelote avec un autre conseiller qui est tout sauf conseiller. Bref à éviter franchement, c'est nul de chez nul. Trop trop déçue ! C'est une honte devoir de telles pratiques </t>
  </si>
  <si>
    <t>16/08/2021</t>
  </si>
  <si>
    <t>alain-parra-107799</t>
  </si>
  <si>
    <t>Excellentes informations transmises par le correspondant MGP suite à ma demande. Tout est clair. Le délai d’attente a été correct. Continuez comme ça.</t>
  </si>
  <si>
    <t>fufu-100398</t>
  </si>
  <si>
    <t xml:space="preserve">Le service  euro fil est bon.j ai eu deux fois un problème  de vitre et ils ont été a l  écoute  et on fait le nécessaire  pour les règlements.lorsque je demande un renseignement  ils sont a l écoute .pour le moment je  suis satisfait. </t>
  </si>
  <si>
    <t>pauline-ferullo-137181</t>
  </si>
  <si>
    <t>un portail en panne chiffrée par l'entreprise partenaire et un remboursement 30 % inférieur malgré un contrat tout compris !!!!
On paye une fortune pour soit disant être parfaitement remboursé et quand vient le sinistre, on voit que l'assurance sous estime tout et ne rembourse quasiment plus rien.
Je paye plus de 2000 euros à l'année en assurances chez eux, je vais vite partir !!
faites en de même</t>
  </si>
  <si>
    <t>12/10/2021</t>
  </si>
  <si>
    <t>marie-d-132505</t>
  </si>
  <si>
    <t>Je suis satisfaite, grande rapidité et efficacité du service, les prix attractifs. Seul bémol, l'interface du site qui ne met pas toujours en évidence le montant des franchises</t>
  </si>
  <si>
    <t>12/09/2021</t>
  </si>
  <si>
    <t>lepinay-g-111770</t>
  </si>
  <si>
    <t>SImple et pas cher.
Bien que j’ai consulté un comparateur de prix, l’Olivier est sorti nettement moins cher que les autres. Le conseiller m’a bien validé toutes les garanties et les conditions.</t>
  </si>
  <si>
    <t>mmarie-80193</t>
  </si>
  <si>
    <t xml:space="preserve">Je suis très satisfaite de l'assurance que Assur O'Poil offre pour mon chien Beagle de 10 ans.
Le personnel "conseiller à la clientèle" très disponible jusque tard le soir, et vous recontacte par téléphone si vous avez des questions plus pertinentes.
Si je peux recommander cette assurance, je le fais sans hésiter. Merci à toute l'équipe!  </t>
  </si>
  <si>
    <t>Assur O'Poil</t>
  </si>
  <si>
    <t>animaux</t>
  </si>
  <si>
    <t>18/10/2019</t>
  </si>
  <si>
    <t>thomas-a-133219</t>
  </si>
  <si>
    <t xml:space="preserve">Bonjour, 
Étant donné que j’ai vécu pendant 6 ans à l’étranger je n’ai pas eu l’occasion d’obtenir des bonus. A l’âge de 27 ans sans avoir eu aucun problèmes avec mes précédents véhicules je trouve que le prix est très cher. 
Prix du véhicule : 1000€ coût de l’assurance : 540€
Peut-être que vous pourriez adapter les prix pour ce genre de situations exceptionnelles.
Bonne journée :) </t>
  </si>
  <si>
    <t>17/09/2021</t>
  </si>
  <si>
    <t>mohand-m-121953</t>
  </si>
  <si>
    <t>trop cher notamment pour la clientèle sans malus et fidèle..vous etes plus cher que la concurrence .aucun geste malgré ma demande par teléphone.......</t>
  </si>
  <si>
    <t>jca-74611</t>
  </si>
  <si>
    <t>de plus en plus chère sa change les prix comme sa offre assurance avec le boitier youdrive pas mal pour voir ou est sa voiture mais je suis très déçu</t>
  </si>
  <si>
    <t>30/03/2019</t>
  </si>
  <si>
    <t>brahim-t-130670</t>
  </si>
  <si>
    <t>HYPER SIMPLE ET HYPER SATISFAIT DU PRIX ET DES PRESTATIONS
qu’est-ce que je peux dire de plus?  diminuer le nombre de caractères demandes pour valider l'avis</t>
  </si>
  <si>
    <t>sensysk-77913</t>
  </si>
  <si>
    <t xml:space="preserve">1. Service client pas du tout poli
2. Prélèvement - tout suite. Remboursement - plusieurs mois.
3.  Prix très cher, par exemple pour 70 euros/mois t'as conditions plus mauvaises que pour 35 euros/mois chez MAIF.
Conclusion: Compagnie d'assurance a éviter! </t>
  </si>
  <si>
    <t>25/07/2019</t>
  </si>
  <si>
    <t>antonin-e-133190</t>
  </si>
  <si>
    <t>Je suis satisfais des prix proposé. La démarche a été simple et rapide, les conseillés sont réactif. 
C'est dommage que l'options des dommage corporel ne soit pas compris dans l'assurance tout risque de base.</t>
  </si>
  <si>
    <t>na-100090</t>
  </si>
  <si>
    <t xml:space="preserve">extrêmement déçue par ce prestataire.
une assurance qui ne fait pas confiance à son client. C'est inadmissible.
l'assurance Maaf ne sait pas traiter les cas particuliers. Quand elle ne sait pas, elle préfère clôturer le dossier et le laisser sans suite, sans aucunes indemnisations.
le client peut apporter les preuves, mais MAAF  reste sur ses positions , car elle n'a pas la réponse écrite noir sur blanc. Elle préfère décevoir un client que de trouver une solution pour ce dernier.
les responsables du service réclamation donnent une très mauvaise image de leur société. Mis à part adopter une attitude lâche car ils se cachent derrière leur assistante pour éviter d'affronter directement le client, ils ne prennent aucunes responsabilités devant une difficulté. Dire "non" au client reste leur réponse favorite.
l'amabilité n'est pas suffisante pour rejoindre ce Prestataire. 
Je ne le recommande surtout pas.
</t>
  </si>
  <si>
    <t>13/11/2020</t>
  </si>
  <si>
    <t>romain-b-126165</t>
  </si>
  <si>
    <t xml:space="preserve">Vraiment rapide et efficace.  Le devis se fait en quelques minutes, tout est clair et surtout les prix sont pas cher. 
Les garanties sont aussi peu excessives comparés a d’autres assurances </t>
  </si>
  <si>
    <t>03/08/2021</t>
  </si>
  <si>
    <t>renier-j-110297</t>
  </si>
  <si>
    <t>Je suis satisfait de service.Les prix me conviennent.
J'ai été reçu très bien lors de mes appels. Tout a été fait de sorte que les échanges se passent très bien.</t>
  </si>
  <si>
    <t>13/04/2021</t>
  </si>
  <si>
    <t>marioo-38381</t>
  </si>
  <si>
    <t>merci : C A R D I F  , 
malgré la galère avec la paperasses à l'infini à ce taper la tète contre un mur , il leurs manque toujours un papier , même avec un accusé de réception , et ils ce contre disent ente eux  ( c'est la partie négatif )
je vous conseille ,d'envoyer tous vos courrier et dossier , envoyer les  avec accusé de réception et de garder les double des courriers , et de tous votre dossier , 
je suis imbattable de ce coté la ,  et sa payé , j'ai bien gagné des milliers de euros , oui j'ai bien dis gagné , car ils mon remboursé plus que j'ai cotisé , ils on paye mes mensualité  du prêt immobilier  à 100/100 pendant plus de 10  ans , et c'est pas fini , à la suite ils on soldé  la totalité du prêt qui restait ( 5 0  0 0 0 euros ) cinquante mille euros ,
 donc je ne peu que les remercié , 
merci cardif ,
 " mario "  
pas de chance au loto ,
 ma chance était chez cardif , LOL
Je certifie être assuré auprès de la société pour laquelle j'ai déposé un avis et atteste ne pas travailler dans une entreprise du secteur des assurances (courtier en assurance, mandataire d'assurance et agent général d'assurance).Je certifie être assuré auprès de la société pour laquelle j'ai déposé un avis et atteste ne pas travailler dans une entreprise du secteur des assurances (courtier en assurance, mandataire d'assurance et agent général d'assurance).</t>
  </si>
  <si>
    <t>13/01/2021</t>
  </si>
  <si>
    <t>sophie-m-131229</t>
  </si>
  <si>
    <t>satisfait mais encore cher parfois un peu mal renseigné sur les différentes formules possibles.
bon rapport clientèle et agréable
réactifs et professionnels</t>
  </si>
  <si>
    <t>eve-69069</t>
  </si>
  <si>
    <t xml:space="preserve">Malgré un échange de très nombreux mail, direct assurance ne veux pas recalculer mon coefficient bonus. J'avais été victime d'un accrochage il y a 2 ans et avait perdu mon bonus. Le dossier est enfin classé comme "non responsable" après les 2 ans d'attente légale, (durant lesquels bien évidemment le tarif malus s'applique) et ils ne procèdent pas au recalcule de mon coefficient, malgré les nombreux justificatifs que j'apporte. </t>
  </si>
  <si>
    <t>02/12/2018</t>
  </si>
  <si>
    <t>sandrinejulaud-75754</t>
  </si>
  <si>
    <t xml:space="preserve">Bonjour je vient de passer en invaliditer 2 eme categorie et on me refuse le remboursement de mes échéances imobiliere on me considère a 90 /100 dans l incapaciter de travailler mais a 15 /100  dans mon quotidien donc rien n est pris en charge l lamentable et si d aitre personne son dans ma situation je veux bien rentrer en contacte avec vous pour monter une association pour allez contre c est gens qui détruisent des famille merci </t>
  </si>
  <si>
    <t>cribier1-89235</t>
  </si>
  <si>
    <t xml:space="preserve">A fuir absolument, vous êtes malade, AG2R vous rendra plus malade, AG2R sera toujours là pour vous enfoncez.
Vous êtes malade et hospitalisé, on vous contrôle 
au cas où vous et l'hôpital fraudez.
Je passe sur les délais de traitements, le forum en fait largement échos ….. 
Soyez juste conscient que si vous tomber malade 
en septembre, les remboursements auront lieu fin janvier…
J'arrive au nœud du problème, le montant de l'indemnisation, rien n'est plus mystérieux surtout
lorsque vous êtes comme mois en portabilité.
Mon employeur n'ayant prélevé des cotisations sur
la tranche A et la tranche B je pensait naïvement 
être également indemnisé en conséquence mais
non c'est uniquement sur la tranche A; 
Le superbe conseil AG2R voyez avec votre employeur facile en portabilité…. lorsque l'on demande le contrat afin de pouvoir agir contre éventuellement contre l'employeur pas de réponse 
écrite, oralement il m'a été indiqué il est hors de question de vous donner ce contrat; On sait de quel bord ils sont.
Le seul élément que j'ai est que je dois être indemnisé à 80% sur la tranche A donc je fait le calcul, cela fait (41 088/365)x0.8 = 90,05 €/J
rassurez vous, je n'ai jamais eu cette somme  
j'ai actuellement 76,60 € soit 68 %/J;
J'ai demandé des explications sur cette situation, 
réponse au bout de 8 semaine : VOUS NOUS DEVEZ
1 191 € FAITE NOUS UN CHEQUE IMMEDIATEMENT
AVEC DEUX COPIES D'ECRAN INCOMPREHENSIBLES.
Après analyse, alors que AG2R n'avait pas prélevé d'impôts car je suis en ALD et donc exonéré pendant des mois, il s'avise soudain qu'il faut prélevé des impôts;
Un peu de fiscalité, c'est mon domaine, lorsque vous êtes en ALD, les sommes versées par la sécurité sociale sont exonéré d'impôts, les sommes versées par les organismes complémentaires sont soumis 
à l'impôts lorsque ce contrat est imposé par la convention collective dans mon cas celle de l'immobilier, or les garanties prévue par la CCN
immobilier n'ont pas été appliquées (malheureusement) donc il s'agit d'un contrat facultatif et les versements ne sont pas redevable de l'impôt,
Réponse de l'AG2R, c'est un calcul automatique voyer avec les impôts …
Qu'est ce que vous permets contractuellement de 
prélever la CSG/CRDS en continuant d'affirmer
que vous verser 80 % pas de réponse;
Est-ce que je peu avoir le service client, nous n'avons pas de service client, cela ce voit …
Ils sont tout puisant et vous n'est rien, c'est le pot de
terre contre e pot de fer;
S'agissant d'un organisme paritaire, il y a des représentant des salariés dans les instances, est-ce qu'un membre de la communauté peut me donner des coordonnées car je ne sait plus quoi faire.
</t>
  </si>
  <si>
    <t>29/04/2020</t>
  </si>
  <si>
    <t>01/04/2020</t>
  </si>
  <si>
    <t>robert-56986</t>
  </si>
  <si>
    <t>assistance internationale vraiment pas a la hauteur</t>
  </si>
  <si>
    <t>31/08/2017</t>
  </si>
  <si>
    <t>pkid45-77443</t>
  </si>
  <si>
    <t xml:space="preserve">Après un incendie de mon véhicule incendie criminel ( Kawazaki z750) je demande un geste commerciale au niveau de ma franchise ( que je précise qu on m'a obligé d'avoir lors de ma signature de contrat) qui s'élève à 400Euros et rien, je suis sociétaire depuis plus de 20 ans et jamais de sinistre.Je précise que j'étais tout risque. Résultats 3 contrat de moins pour eux et de la mauvaise pub auprès de mes contacts. </t>
  </si>
  <si>
    <t>08/07/2019</t>
  </si>
  <si>
    <t>boss17-79638</t>
  </si>
  <si>
    <t xml:space="preserve">Tres heureux et très comptent  d etre chez l ollivier assurance rapide .serieux ..prix juste ..et disponibilité au telephonne très rapide et très aimable en plus ..voilà je recommende vraiment l ollivier assurance </t>
  </si>
  <si>
    <t>sebastien-b-122832</t>
  </si>
  <si>
    <t>Bonjour,
Je viens de souscrire et pour le moment je suis satisfait.
J'ai eu besoin de contacter le service client pour une erreur de ma part lors de la souscription. Très bon accueil et personnes très agréables. ++++</t>
  </si>
  <si>
    <t>08/07/2021</t>
  </si>
  <si>
    <t>bonpayeurresilie-61967</t>
  </si>
  <si>
    <t>Je vous déconseille fortement cette assurance fictive,ou alors , faites en sorte de ne jamais avoir de problème. GMF assurance Charleville-Mézières , qui a une belle devanture sur rue, mais vide de matière grise, brillante et époustouflante pour sa totale incompétence.  Assurément INHUMAIN</t>
  </si>
  <si>
    <t>09/03/2018</t>
  </si>
  <si>
    <t>thomas-g-123786</t>
  </si>
  <si>
    <t>satisfait du service dans la mesure ou je n'ai jamais eu de problème...
Mon asurance auto est beaucoup trop cher pour les services que vous me proposé. J'attend la date anniversaire de mon contrat pour changer d'assurance.</t>
  </si>
  <si>
    <t>jjr83-62825</t>
  </si>
  <si>
    <t>Je suis fidèle a AMV depuis quelques années autant pour la voiture que la moto et je suis très content du service,de l'accueil et surtout des prix et surtout de la facilité dans le traitement des demandes suite à des changements de carte grise</t>
  </si>
  <si>
    <t>30/03/2018</t>
  </si>
  <si>
    <t>bugkiller-1587</t>
  </si>
  <si>
    <t>Chez Axa, la fidélité n'est que peu récompensé. J'ai rassemblé mes contrats auto et habitation dans la même agence. En aout, je souscris un contrat pour une deuxième voiture (Clio 4 de 2014, 75 CV), en toute confiance, et là mon conseiller Axa me sort un devis aussi cher que l'assurance ma vieille voiture (Santa Fe 2) qui a plus de 10 ans (bonus 50). Il me sort un baratin de pièces sur la CLIO plus récente donc plus cher pour justifier le devis.
Je signe en toute confiance et sur d'avoir un tarif préférentiel avec tous mes contrats chez eux.
Par curiosité, je lance sur Internet 2 simulations de devis au pif chez de grandes enseignes, je tombe sur des devis de 100 à 140E moins cher à l'année.
Je retourne voir mon conseiller AXA qui "m'engueule" comme quoi il ne peut pas s'ajuster à tous les devis "du monde" et que je devais faire des devis avant... Il me propose de me rembourser 60E  par chèque et on en parle plus... si pas content, résiliation dans 1 an selon la loi Hamon.
Là je reste scotché...
C'est vrai j'aurai du faire des devis avant de venir et arrêter de vivre dans le monde des bisounours.
Trop naïf: ça n'existe pas les tarifs préférentiels à moins que ton conseiller soit un membre de ta famille ... :)  
Je vais faire jouer la concurrence et sortir tous mes contrats à l'occasion. 1 contrat ou plusieurs dans une agence, cela ne change rien. Idem pour la fidelité 10 ans dans mon ancienne agence AXA, ne m'a jamais rien apporté. Si, le conseiller faisait un effort pour s'ajuster au devis que je lui apportait. Mais même ça, j'ai vu que au bout d'un an d'ancienneté, tous pouvaient le faire aussi lol.
Cela m'a donné une bonne leçon.</t>
  </si>
  <si>
    <t>04/09/2018</t>
  </si>
  <si>
    <t>insatisfait-63510</t>
  </si>
  <si>
    <t>INCAPABLE DE SOLUTIONNER UN PETIT LITIGE ,ELLE N,A PA DE RETOUR DE L,ASSURANCE IMPLIQUÉE !!!!! DONC ELLE NE PEUT RIEN A QUOI SERT LE TÉLÉPHONE ENTRE COMPAGNIE ????</t>
  </si>
  <si>
    <t>24/04/2018</t>
  </si>
  <si>
    <t>mohammed-yassine-k-134534</t>
  </si>
  <si>
    <t>je suis satisfait de cette assurance et je la recommande, service rapide et fiable, et ils sont a l'ecoute, les prix son competitifs en general c plus que ok pour moi.</t>
  </si>
  <si>
    <t>25/09/2021</t>
  </si>
  <si>
    <t>cyrilcyril-63557</t>
  </si>
  <si>
    <t>Je voulais faire assurer un deuxieme vehicule chez eux. Apres avoir été baladé de longues d'un service á l'autre pour parler á un conseiller, commence une longue discussion qui aboutit á une hausse significative de mon assurance de base (+12euros/mois).  45euros/mois pour une fiat panda alors que beaucoup de leurs concurrents proposent moins de 25 euros/mois avec les memes garanties. pas de doute, il est temps de changer d'assurance.</t>
  </si>
  <si>
    <t>25/04/2018</t>
  </si>
  <si>
    <t>gabitou-74769</t>
  </si>
  <si>
    <t xml:space="preserve">Assurance mediocre tjr pas de virement pr ma femme malgre un dossier bien faite et complet et heritier bien identifiee je déconseille Allianz car leur service client et inefficace pas de suivie et nous on attend et comme par hasard qand il nous repond ce de réponse automatique sans fond du problème </t>
  </si>
  <si>
    <t>05/04/2019</t>
  </si>
  <si>
    <t>01/04/2019</t>
  </si>
  <si>
    <t>norman-s-124210</t>
  </si>
  <si>
    <t xml:space="preserve">Super rapide ! Agréablement surpris sur les tarifs ! Je conseil fortement ! Deuxième assurance et super content de leurs service ! Une des meilleures </t>
  </si>
  <si>
    <t>boss-107143</t>
  </si>
  <si>
    <t xml:space="preserve">Après 40 ans d'assurance avec 1 seul accro , aujourd'hui il me refuse l'assurance d'une clio de 20 ans et le pire c'est que je ne sais pas pourquoi ? </t>
  </si>
  <si>
    <t>19/03/2021</t>
  </si>
  <si>
    <t>micogp-79633</t>
  </si>
  <si>
    <t>Lorsque j'ai fais le comparatif avec mon assurance, j'ai vu qu'ils n'ont pas autant d'experience en assurance, car il leur manque beaucoup sur leur propositions en terme de garantie.</t>
  </si>
  <si>
    <t>bea-111406</t>
  </si>
  <si>
    <t>L'échange téléphonique suite à la demande de devis a été très enrichissante, les informations ont été très claire par une personne enthousiaste et dynamique. Je recommande</t>
  </si>
  <si>
    <t>23/04/2021</t>
  </si>
  <si>
    <t>mathe-y-124960</t>
  </si>
  <si>
    <t>Je suis satisfait des mes contrats au sein d l'oliver assurance. La tarification est raisonnable. Je recommanderais volontiers l'oliver assurance à mes proches.</t>
  </si>
  <si>
    <t>assiatou-d-130347</t>
  </si>
  <si>
    <t xml:space="preserve">Parfait, tarif attrayant, démarches simples et le parrainage en plus.
Je recommanderai vivement cet assureur. Particulièrement je ne connaissais pas.
Mais mon mari me l'a recommandé. </t>
  </si>
  <si>
    <t>thibaut-ge-128783</t>
  </si>
  <si>
    <t xml:space="preserve">Minable, minable, minable.
Vous pouvez aisément vous fier aux mauvais commentaires. Personnel incompétent, ils se trompent sur tous les documents qu'ils envoient, ils ne répondent jamais aux questions ni aux demandes de changement, ils vous prélèvent alors que le véhicule est vendu depuis plusieurs mois, les calcules sur les remboursements sont faux... Assur Bon Plan sous-traite à un sous traitant qui lui même est un sous traitant.
Je ne conseille à personne. </t>
  </si>
  <si>
    <t>20/08/2021</t>
  </si>
  <si>
    <t>nadette77-63671</t>
  </si>
  <si>
    <t xml:space="preserve">Très déçue, suite à un changement de véhicule, gros problèmes dans un premier temps modifier les assurances car les conducteurs n'étaient pas attitrées au bon nom ( 2 voitures ) après plusieurs années, donc modifications ainsi que le stationnement des véhicules garage ou pas fait le nécessaire mais les nouvelles assurances n'ont pas été bien renseigné, inversé, on recommence....et puis la dernière assurance du nouveau véhicule va jusqu'au 05/12/2018 ? pour quelles raisons ?   pas moyen de savoir d'ailleurs j'ai envoyé un courrier avec justificatifs et prédica ne s'est pas embêté à retransmis mon courrier à ma banque ....pourquoi???? la conseillère n'a pas pu m'en dire plus ..... donc.....
 </t>
  </si>
  <si>
    <t>30/04/2018</t>
  </si>
  <si>
    <t>alima-52762</t>
  </si>
  <si>
    <t>Je déconseille vivement cette assurance.Le service est désastreux, les prestations minables, l'information n'existe pas. J'ai résilié le contrat. Plus jamais Allianz!!!</t>
  </si>
  <si>
    <t>25/02/2017</t>
  </si>
  <si>
    <t>karim-h-105831</t>
  </si>
  <si>
    <t>à chaque fois que je souhaite me connecter à l'application je n'y arrive pas. Je suis obligé de demander une réinitialation de mot de passe. Je n'arrice pas aussi à transferer ma carte grise</t>
  </si>
  <si>
    <t>08/03/2021</t>
  </si>
  <si>
    <t>erick-d-133015</t>
  </si>
  <si>
    <t>depuis de nombreuses années à la GMF pas grand chose à dire; je regrette cependant le temps qu'a pris le traitement de mon dernier sinistre habitation et ne pas avoir d'interlocuteur est assez frustrant mais cette conjoncture actuelle n'est pas la meilleure non plus</t>
  </si>
  <si>
    <t>15/09/2021</t>
  </si>
  <si>
    <t>jojodenoumea-50711</t>
  </si>
  <si>
    <t xml:space="preserve">Bonjour,
je déconseille également de souscrire chez "L'olivier assurance". Si cela est extrêmement facile d'y être client, il en est tout autre lorsque l'on veut résilier un contrat suite à la vente d'un véhicule. Je m'explique:
En mai 2016, je vends mon véhicule (assuré depuis 4 ans chez eux) suite à la vente. J'utilise leur plate forme pour déclarer la vente du VL et leur fourni la photo de la déclaration de vente. Voulant bien faire, j'y ajoute également la photo de la carte grise barrée (qualité moyenne mais lisible). Je reçois un courriel indiquant que "L'olivier assurance" a bien pris ma demande en considération.
Je m'attends donc à recevoir un remboursement pour trop perçu de la cotisation.
Et bien non!!! pis que cela!!!!
En juillet, je constate que "l'olivier assurance" me ponctionne une cotisation pour l'année 2016-2017.... Sic!!!!
Pas de panique j'envoie un courrier. Il n'y a que ceux qui ne font rien qui ne font pas d'erreur.
Et bien non, il y a aussi "l'olivier assurance"!!!!!!
"l'olivier assurance" me demande de leur fournir la déclaration de vente avec une meilleure qualité. Je leur indique que même si la qualité n'est pas parfaite, les informations y sont parfaitement lisibles. Je leur indique que je ne vis plus en FRANCE et que le certificat de cession est en Préfecture. Voulant encore bien faire, je leur transmets un document réservé aux Préfectures (fiche synthétique du système des immatriculations des VL. Document on ne peut plus officiel) Ils restent bloqués sur leur envie de ne pas faire avancer les choses et continuent de me demander un document qui n'est plus en ma possession. Bref Je comprends immédiatement que "l'olivier assurance" souhaite faire trainer les choses. Cette technique utilisée par "l'olivier assurance" est connue.
Je suis encore en train de me battre et vous tiendrai informé de l'avancé.
Bref, assurance à éviter et à déconseiller.
</t>
  </si>
  <si>
    <t>28/12/2016</t>
  </si>
  <si>
    <t>minidou-85716</t>
  </si>
  <si>
    <t xml:space="preserve">très bon rapport qualité prix, assurance spécialisé dans les motos, j'aurais pourtant aimé que les tarifs baissent un peu </t>
  </si>
  <si>
    <t>alain-s-123869</t>
  </si>
  <si>
    <t>Il est regrettable de constater une augmentation de ma cotisation annuelle alors que mon véhicule est plus ancien d'un an et que j'ai 50% de bonus depuis plus de 9 ans donc pas d'accident déclaré depuis 20 ans !?! De plus votre réponse du 19 juin 2021 ne fidélise pas le client que je suis. cordialement. Alain SCHAFF</t>
  </si>
  <si>
    <t>titine-91851</t>
  </si>
  <si>
    <t>Toujours eu des interlocuteurs  super qui sans le savoir m'ont aidé à faire face à des situations difficiles.</t>
  </si>
  <si>
    <t>22/06/2020</t>
  </si>
  <si>
    <t>jerome-v-108050</t>
  </si>
  <si>
    <t>Un enorme merci pour votre comprehension, pour le remboursement depuis la vente.
Je reviendrai vers vous bientot pour l'habitation  et des parrainages</t>
  </si>
  <si>
    <t>luu-jessica-103709</t>
  </si>
  <si>
    <t>Je me permets de mettre un avis sur cette assurance qui d’après plusieurs échos est une super assurance, ma famille étant assurés chez eux pour leur automobile m’ont fait part de leur professionnalisme alors je me suis précipité de les appeler en toute confiance pour faire une demande de devis. Bien évidemment j’ai envoyé par mail toutes les informations dont ils avaient besoin pour que je puisse recevoir un retour dans les plus bref délais. Après 3 semaines d’attente, je décide de relancer la demande de devis et je n’ai reçu aucun retour. Hier, le jeudi 04/02/2021 j’ai décidé d’appeler directement leur numéro qui est donc le 0969394949 pour demander un devis d’assurance automobile étant donné qu’ils n’ont pas su me répondre via mon mail. Et j’ai eu la patience d’attendre 1 journée entière afin d’avoir un devis correct car j’ai eu une première dame qui m’a donné un premier devis a 112€ en tout risques, un deuxième homme a 150€ en tout risques et un troisième homme me disant que d’après le dossier que les deux autres premiers correspondants avaient crées le siège avait refusé ma demande et ne voulait pas m’assuré. Je ne trouve pas que cette assurance soit professionnelles, ils ne sont la que pour l’argent, ne vous attendais pas a avoir une réponse par adresse mail ou courrier postal. En revanche, ils répondent vite au telephone. Mais apres une journee entiere a attendre, je suis tres déçu de la perte de temps qu’ils m’ont causés. Une journee entiere pour me dire que finalement le siege n’accepté pas de m’assurer et pourquoi? Il n’a aucune excuse. Ah si! J’ai eu un accident 100% responsable en 3 ans de permis, bien sur sa il ne me l’ont pas dit mais je ne suis pas bete au fond de me dire qu’ils ne veulent pas m’assurer par un simple coup de tete et a en lire les commentaires, ils en veulent qu’a notre argent car tout ce qui concerne les reparations apres un sinistre ne les regarde en rien, car tout ce que vous pouvez declare ils en deviennent aveugle. Assurance A FUIR. J’ai des choses a rajouter mais sa serait leur acordé trop d’importance pour rien. Ils vont perdre tout leurs clients a commencer par moi et ma famille.</t>
  </si>
  <si>
    <t>05/02/2021</t>
  </si>
  <si>
    <t>mariia-i-106270</t>
  </si>
  <si>
    <t>Le service en ligne est très clair et structuré. 
Les prix: ils sont très bons mais je suis passée en une catégorie de bonus meilleure cette année mais le prix global de l'assurance a augmenté de plus de 2%. ceci va à l'encontre de mon attente , ma cotisation aurait dû baisser, surtout que le nombre de sinistres en 2020 a dû être inférieur à cause des confinements.</t>
  </si>
  <si>
    <t>11/03/2021</t>
  </si>
  <si>
    <t>rashid-h-115209</t>
  </si>
  <si>
    <t xml:space="preserve">J'essaye de comprendre pourquoi un relevé de sinistralité pour véhicules de fonction ne vous convient pas: il est spécifié dessus que je n'ai eu aucun sinistre depuis plus de 5 ans, ce qui devrait suffire pour calculer le montant de la police d'assurance. </t>
  </si>
  <si>
    <t>saladin-e-115086</t>
  </si>
  <si>
    <t xml:space="preserve">Vraiment très satisfaite, le service client est très réactif, un vrai bonheur d’avoir de véritables personnes qui savent répondre aux questions et qui prennent le temps pour leur client </t>
  </si>
  <si>
    <t>27/05/2021</t>
  </si>
  <si>
    <t>anne-89766</t>
  </si>
  <si>
    <t>Notre caravane a été volée en novembre 2019 et depuis aucunes nouvelles d'une proposition de remboursement. Après de multiples appels, toujours là même réponse. Dossier en cours ou vous allez être contactés la semaine prochaine. Nous n'osons pas imaginer ce que cela aurait été en cas de sinistre pour notre habitation.</t>
  </si>
  <si>
    <t>19/05/2020</t>
  </si>
  <si>
    <t>style92i-62988</t>
  </si>
  <si>
    <t xml:space="preserve">J'ai souscrit et payé la cotisation annuelle hâtivement en moins de 30 minutes maintenant on me réclame des documents sans cesse que j’ai déjà envoyé je ne sais plus quoi faire peut ‘on m’aider à la fin du mois de l’attestation vais-je être rembourser au prorata ou vais-je tout perdre et être résilie  ? A fuir </t>
  </si>
  <si>
    <t>05/04/2018</t>
  </si>
  <si>
    <t>jo13-65598</t>
  </si>
  <si>
    <t>En invalidité cat 2 depuis plusieurs années je ne recois plus ma rente d(invalidité depuis 02/2018
j'ai tel régulièrelent renvoyé les documents par poste et par internet sans obtenir de réponse
j'ai du insister lourdelent pour avoirun resoinsablz en espérant une autre réponse que "il faut attendre pas encore saisi " impossible de savoir si le dossier est bien complet chez eux
reponse du responsable il faut attendre ou renvoyer un dossier et encore un délai de  ou  semaines car beaucoup de retard 
pour une feuille ou il n'y a aucun changement depuis des années on me dit de ne pas m'inquiter  ils me payeront les sommes dues mais en attendant ma banque est en rouge</t>
  </si>
  <si>
    <t>18/07/2018</t>
  </si>
  <si>
    <t>marine974-50352</t>
  </si>
  <si>
    <t>Je ne connaissais pas Néoliane avant de soucrire pour 2016 et après une année je peux dire que je suis satisfaite car j'ai quand même eu besoin de remboursements rapides cette année et j'ai été rassurée de voir que j'ai bien prise en charge. Je peux donc la conseiller car je reste encore une année de plus et j'ai parainée mes parents car passé 60 ans les tarifs séniors sont aussi intéressants.</t>
  </si>
  <si>
    <t>16/12/2016</t>
  </si>
  <si>
    <t>alain-66961</t>
  </si>
  <si>
    <t>ssuré depuis 1 nombre incalculable d'année (fidélité à cette assurance)je viens d'avoir 1 accident de la vie (velo) la cpam ma mis en  invalidité deuxième catégorie interdiction formel de travailler pour la macif  et son médecin mon invalidité ne dépasse pas 10 % donc pas de dédommagement  ..........</t>
  </si>
  <si>
    <t>19/09/2018</t>
  </si>
  <si>
    <t>denis-99496</t>
  </si>
  <si>
    <t>Depuis le début de l'année, la télétransmission n'est toujours pas mise en place malgré de nombreux envoies de l'attestation de droit; donc pas de remboursements. Je leur ai fait parvenir directement les feuilles de remboursements sécu depuis le 23 septembre, bien-sur pas de réponse malgré deux cout de téléphones. c'est inamissible !
JE DECONSEILLE ABSOLUMENT CETTE MUTUELLE.</t>
  </si>
  <si>
    <t>nouvet-t-127454</t>
  </si>
  <si>
    <t xml:space="preserve">Je suis satisfait de tous chez l'olivier et de mon contrat je recommande à des amis et fortement aux personnes qui désire une assurance à moins de coût </t>
  </si>
  <si>
    <t>quentin-r-129479</t>
  </si>
  <si>
    <t>Je suis satisfait du service, efficace, rapide, utile, pratique, avec mes remerciement, cordialement, votre bien dévoué Quentin Rey. joignable au 0630</t>
  </si>
  <si>
    <t>25/08/2021</t>
  </si>
  <si>
    <t>delphine03-57551</t>
  </si>
  <si>
    <t xml:space="preserve">C'est ma mutuelle depuis 24 ans, j'en suis très satisfaite. </t>
  </si>
  <si>
    <t>23/09/2017</t>
  </si>
  <si>
    <t>pat-106594</t>
  </si>
  <si>
    <t xml:space="preserve">franchement c'est un désastre !!! on ne peux ni les avoir au téléphone ni par e_mail  j'ai meme envoyer une lettre en recommandé sans réponse !!!!! un fiasco total je ne la recommande pas!!!!!! aucun remboursement depuis février effectuer visite médical payer de ma poche sans remboursement mais ils n'oublie pas les prélèvement tous les mois !!!!!!!!!pas mieux que leurs concurrent (april) A QUI FAIRE CONFIANCE,,????????
</t>
  </si>
  <si>
    <t>richard--l-132470</t>
  </si>
  <si>
    <t>Je suis satisfait de vos tarifs et de la simplicité pour souscrire mon contrat d'assurance ainsi que des explications détaillées de l engagement des deux parties</t>
  </si>
  <si>
    <t>dargoth-61662</t>
  </si>
  <si>
    <t>N° 287.183
C'est mal parti avec cette société. Le prix est intéressant, certes,. mais on n'a pas de vrais conseillers au téléphone.
J'ai payé la cotisation annuelle, puis j'ai dut appeler pour avoir une attestation provisoire 
 J'ai envoyé  tous les documents demandés et depuis plus rien ne bouge. Quand on appelle le service client on tombe sur un centre d'appel  qui à même du mal à analyser 2 documents, et qui n'a visiblement aucun pouvoir..</t>
  </si>
  <si>
    <t>22/02/2018</t>
  </si>
  <si>
    <t>01/02/2018</t>
  </si>
  <si>
    <t>jennifer-f-131321</t>
  </si>
  <si>
    <t xml:space="preserve">Je suis satisfaite au niveau des tarif
Je suis satisfaire du délai de traitement
Je viens de souscrire chez vous je vous donnerai un avis un peu plus tard 
</t>
  </si>
  <si>
    <t>christophe89270-101165</t>
  </si>
  <si>
    <t>ASSURE DEPUIS SEPTEMBRE 2020 POUR MA CHIENNE ELLE S EST FAIT UNE ENTORSE AVEC POSE ATELLE ET RADIO ... J AI ENVOYE LA FEUILLE DE SOIN AINSI QUE LA FACTURE ET UNE ATTESTATION DE LA PART DU VETERIENAIRE IL Y A LA DATE SUR LA FACTURE ET SUE L ATTESTATION. ON DEMANDE A MON VETO D EXPLIQUER LES CIRCONSTANCES DE L ACCIDENT... IL NE PEUT PAS  ETRE PRESENT CHEZ MOI MON VETO A SUIVRE MA CHIENNE... ASSURANCE NUL JE VAIS FAIRE OPPOSITION ET PERSONNEL MAL AIMABLE ET QUI RACONTE N IMPORTE QUOI A FUIR ...J AI ENVOYE PAR MAIL LES PAPIERS ONT ME DIT QUE NON. JE VAIS SAISIR LES AUTORITES COMPETENTES</t>
  </si>
  <si>
    <t>09/12/2020</t>
  </si>
  <si>
    <t>marty38-56216</t>
  </si>
  <si>
    <t>+ 25% en 1 an et tout ça sans accident responsable.</t>
  </si>
  <si>
    <t>24/07/2017</t>
  </si>
  <si>
    <t>thery-110208</t>
  </si>
  <si>
    <t>Toujours a devoir courir après mon maintien de salaire, je passe mon temps à leur écrire des mails...! J'envoi correctement tous les papiers, justificatifs et autres... de la preuve que je suis à demi-traitement et en arrêt maladie mais il y a toujours beaucoup de retard! Là, j'attends encore mon maintien de salaire de janvier, février et mars!!! Malgré les relances, ils ne me répondent "jamais" (où pour me dire "j'envoi votre demande au service concerné") En attendant, les factures tombent et à cause d'eux je vais devoir payer des agios à ma banque!!! 
Pour récupérer le paiement mensuel de la prévoyance mutuelle, il y a du monde mais pour compléter le demi-traitement de leurs adhérents en cas de besoin, il n'y a personne! 
A quoi sert de payer une mutuelle prévoyance si en cas de nécessité absolue elle n'est pas là pour faire son taf ?!</t>
  </si>
  <si>
    <t>rousselot-d-134933</t>
  </si>
  <si>
    <t>Tout est parfait, je suis particulièrement satisfaite du service, des tarifs et des conseillers téléphoniques qui ont su me renseigner et m'indiquer la formule la plus adaptée.</t>
  </si>
  <si>
    <t>28/09/2021</t>
  </si>
  <si>
    <t>tos-59870</t>
  </si>
  <si>
    <t>Un administratif démoniaque. Impossible de résilier mon enfant lorsqu'il a trouver du travail et que la mutuelle de son employeur était obligatoire</t>
  </si>
  <si>
    <t>21/12/2017</t>
  </si>
  <si>
    <t>bally-w-137698</t>
  </si>
  <si>
    <t>je suis satisfaite le prix de mon assurance auto est bien moins cher que celle de ma banque en formule tier essentiel , service client tres reactif basé en france</t>
  </si>
  <si>
    <t>18/10/2021</t>
  </si>
  <si>
    <t>francky59-77177</t>
  </si>
  <si>
    <t>Suite au décès de ma belle-mère, nous avons fourni à notre agence BNP le certificat de décès.  La conseiller financière nous a certifié que nous aurions des nouvelles du service succession et de cardif pour la partie assurance vie sous 8 jours. Apres 8 longues semaines, nous étions toujours sans aucune nouvelle. Nous avons du contacter nous même les 2 services. Cardif a envoyé la demande de justificatifs pour l'assurance vie après plus de 8 semaines. Le service succession ne nous contactait pas pour cause de "retard important" alors que de notre côté nous avions déjà l'acte de notoriété du notaire (succession simple car une seule héritière + ma femme bénéficiaire nommément dans l'assurance vie)
A ce jour, plus de 2 mois après le décès les pompes funèbres  n'ont même pas encore perçu le moindre euros malgré nos relances et celles de la société de pompes funèbres.  Ces 2 services jouent la montre pour ne rien verser et faire traîner les délais. J'ai du tout envoyer en recommandé.  Maintenant quand serons nous réglés? Dieu seul le sait. Nous devons toucher des aides de la mutuelle mais faute de facture acquittée nous serons hors délai par faute de la banque! Quelle qualité de service!!!</t>
  </si>
  <si>
    <t>27/06/2019</t>
  </si>
  <si>
    <t>gl-98326</t>
  </si>
  <si>
    <t xml:space="preserve">Peut faire un effort sur la baisse des cotisations en 2021 la Covid a beaucoup aidé dans ce sens
Sinon assurance qui remplie sa fonction les remboursements sont à l heure
Les réponses aux messages sont un peu long 4/5 jours avant de lire </t>
  </si>
  <si>
    <t>04/10/2020</t>
  </si>
  <si>
    <t>jean-francois-m-121827</t>
  </si>
  <si>
    <t>Je suis satisfait des services et la disponibilité des agents.Suite à mon sinistre dégâts des eaux. Le centre de gestion situé dans le sud ouest est compétent et sympathique. Le centre de gestion  en charge de mon agression  laisse à désirer. j'attends toujours la réponse de l'agent en charge de mon dossier après plusieurs lettres recommandées et appels.   de Grenoble. Pour finir je laisse tomber. Je demanderai à une autre assurance dont Pacifica de gérer le dossier.</t>
  </si>
  <si>
    <t>30/06/2021</t>
  </si>
  <si>
    <t>jac25-81968</t>
  </si>
  <si>
    <t>En litige pour un sinistre que l'olivier assurance ne veut pas prendre en compte malgré que je soit assuré tout risque et au max niveau bonus. J'ai demandé de me transmettre leur refus par courrier ou mail que je puisse me retourner, je n'ai toujours rien reçu. L'olivier assurance, parfait si il ne vous arrive rien. Les choses se compliquent avec un sinistre responsable...</t>
  </si>
  <si>
    <t>16/12/2019</t>
  </si>
  <si>
    <t>sarah-f-111589</t>
  </si>
  <si>
    <t>Je ne suis pas satisfaite car toujours pas de carte verte, je ne la reçois plus et pas de suivi, jamais d'appel et augmentation annuelle de la cotisation sans raison...</t>
  </si>
  <si>
    <t>25/04/2021</t>
  </si>
  <si>
    <t>melimo1201-63018</t>
  </si>
  <si>
    <t>Très bon rapport, à l'écoute... bonnes propositions                                                 ........</t>
  </si>
  <si>
    <t>06/04/2018</t>
  </si>
  <si>
    <t>mox-58987</t>
  </si>
  <si>
    <t>Client 276463. Premier contact positif par téléphone le Vendredi 10 Novembre 2017, conseillère aimable et questions très précises, explications convenables, devis conforme au tarif annoncé au téléphone. Documents envoyé le soir même et mail de demande de confirmation envoyé le Lundi 13 Novembre 2017. Réponses de leurs part rapide en deux heures et un autre le soir accusant bonne réception des documents envoyés en pièces jointes et expliquant attendre la confirmation de résiliation de mon ancienne assurance. Appel le lendemain a mon ex assurance qui confirment leurs avoir envoyé la confirmation. Après lecture des avis négatif sur le net je décide de leurs envoyé un email le Mardi 14 avec des demandes plus poussées notamment si se sera les seuls documents demandés. A partir de la tout se complique pas de réponses, relance le Mercredi 15, pas de réponses. Le Jeudi 16 je décide de faire un devis chez un autre assureur par sécurité. Celui ci me propose de meilleures tarifs et comme aucunes réponse de Active Assurance le jeudi soir je décide de me rétracter. Je leur envois un email expliquant ma décision avec un double conforme en pièce jointe de ce que je leurs envois le lendemain en lettre recommandé avec avis de réception. Donc e vendredi 17 envois de tout cela en AR. Réponse le samedi 18 de leurs part s'excusant et expliquant des soucis informatiques et demandant de confirmer ma décision sur la finalisation du contrat. Réponse dans la foulée avec encore en pièces jointes la copie de la lettre, pas de réponse de leurs part, relance le soir même. Le Mardi 21 réponse de leurs part me disant ne pas avoir reçu la lettre AR alors que sur le site de la poste celle ci a été remise le lundi 20 et disant ne pas pouvoir ouvrir la pièce jointe et me demandant de la renvoyé en PDF. Réponse dans la foulée avec encore en pièce jointe la copie de la lettre cette fois ci en PDF. Mardi pas de réponse de leurs part et réception de l'accusé de réception de la poste remis le 20 avec tampon de Active Assurance. Depuis deux autres mail envoyés avec encore les même copie en pièce jointe plus le Scan de l'accusé de réception. Pas de nouvelles depuis hier. Maintenant parlons du numéro surtaxé il est clairement indiqué sur leurs site et ma banque pratique la même chose mais pas a ce tarif exorbitant. 0,80 par minutes ça fais 48 euros de l'heure, c'est moralement et déontologiquement limite a mon sens. Parlons maintenant des frais de rétractation es ce légal? Je ne sais pas trop je vais me renseigner. Pour être tout a fais honnête ils sont en effet indiqué sur le devis initial mais vu que la conseillère du départ insiste lourdement pour avoir le premier règlement en CB on est tenté de ne le lire que après a voir payé vu qu'elle l'envois en direct au téléphone en même temps qu'elle demande le paiement. De plus la encore 60 euros plus 20 euros de frais de dossiers me paraissent limite moralement. Je conseil une extrême vigilance et pour ma part espère être remboursé un jour après ma rétractation dans les 14 jours légaux.</t>
  </si>
  <si>
    <t>22/11/2017</t>
  </si>
  <si>
    <t>01/11/2017</t>
  </si>
  <si>
    <t>frexit-89364</t>
  </si>
  <si>
    <t>Service qui répond rapidement au téléphone et de façon agréable.</t>
  </si>
  <si>
    <t>04/05/2020</t>
  </si>
  <si>
    <t>garnier--findiczew-o-117652</t>
  </si>
  <si>
    <t>satisfaisant au regard des maigres prestations fournies par rapport au prix proposé mais je crois que c est le même problème avec toutes les assurances</t>
  </si>
  <si>
    <t>20/06/2021</t>
  </si>
  <si>
    <t>khemissi-d-124274</t>
  </si>
  <si>
    <t xml:space="preserve">Je suis entièrement satisfait pour le moment du service et des renseignements que les conseillers ont pu m'apporter.
Simple, rapide, efficace et à l'écoute </t>
  </si>
  <si>
    <t>medaye-44317</t>
  </si>
  <si>
    <t xml:space="preserve">Compagnie pas fiable. J'ai un dossier dégat des eaux qui date de presque 2 ans et toujours pas résolu car ils font tout pour ne pas me rembourser, il cherche toutes les excuses pour ne pas le faire alors comment faire confiance a ce genre d'entreprise ??? J'ai d'ailleurs résilier 2 de mes contrats et il m'en reste un que je ne vais pas tarder a résilier aussi et je ne vous parle pas du service clientèle inexistant et limite arrogant, il faut dire que les plateformes se trouvent a l'étranger et difficile de se faire comprendre avec des personnes qui ont des difficultés a s'exprimer en français. bref en tout cas je déconseille fortement cette compagnie d'assurance. Pour info j'ai trouvé moins chère pour les mêmes garanties. </t>
  </si>
  <si>
    <t>vives-a-124349</t>
  </si>
  <si>
    <t>Souscription rapide et facile, tarifs très attractifs pour un jeune conducteur. Les prestations proposées sont également intéressantes. Je conseille fortement.</t>
  </si>
  <si>
    <t>23/07/2021</t>
  </si>
  <si>
    <t>rs-81206</t>
  </si>
  <si>
    <t>je ne comprends les commentaires ci dessous; SANTIANE et un courtier et non un assureur !!</t>
  </si>
  <si>
    <t>21/11/2019</t>
  </si>
  <si>
    <t>01/11/2019</t>
  </si>
  <si>
    <t>jesuisenpaca-93033</t>
  </si>
  <si>
    <t>Suis très surpris que les commentaires positifs soient absent de la page 1 à 26 ... après on trouve une majorité de commentaires NEGATIFS et ils ont tous leur avatar. On pourrait douter des derniers commentaires, alors que leur campagne publicitaire a repris à la TV. Pour ma part, mauvaise expérience. 1ère année discount, 2ème année remisée, 3ème année vous payez le prix fort !</t>
  </si>
  <si>
    <t>02/07/2020</t>
  </si>
  <si>
    <t>margueritte-j-123707</t>
  </si>
  <si>
    <t>je suis satisfait ; les prix me conviennent ; j'attend ma nouvelle carte verte féfinitive ; et donc comme convenue les prélèvements sont mensualisés j'espère !</t>
  </si>
  <si>
    <t>17/07/2021</t>
  </si>
  <si>
    <t>dechoux-o-128723</t>
  </si>
  <si>
    <t>Je suis satisfait du service client qui m'a rapidement contacté afin de finaliser mon contrat d'assurance par téléphone , je suis néamoins un peu sur la reserve car le conseiller au téléphone m'a annoncé 37€/ mois alors qu'à la lecture du contrat il est question de 42€/mois.</t>
  </si>
  <si>
    <t>girard-b-111123</t>
  </si>
  <si>
    <t xml:space="preserve">Satisfait des tarifs proposés étant un ancien client j’ai toujours eu de bonnes relations avec l’Olivier assurance et niveau réactivité au top 
Cdlt </t>
  </si>
  <si>
    <t>mik1103-56318</t>
  </si>
  <si>
    <t xml:space="preserve">client chez eux depuis 1ans et demi j'ai voulu faire un transfert d'assurance sur mon nouveau véhicule et stupefaction j'apprend que ses impossible car chez eux ils ne font pas de transfert d'assurance d'un véhicule a un autre 1er fois que je voie sa de la par d'une assurance seul solution qu'ils me propose de résilier mon assurance actuel pour en souscrire une nouvelle au nom de mon nouveau véhicule et bien sur ils me redemande un versement de 2 mois de cotisation puisque ses un nouveau contrat je trouve sa honteux sachant que j'ai toujours payer mes quittance en temps et en heure jamais un retard et que je voulais assurer un 2eme véhicule chez eux prochainement meme pas un geste commercial ou autre et je trouve aberrant de devoir résilier un contrat et d'en souscrire un nouveau juste pour un transfert d'assurance lamentable et incompétent voila ce qui resume cette compagnie d'assurance </t>
  </si>
  <si>
    <t>27/07/2017</t>
  </si>
  <si>
    <t>tout va bien tant qu'on ne leur demande rien. après 18 ans sans incident et suite à un déménagement sur un autre lieu tout en gardant le logis pour lequel on était assuré car propriétaires, la matmut a résilié le contrat parce qu'on n'avait pas renvoyé l'annexe de modification de la responsabilité civile et bien que l'on ait payé la,cotisation.</t>
  </si>
  <si>
    <t>24/07/2018</t>
  </si>
  <si>
    <t>martin-61267</t>
  </si>
  <si>
    <t xml:space="preserve">ma maman est décédée le 27/12/16, nous sommes le 08/02/18 et le dossier reste toujours en cours de traitement. on nous demande et redemande des documents déjà envoyé et bien reçu preuve par mail de retour. puis plus d'un an après on nous demande des papiers, jamais demandé jusqu'aujourd'hui. cela fait plus d'un an que je me bats avec vous sans bien sur pouvoir vous contacter, expliquez moi comment je peux faire mon deuil dans cette situation, ou non repartons toujours en arrière. 
votre incompétence est tel que quand on vous envoie un fichier pdf de trois pages vous n’êtes pas capable de faire défilé celui ci et ainsi vous redemandez encore un papier deja reçu.
enfin bref je pourrais continuez longtemps comme ça
j'en reste la </t>
  </si>
  <si>
    <t>08/02/2018</t>
  </si>
  <si>
    <t>nicolas-v-132541</t>
  </si>
  <si>
    <t xml:space="preserve">Je suis satisfais du prix  de la formule proposé.
Pour la formule tiers maxi
En vous remerciant et faire affaires avec vous à bientôt
Merci cordialement </t>
  </si>
  <si>
    <t>daniel-d-127900</t>
  </si>
  <si>
    <t xml:space="preserve">Très rapide et efficacité .
Merci
Je va proposer chez autres amis aussi car vous êtes les meilleurs 
Je vous remercie encore une fois et bonne courage et cordialement </t>
  </si>
  <si>
    <t>schneider-n-122944</t>
  </si>
  <si>
    <t>J'ai trouvé le service rapide, efficace et adapté.
J'ai reçu un très bon accueil et des conseils personnalisés.
Je suis entièrement satisfaite des conditions.</t>
  </si>
  <si>
    <t>09/07/2021</t>
  </si>
  <si>
    <t>yoanneric06-66001</t>
  </si>
  <si>
    <t>grace aux conseil de l'agent AFER, sur 10650 Euros placé en 16 ans il ne reste que 6500e sur le compte
perte sèche de plus de 4500e en moins de 6 ans 
Ne jamais faire de retrait ou d'avance avec ce compte , car vous paierez 3 fois plus de frais que sur un emprunt pour le même montant , juste pour disposer de votre propre argent</t>
  </si>
  <si>
    <t>christouf42-91650</t>
  </si>
  <si>
    <t xml:space="preserve">J ai plusieurs véhicules assuré et je n ai jamais eue à me plaindre. Maintenant si certain ne comprenne pas que pendant le covid tout est au point mort. Allez chez un concessionnaire moto pendant le covid, est ce que vous avez vu des concession ouvert. Alors il faudrait réfléchir. </t>
  </si>
  <si>
    <t>20/06/2020</t>
  </si>
  <si>
    <t>william-s-105512</t>
  </si>
  <si>
    <t>Je suis satisfait du rapport qualité prix. Pour une première assurance je suis satisfait des tarifs et services proposés par direct assurance. Merci à eux.</t>
  </si>
  <si>
    <t>dias-d-114024</t>
  </si>
  <si>
    <t>Pour l'instant la souscription et le service client est irréprochable, nul eu à faire à vous en sinistre.
Les prix restent élevés je trouve par rapport au marché</t>
  </si>
  <si>
    <t>17/05/2021</t>
  </si>
  <si>
    <t>faupayaler123-87921</t>
  </si>
  <si>
    <t>Augmentation automatique des cotisations... Je cite "L'article 9.2 des conditions générales précise que l'évolution des cotisations se fait de manière automatique lors de chaque renouvellement annuel en fonction de l'âge de l'animal assuré : 5% jusqu'à 5 ans, 8% jusqu'à 8 ans et 10% au delà."</t>
  </si>
  <si>
    <t>Eca Assurances</t>
  </si>
  <si>
    <t>04/03/2020</t>
  </si>
  <si>
    <t>gaspare-c-107776</t>
  </si>
  <si>
    <t>Je trouve que je paye trop cher,n'ayant jamais eu d'accident,depuis que je suis chez vous,je pense mérité un bonus.En attende d'une réponse acceptez mes salutation</t>
  </si>
  <si>
    <t>marcel-a-130532</t>
  </si>
  <si>
    <t>Suite a un dégât des eaux il y a 1 an, beaucoup de démarches trop lourdes et jusqu'à présent aucune réponse de votre part ni du bailleur malgré des courriers de rappel a maintes reprises.</t>
  </si>
  <si>
    <t>cedcap-71539</t>
  </si>
  <si>
    <t>Gestion lamentable des sinistres, un prêt de véhicule non assuré suite à l'immobilisation de mon propre véhicule qui se retrouve vandalisé pour cause de demande d'expertise de cette dite assurance.. aucun recours possible. Une assurance inhumaine, non respecteuse de ses sociétaires qui ne pense qu'à ses profits avant le reste...  Assurément humain, cela sonne tellement creux.</t>
  </si>
  <si>
    <t>21/02/2019</t>
  </si>
  <si>
    <t>cory0305-56982</t>
  </si>
  <si>
    <t xml:space="preserve">Apres avoir été assuré chez eux pendant un an, je les ai appelé pour leur communiqué une nouvelle adresse, et en même temps payé pour les 6 suivants mois 282 euros..J'ai donc fait mon changement d'adresse par tel et payé mes 6 mois par carte bancaire. Mes 6 mois étant écoulés et ne recevant aucun mail de leur part pour mon futur paiement je les ai donc appelé leur disant que je n'avais reçu aucun mail de leur part me rappelant qu'il était temps de payer.Leur éponse était que c'était normal car j'ETAIS RESILIE !!!! sans courrier ni mail de leur part .... demandant plus de détails, j'apprend que j'ai étais résilié car je n'avais pas payé 7euros 71 pour changement d'adresse !!!ils m'ont résilié 5 semaines après avoir payé les six mois !!!!Je n'ai reçu aucun mail, aucun courrier me demandant ces 7.71 euros..ni aucun courrier, ni mail me parlant de ma résiliation...J'ai conduit pendant des mois pensant être assurée !!!!Demain j'ai un rendez vous légal pour une plainte de mise en danger.. </t>
  </si>
  <si>
    <t>30/08/2017</t>
  </si>
  <si>
    <t>mikakev2-105144</t>
  </si>
  <si>
    <t>Veuillez toujours enregistrer par mesure de précaution vos interactions téléphoniques avec eux. C'est extrêmement important.
Mon véhicule a été endommagé par un tiers, il fut reconnu coupable aux yeux de la justice.
Cela fait un an, maintenant je n'ai jamais été remboursé, l'olivier me demande de voir directement avec l'assurance du tiers donc de faire leur travail et use de prétextes fallacieux pour ne pas assumer ses responsabilités. Ni l'assurance du tiers, ni la justice, ni moi, ne comprenons pourquoi l'olivier ne fait pas son travail.</t>
  </si>
  <si>
    <t>nhvda-76573</t>
  </si>
  <si>
    <t>Assurée à la Matmut depuis plus de 10 ans sans aucun sinistre. Au 1er accrochage ( un bus a embouti mon pare-chocs arrière alors que j'étais à l'ARRET), la Matmut me juge responsable à 50 pour cent.  Suite à mon courrière de contestation au service sinistre, ce dernier me contacte et campe sur ses positions sous prétexte que le conducteur du bus a coché la case: doublait, et non: changeait de file. Résultat des courses: la moitié de la franchise est à ma charge et malus de 50 pour 100 pour l'année prochaine! Ma propre assurance m'impute une responsabilité dans un sinistre  dont je suis la victime. L'objectif serait il d'augmenter les cotisations pour l'année suivante sous un prétexte fallacieux ? J'envisage très sérieusement de résilier tous mes contrats à la Matmut( autos, habitation, etc)</t>
  </si>
  <si>
    <t>10/06/2019</t>
  </si>
  <si>
    <t>lf45-101813</t>
  </si>
  <si>
    <t>En cas de gros sinistre ne pas hésiter à appeler votre expert (que vous paierez - mais vous aurez une meilleure estimation. Celui de la MACIF minimise beaucoup trop l'étendue des dégâts.
L'assistance juridique n'est pas efficace et les forfaits des participations  avocat proposés sont bien en dessous des tarifs pratiqués. Du coup impossible de se lancer dans la bagarre ...
Je suis très déçu ....</t>
  </si>
  <si>
    <t>23/12/2020</t>
  </si>
  <si>
    <t>postic-e-111553</t>
  </si>
  <si>
    <t>ras service fluide , pas de problème particulier à signaler sur le fonctionnement de l'interface du site. La procèdure est simple et accessible, je recommande pour le moment.</t>
  </si>
  <si>
    <t>aurel-69639</t>
  </si>
  <si>
    <t>Client depuis toujours. Le service client est au top. Les tarifs sont très élevés  et augmente fortement d année en année malgré 50% de bonus et aucun accident responsable. Dommage !!!</t>
  </si>
  <si>
    <t>22/12/2018</t>
  </si>
  <si>
    <t>olivier--z-124270</t>
  </si>
  <si>
    <t xml:space="preserve">Je suis très satisfait de la rapidité et des prix par rapport à d’autres assurances qui offre les mêmes garantie d’assurance encore merci à toute l’équipe </t>
  </si>
  <si>
    <t>eugenie40-67576</t>
  </si>
  <si>
    <t>Incompétents finis - Passez votre chemin
Pour un accident ayant eu lieu en avril.
Aucune communication pour m'indiquer qu'il faut joindre le remorqueur de la moto pour ne pas payer les droits de gardiennage, j'ai du faire toutes les démarches en étant bien mal en point.
Les ennuis commencent, les torts doivent être décidés. Les CRS sont dispo pour leur transmettre le rapport d'accident, mais malgré ce qu'ils m'annoncent, ils ne les ont jamais contacté et attendent que ça tombe du ciel. Je dois alors leur fournir le dossier moi meme.
En attendant pour pas avoir de frais de remorquage pour rappatrier l'épave de la moto chez moi, je dois aussi me charger de la vente de l'épave. Ben oui, les torts ne sont pas décidé, donc ils se dédouannent de faire toute action pouvant faire avancer le dossier...
Juillet il m'annoncent enfin que je ne suis pas en tort.
J'attends mon paiement. Aout rien. Je relance toutes les semaines, ils font les morts. au final, c'est pour qui doit relancer l'assurance allianz puisque eux ne sont que courtier. 7 septembre, ils ont enfin l'autorisation de me signer mon chéque. Ils m'annoncent qu'ils me l'ont envoyé le 26 septembre. chéque recu le 11 octobre !
J'ai passé mon temps à les relancer et faire leur boulot !
Fuyez !!</t>
  </si>
  <si>
    <t>11/10/2018</t>
  </si>
  <si>
    <t>01/10/2018</t>
  </si>
  <si>
    <t>bitouny-60230</t>
  </si>
  <si>
    <t>Depuis un accident dont nous ne sommes pas responsables notre véhicule est immobilisé par l'incurie de notre assureur Allianz Allsecur Calypso, qui se défausse du problème sur son expert.</t>
  </si>
  <si>
    <t>kmngbrk-117870</t>
  </si>
  <si>
    <t xml:space="preserve">Depuis mars 2020, en raison de la crise sanitaire, toute mon activité a cessé. Je suis artisan (auto-entrepreneur) vendant mes créations en salons, expos, marchés et foires. Je n'ai travaillé qu'en juillet-août 2020 (sur marchés extérieurs) puis 2 week-ends en décembre. Plus rien jusqu'en juin 2021. De longs mois sans ressource aucune. Pas d'aide de l'Etat. Trop petit...  Par contre, ma cotisation mensuelle d'assurance pro chez Allianz (agence d'Etaples-sur-mer) n'a pas cessé, et a en plus quelque peu augmenté... De qui se fiche t'on? Aucune mesure. Aucun geste fort. Aucun contact du directeur d'agence envers ses "tout-petits" professionnels! J'ai écrit par mail, j'ai téléphoné, et toujours la même réponse depuis mai 2020 : "on vous rappelle, on en parle au directeur..." Déçu par Allianz. Aucune considération pour les petits professionnels de l'artisanat. </t>
  </si>
  <si>
    <t>assurances-professionnelles</t>
  </si>
  <si>
    <t>cortx-101577</t>
  </si>
  <si>
    <t xml:space="preserve">Une mutuelle efficace avec un service client hyper réactif et à l’écoute. L’accueil téléphonique est top, ils savent expliquer les garanties pas toujours simple à comprendre et m’ont bien conseillé pour le remplacement de mes lunettes. </t>
  </si>
  <si>
    <t>17/12/2020</t>
  </si>
  <si>
    <t>fouad-b-131054</t>
  </si>
  <si>
    <t xml:space="preserve">Je suis satisfait du service. Le service est rapide et le prix est presque convenable. Le service de l'assistance 0 km devrait être automatiquement inclus </t>
  </si>
  <si>
    <t>amaury-m-127191</t>
  </si>
  <si>
    <t xml:space="preserve">Je viens de souscrire par contre le code de parrainage n'a pas marché pouvez m'aider svp ?
Sinon tout s'est bien passé tout à été clair, les offres sont intéressantes </t>
  </si>
  <si>
    <t>mimounprune-67391</t>
  </si>
  <si>
    <t xml:space="preserve">A fuir. Ne rembourse rien en cas sinistre automobile. Il m'ont réparer la voiture et un mois apres tout tombait en ruine. Ni le garagiste ni lexpert se mouille. Vehicule a plus de 100.000 euros. Une honte. Expert verreux.  J'avais 30 contrats chez eux. C'est terminé. Au revoir axa et bon débarras. </t>
  </si>
  <si>
    <t>05/10/2018</t>
  </si>
  <si>
    <t>jerome-96680</t>
  </si>
  <si>
    <t xml:space="preserve">Assuré tous risques
Voiture volée + clés volées dans ma poche.
Refus d'indemnisation par principe en recherchant la petite ligne
Les problèmes arrivent quand il y a sinistre!
</t>
  </si>
  <si>
    <t>26/08/2020</t>
  </si>
  <si>
    <t>01/08/2020</t>
  </si>
  <si>
    <t>nono-72064</t>
  </si>
  <si>
    <t>Assurée depuis des années a la maaf nous on résilié car mon mari a eu 2accidents donc dès que vous ' avez rien tout va bien vous pouvez payer mais on vous résilie du jour au lendemain pas très professionnel</t>
  </si>
  <si>
    <t>12/03/2019</t>
  </si>
  <si>
    <t>omar-o-133604</t>
  </si>
  <si>
    <t xml:space="preserve">Satisfait sauf qu il n existe pas de mondialisation ce qui empêcherait beaucoup de personne de souscrire  donc payer l année d un seul coup sa fais beaucoup </t>
  </si>
  <si>
    <t>vincent-58070</t>
  </si>
  <si>
    <t>. Des degats non pris sur une aile car celle ci avait des rayures auparavent. Bref je me retouve a devoir changer une aile a mes frais suite a un accident dont je ne suis pas responsable. En passant client depuis 10 ans sans aucun sinistre auto!  L assureur cherche a minimiser ses frais!</t>
  </si>
  <si>
    <t>14/10/2017</t>
  </si>
  <si>
    <t>01/10/2017</t>
  </si>
  <si>
    <t>desacci-69132</t>
  </si>
  <si>
    <t>Jamais vu une assurance aussi incompétente !
Mandate des "expert" qui ne savent pas trouvé une fuite, puis une fois la fuite trouvé, met en charge de votre dossier des entreprises incapable de vous appeler pour fixer un RDV (Sonne un soir à votre porte sans que vous ne soyez au courant....).
Plus de 3 mois pour une simple fuite venant des toilettes et ce n'est toujours pas réglé.
Assurance à fuir !</t>
  </si>
  <si>
    <t>thierry-v-116750</t>
  </si>
  <si>
    <t xml:space="preserve">le prix est correct et  compétitif face à la concurrence; part contre une augmentation de 16% d'une année sur l'autre me parait exagérée. Si l'année prochaine, une hausse s'avère être identique je me verrai dans l'obligation d'aller voir ailleurs.
</t>
  </si>
  <si>
    <t>guy-99546</t>
  </si>
  <si>
    <t>j ai eu un sinistre en 10 ans mon compteur a pris feu , un artisan a résumé sur facture son intervention
et là on se retrouve aux abonnés absents le credit mutuel réclame des papiers supplémentaires , j 'ai 
beau protester que nenni
alors je m'aperçois en consultant des concurrents que je paye 40 % plus cher 
je suis client de cette banque depuis 20 ans , mais surtout fuyez leur service assurances !</t>
  </si>
  <si>
    <t>02/11/2020</t>
  </si>
  <si>
    <t>de-sousa-antonio-p-124208</t>
  </si>
  <si>
    <t xml:space="preserve">Le prix me convient!!! Très rapide et votre gentillesse nous on fait plaisir !!!!! Heureux de travailler avec vous !!! Nous espérons que tout ce passe bien </t>
  </si>
  <si>
    <t>jean-marc-d-127066</t>
  </si>
  <si>
    <t>Trai bien rapide facile pas chère super bien merci site trai facile et bon compromis pour sa moto tou risque et trai rapide vive la moto vive les motar</t>
  </si>
  <si>
    <t>08/08/2021</t>
  </si>
  <si>
    <t>esa-103061</t>
  </si>
  <si>
    <t>Je note 1 car zéro n est pas possible. C est à un niveau 0 que je qualifie le service client de cet  assureur qui vous ballade d un interlocuteur à l autre sans que rien de concret ne se passe.  Il m assure que mon remboursement de cotisations va m être adressé et puis deux semaines plus tard et malgré des relances je suis informée que les choses ne sont pas réglée  car les premiers chèques de Remboursement avaient  été adressés à une adresse erronée...seule  le retour de ces chèques à leur niveau leur permet de sm adresser un chèque ou un virement de remboursement . Or il y'a deux semaines l assureur m'a demandé des lettres de désistement qui ont été envoyes par mes soins pour être justement remboursée mais uniquement par chèque !!!  Un enfer et deux mois que cela dure ! C est insupportable</t>
  </si>
  <si>
    <t>mop-55234</t>
  </si>
  <si>
    <t xml:space="preserve">Cardif nous fais traîner volontairement  2 dossiers chez j ai renvoyer 4 fois les dossiers manque toujours des papiers que j'ai fourni dossiers ouvert l année derniere et toujours pas de réponse ou que du vague vraiment impressionnant  sans citer des prélèvements qui m ont été fais pendant plus de 2 ans  pour une assurance inexistante  la  justice  </t>
  </si>
  <si>
    <t>09/06/2017</t>
  </si>
  <si>
    <t>babakila-j-131114</t>
  </si>
  <si>
    <t xml:space="preserve">Satisfait, des difficultes quant au montant lors du premier appel pour finaliser un devis mais au final
Lors du second tout a ete resolu et a abouti. </t>
  </si>
  <si>
    <t>nicois-98953</t>
  </si>
  <si>
    <t>Suite à un accrochage, reconnu non responsable, j'attends toujours le remboursement de la franchise de 400€.
L'accrochage a eu lieu il y a 2 ans et demi !!!!!
Je les appelle, au moins, une à deux fois par mois par téléphone et le discours est toujours le même "on va relancer ......."
J'ai vraiment l'impression d'être pris pour un imbécile (et je reste poli) ! C'est honteux.
Et impossible de joindre quelqu'un d'autre qu'une personne au standard. 
Impossible de joindre quelqu'un dans le service concerné. 
Impossible de joindre quelqu'un qui puisse nous dire réellement ce qu'il se passe. 
Impossible de joindre un responsable.
Je regrette vivement de m'être assuré chez eux.
Dès que j'aurai obtenu le remboursement de la caution, je quitte PEYRAC !</t>
  </si>
  <si>
    <t>20/10/2020</t>
  </si>
  <si>
    <t>daoudi-a-109554</t>
  </si>
  <si>
    <t xml:space="preserve">Je suis satisfait du service et le prix me convient je recommande vivement cette assurance jeune et dynamique excellente qualité 
Merci cordialement 
</t>
  </si>
  <si>
    <t>dawson-110537</t>
  </si>
  <si>
    <t>Je n'ai jamais réussi à les contacter sauf en payant et ils n'ont pas réussi à me répondre clairement et m'ont renvoyé vers une centrale ce que je ne souhaitais surtout pas car je me fais balader depuis trop longtemps.
À fuir, irrespectueux et ne travail jamais !!!!!</t>
  </si>
  <si>
    <t>15/04/2021</t>
  </si>
  <si>
    <t>cedric-b-126085</t>
  </si>
  <si>
    <t>Les tarif sont intéressant, et surtout, je suis très agréablement surpris par l'ergonomie du site pour le devis et la souscription en ligne. Bravo !!!</t>
  </si>
  <si>
    <t>02/08/2021</t>
  </si>
  <si>
    <t>issam-b-108094</t>
  </si>
  <si>
    <t xml:space="preserve">Je suis très satisfait du service et de l’accueil téléphonique même des fois ne répondent pas tout de suite ils vous rappelle juste après, prix très correct je vous le conseille vivement. 
Cordialement,
Issam BENMOUSSA </t>
  </si>
  <si>
    <t>Zen'Up</t>
  </si>
  <si>
    <t>michel-m-124906</t>
  </si>
  <si>
    <t>les prix c'est n'importe quoi.je souhaite d'urgence avoir un numéro de téléphone d 'un responsable .
cela fait 2 mois que j'essaie d'assurer 4 voitures avec 4 chauffeurs différents.
si les conversations sont enregistré , AXA DEVRAIT les écouter!!!
je pense devoir prendre des décisions non  plaisantes
a bon entendeur !</t>
  </si>
  <si>
    <t>26/07/2021</t>
  </si>
  <si>
    <t>rvisa-79963</t>
  </si>
  <si>
    <t>Utilisation de clause abusive obligation de fournir un mandat de prelevement alors que vous avez réglé votre cotisation consequence du refus sequestration de carte verte</t>
  </si>
  <si>
    <t>12/10/2019</t>
  </si>
  <si>
    <t>sf-90277</t>
  </si>
  <si>
    <t>Assuré depuis 5 ans chez Lolivier j'ai malheureusement eu un sinistre, et là, catastrophe, refus de prise en charge pour un motif fallacieux, difficultés à les joindre,  attente inacceptable.
 J'ai recherché un tarif en souscrivant chez eux, or ce fut une énorme erreur, j'ai payé près de 900 euros par an en tout risque pour une seat ibiza et finalement ils ont réussi à s'affranchir de leurs responsabilités. SURTOUT FUYEZ</t>
  </si>
  <si>
    <t>06/06/2020</t>
  </si>
  <si>
    <t>juhli-67863</t>
  </si>
  <si>
    <t>Attention avec cet assureur, il prend votre argent avec un sourire jusqu'aux oreilles, évidement, mais si vous en avez besoin ... ola .. je touche à un sujet sensible ... no comment ! ... à fuir !</t>
  </si>
  <si>
    <t>Carac</t>
  </si>
  <si>
    <t>18/10/2018</t>
  </si>
  <si>
    <t>pablo-l-117790</t>
  </si>
  <si>
    <t xml:space="preserve">satisfat  pour l'efficacite
apres notre prmeier contrat je pas des avis negatifs 
que soit au bureau ou dans le depannage j'etait toujours bien traite et tojours a l' ecoute </t>
  </si>
  <si>
    <t>21/06/2021</t>
  </si>
  <si>
    <t>rfg44000-65019</t>
  </si>
  <si>
    <t xml:space="preserve">Assurance uniquement pour les clients ayant un compte au Crédit Agricole pour bénéficier  du site web. </t>
  </si>
  <si>
    <t>25/06/2018</t>
  </si>
  <si>
    <t>laura-b-132724</t>
  </si>
  <si>
    <t>Je suis satisfais dans l'ensemble les prix sont résonnables l'inscription et le devis sont relativements facile à faire après à voir maintenant dans le temps.</t>
  </si>
  <si>
    <t>rachid-93535</t>
  </si>
  <si>
    <t xml:space="preserve">Une bonne assurance je recommande j'ai eu un accident à l'étranger et tout s'est bien passer avec cette assurance j'ai était remboursé pour les réparations de mon véhicule rien a dire </t>
  </si>
  <si>
    <t>08/07/2020</t>
  </si>
  <si>
    <t>chevallier-d-128839</t>
  </si>
  <si>
    <t xml:space="preserve">Conseillère agréable , à su répondez à toute mes questions , rapide et efficace. Concernant les prix , ils restent compétitifs , première expérience chez vous , en espérant que tout se déroule pour le mieux </t>
  </si>
  <si>
    <t>contrat-maaf-93149912-100085</t>
  </si>
  <si>
    <t>ancien assure aupres de cette compagnie.apres sinistre une duree de surveillance avant resiliation etait prevue duree UN AN information donnee par la direstrice d agence ALENCON pour une raison qui m echappe la duree est prolongee soit 2 ANS.la directrice d agence ne respecte pas ses engagements.j ai donc resilie mes 3 contrats auto.  la multirisques habitation et  mon petit fils va reslier son contrat auto et ne souscrira pas une multirisques habitation aupres de la MAAF ou j etais pourtant assure depuis 30 ans.il est vrai que les gros problemes actuellement sont la COMMUNICATION est le DIALOGUE.salutations</t>
  </si>
  <si>
    <t>khalil-a-106143</t>
  </si>
  <si>
    <t>Je suis satisfait du service.
Le prix est un peu cher.
Je souhaiterais obtenir une réévaluation du tarif proposé.
Je souhaiterais obtenir un nouveau tarif.</t>
  </si>
  <si>
    <t>10/03/2021</t>
  </si>
  <si>
    <t>lamyaa-65314</t>
  </si>
  <si>
    <t xml:space="preserve">À fuire,service commercial,service client incompétents et pire l'assistance Opteven,incompétents,agressifs,raccrochent au nez,font n'importe quoi et remettent la faute sur les différents prestataires alors que j'ai les preuves écrites. Tous les prestataires m'ont dit la même chose "on a l'habitude avec Opteven de faire le travail à leur place" et moi aussi j'ai dû faire le travail à leur place et m'excuser auprès des prestataires. J'ai remonté mes réclamations avec les preuves écrites au mediateur d'Eurofil (filiale d'Aviva),qui a lui même reconnu l'incompétence de cette assistance,qui a remonté les informations auprès de sa direction ( Aviva) et de la direction d'Opteven en indiquant qu'il n'avait pas d'espoir d'un retour de leur part et surtout d'une action donc après moins de 2 mois assurés chez eux,je vais résilier avec l'accord du médiateur et prendre une assurance et une assistance compétente et sérieuse car en 16 ans d'assurance auto dans différentes assurances,je n'ai jamais vécu un cauchemar pareil. Avec un bonus 51 et aucun sinistre,je ne vais pas avoir de mal à trouver une VRAIE assurance avec des agences et avoir à faire à des personnes physiques plutôt que des teleconseillers qui se permettent ce qu'il veulent car ils sont derrière un téléphone. </t>
  </si>
  <si>
    <t>06/07/2018</t>
  </si>
  <si>
    <t>laurent-69991</t>
  </si>
  <si>
    <t>ATTENTION ! Jeune entrepreneur, je suis très régulièrement sollicité par des appels téléphonique des courtiers de Néoliane. Activité louche ! Se fait passer pour le centre de gestion des entreprises...</t>
  </si>
  <si>
    <t>11/01/2019</t>
  </si>
  <si>
    <t>rowel-112753</t>
  </si>
  <si>
    <t xml:space="preserve">Premier rendez-vous chez le véto avec cette assurance, je vous avoue avoir pris peur avec tout les avis que j'ai pu voir, même si certains me semble infondé puisque tout est indiquer dans le contrat.
Et finalement Bonne surprise, délais de remboursement inférieur à une semaine après déclaration complète  du sinistre. Echange par mail et téléphone parfait, je souhaitais savoir comment remplir pour ne pas avoir de soucis et les personnes était très à l'écoute. 
Certes sur le contrat il est indiquer 100% mais il y a tjr une franchise (comme sur les voiture) elle est écrit juste en dessous le tableau disponible h24 dans notre espace, mais je préfère payer ma franchise que l'entièreté de l'opération. Un peu comme nous pour des lunettes ou autres en fin de compte ^^ 
Je suis satisfaite de cette assurance ( pour info j'ai pris la formule complète c'est l'entre deux) </t>
  </si>
  <si>
    <t>05/05/2021</t>
  </si>
  <si>
    <t>lille3456-59105</t>
  </si>
  <si>
    <t>Impossible de radier mes enfants devenus indépendants de ma mutuelle Harmonie Mutuelle malgré une demande de radiation  en recommandé et un an que cela dure alors qu'ils n'ont même pas le droit de garder un contrat familial avec des "enfants" de 23 et 28 ans, non  à charge des parents.... On croit rêver sauf que c'est pas du rêve.... lamentable ! Le pire c'est quand ils vous annoncent qu'ils refusent la radiation... alors qu'ils sont dans l'illégalité à maintenir le contrat</t>
  </si>
  <si>
    <t>24/11/2017</t>
  </si>
  <si>
    <t>ness-124113</t>
  </si>
  <si>
    <t xml:space="preserve">Assurance qui n a rien d"assurement humain" J ai un degat des eaux , la declaration de sinitre a ete faite fin juin. A chaque fois que j appelle j ai un interlocuteur different car il s agit d une plateforme . Apres avoir envoyer la declaration de sinistre , et ne pas avoir de nouvelle je finis par appeler et là, une demande d expertise est enclenchee. Ce dernier me repond au bout de 6 jours pour une expertise fin aout. J ai beau leur dire que c est urgentissisime que des personnes ne dorment pas car il s agit d un immeuble et que plusieurs personnes sont impactees, que cela s aggrave de jour en jour , la.gmf s en fout totalement , il justifie le delai par les conges et le fait qu il ait beaucoup plu en juin dans le val de marne. Il me semble quand meme que les intemperies ont lieu toute l annee. Est il normal que le delai soit justifié par la pluie , les conges et j ai meme eu droit a " l experte mange en une demi heurr " Je leur ai demande de contacter un autre expert pour savoir s il y a d autres dispo mais la.reponse est negative J aimerai bien faire un clip pour dire la verite , il n y a rien d "assurement humain " comme leur dit leur pub dans la.gestion de mon dossier. Je leur ai dit que je suis enceinte de 6.5 mois mais non cela change rien ..Quand on a un degat des eaux qui s empire de jour en jour et qui contraint nombre de personnes a des difficultes , on fait tout pour les aider. Et les intemperies et les conges d ete ne sont pas une excuse pour dire " on s en fout de votre probleme , c est notre delai qui nous va tres bien à nous et nous dormons tres bien avec ". Je suis ecoeuree par tant d indifference et de mepris..c est a en pleurer. Il devrait y avoir un numero clausus , inutile de faire de la pub pour avoir plus de clients si la GMF n a pas les ressources Humaines pour gerer les sinistres. L assurance ce n est pas uniquement encaisser un maximum de cotisations et laisser les sinistres avec leurs dommages.
Et quand aux avis positifs , j aimerai bien connaitre quel est leur delai pour que l expert passe ? </t>
  </si>
  <si>
    <t>delarue-t-137717</t>
  </si>
  <si>
    <t>Reprise du bonus depuis la délivrance de mon permis de conduire malgré le fait que je n'ai été que conducteur secondaire ! Explications, clairs, nettes et précises ! PARFAIT !</t>
  </si>
  <si>
    <t>marc-r-128692</t>
  </si>
  <si>
    <t xml:space="preserve">Très satisfait 
Souscription rapide 
On ne perd pas de temps on va à l’essentiel 
J’aime le système de prendre des options à la carte sans avoir besoin de souscrire l’offre la plus élevée </t>
  </si>
  <si>
    <t>kherraz-h-127056</t>
  </si>
  <si>
    <t>Je suis vraiment satisfait merci c'est une bonne assurance je suis vraiment très content de vous vous êtes une bonne assurance elle est a bon prix bonne journée</t>
  </si>
  <si>
    <t>nanette-80535</t>
  </si>
  <si>
    <t xml:space="preserve">Je suis cliente depuis longtemps (vers 1992) avec la société Santiane que j’apprécie énormément, preuve de ma fidélité. Et mon interlocuteur : Gwendal  attire  mes compliments pour la clarté de ses explications, sa politesse, la promptitude. Je tiens à l’en remercier vivement.
Elyane Gorsira
</t>
  </si>
  <si>
    <t>30/10/2019</t>
  </si>
  <si>
    <t>laurent-76465</t>
  </si>
  <si>
    <t>Assuré depuis que je suis majeur à la GMF, rien à signaler quand tout va bien, mais quand, suite à un sinsitre, je suis sans véhicule car le dépanneur agréé GMF à livré mon véhicule au garage en charge des réparations 5 heures aprés l'heure prévue, me laissant ainsi sans moyen de locomotion, le garage est le garage Marengo de Marseille, surement repris par un fils ou une fille à papa, totalement incompétents et qui heureusement au vu des comptes publiés ou non ne devrait pas tarder à fermer, la GMF prévenue de la situation n'a fait aucun geste commercial, ce qui me contraint a la quitter le choix de ses partenaires ayant déjà été signalé sans aucune action de leur part.</t>
  </si>
  <si>
    <t>04/06/2019</t>
  </si>
  <si>
    <t>pascal-d-126108</t>
  </si>
  <si>
    <t>Satisfait du service, c'est rapide et clair. Après un peu de temps si cette sensation se confirme je passerai sans doute mes autres contrat auto chez direct.</t>
  </si>
  <si>
    <t>patricia-bau-96472</t>
  </si>
  <si>
    <t xml:space="preserve">A fuire!!!!
Délai de Remboursement extrêment long, demande une quantité incroyable de justificatifs pour être remboursé.
'6mois que nous attendons nos remboursement et toujours  rien à l' heure actuelle malgré les justificatifs envoyé. Au téléphone on nous répond et quand cela deviens trop compliqué à nous répondre on nous raccroche simplement au nez. </t>
  </si>
  <si>
    <t>19/08/2020</t>
  </si>
  <si>
    <t>mumu13004-79132</t>
  </si>
  <si>
    <t>A fuir!!!Ils profitent pour augmenter les prix tous les ans sans que vous en soyez informé!!C'est honteux de profiter des soucis de santé de nos animaux pour faire fortune!!</t>
  </si>
  <si>
    <t>12/09/2019</t>
  </si>
  <si>
    <t>mickael-n-131935</t>
  </si>
  <si>
    <t>Je suis très contente prix vraiment raisonnable pour un scooter merci au site april moto j'ai totalement confiance en cette assurance assuré le jour même</t>
  </si>
  <si>
    <t>08/09/2021</t>
  </si>
  <si>
    <t>maedi-109096</t>
  </si>
  <si>
    <t>A combien se sont élevés vos frais de dossier? Assurance proposee par le courtier, chargé du dossier de financement de notre projet immobilier, qui a sûrement flairé notre naïveté.....</t>
  </si>
  <si>
    <t>rogeaux-j-117967</t>
  </si>
  <si>
    <t xml:space="preserve">Satisfait des renseignements donnés et la rapidité d'exécution des contrats. Des conseillers compétents et à l'écoute de leurs clients. Des prix attractifs. </t>
  </si>
  <si>
    <t>23/06/2021</t>
  </si>
  <si>
    <t>marc-j-125116</t>
  </si>
  <si>
    <t xml:space="preserve">moi je vous dit bravos a vous continuer comme sa c'est super vous est tous génial  en tout cas moi qui est chez vous je suis content car en cas de sinistre j'ai été très content que vous soyer la pour moi est surtout pour ma situations merci a vous </t>
  </si>
  <si>
    <t>sebastien-r-130145</t>
  </si>
  <si>
    <t>rapide, efficace le seul reproche que je peux faire est que la garantie corporel serai mieux si elle était inclus et non en option. Même si le montant serai égal, je parle juste du côté logique du contrat.</t>
  </si>
  <si>
    <t>30/08/2021</t>
  </si>
  <si>
    <t>frot-d-126177</t>
  </si>
  <si>
    <t>Je trouve que les devis ont fortement augmenté en 1 mois. Plus de 150 euros. Sinon, le site est très bien fait. J'espère ne pas avoir d'accident!!!!!!</t>
  </si>
  <si>
    <t>pascal-69630-129421</t>
  </si>
  <si>
    <t xml:space="preserve">Des collaborateurs très performants et surtout qui écoutent. 
Force de conseilles, force d'aides, Force compréhensions. A tous les appels que j'ai effectué, les conseillers de générations vous répondent avec un très grand professionnalisme. Il est très rare a ce jour, d'avoir des personnes qui vous communiques des informations viables et efficaces. Un Immense Bravo, a toute l'équipe de génération. Vous êtes vraiment des PROS  </t>
  </si>
  <si>
    <t>billboard-36-51878</t>
  </si>
  <si>
    <t xml:space="preserve">Je déconseille Assur bon plan 
Impossible de joindre le service gestion ! Ne répond pas au mail ni au téléphone 
Service client qui laisse vraiment à désirer 
Temps que vous avez besoin de rien tous vas bien mais si vous leurs demander n'importe quelle document ou autres oublié! </t>
  </si>
  <si>
    <t>31/01/2017</t>
  </si>
  <si>
    <t>catherine-p-131308</t>
  </si>
  <si>
    <t xml:space="preserve">Satisfaite mais j’aurai souhaité avoir l’option prélèvement mensuel 
Sinon les prix sont très correct 
Devis et souscription au contrat rapide et simple </t>
  </si>
  <si>
    <t>davidniny-n-113796</t>
  </si>
  <si>
    <t>Je suis satisfait du prix Merci pour votre emabiliter et de la rapidité très satisfait des tarifs je conseil a tout mais proche de passer par vous pour leur moto ou autre</t>
  </si>
  <si>
    <t>alexandra-d-107447</t>
  </si>
  <si>
    <t>je suis satisfaite des tarifs
les personnes qui nous reçoivent au téléphone sont très à l'écoute..
je recommande cette assurance à beaucoup de personnes et je vais faire de la pub.....</t>
  </si>
  <si>
    <t>22/03/2021</t>
  </si>
  <si>
    <t>vanille-76847</t>
  </si>
  <si>
    <t>QUITTE POUR TROUVE MIEUX QUE MA MUTUELLE</t>
  </si>
  <si>
    <t>17/06/2019</t>
  </si>
  <si>
    <t>bangratz19-111444</t>
  </si>
  <si>
    <t xml:space="preserve">
A éviter : frais élevés , performances ( euros et unités de compte )les plus basses du marché 
( cf: Morningstar ) , communication et suivi nuls . Un des boulets de la BNP .
Ne jamais prendre une assurance d'un banque .</t>
  </si>
  <si>
    <t>katy-v-139650</t>
  </si>
  <si>
    <t xml:space="preserve">Les prix ne sont pas assez dégressifs quand on assure plusieurs motos , pour moi 4 véhicules, ça reste trop cher
Conseiller sympathique mais qui a Pas de pouvoir de décision </t>
  </si>
  <si>
    <t>15/11/2021</t>
  </si>
  <si>
    <t>01/11/2021</t>
  </si>
  <si>
    <t>de-mourgues-f-108265</t>
  </si>
  <si>
    <t>les prix sont intéressants je suis satisfait je suis un jeune conducteur et ce n'est pas facile de trouver une assurance à un prix raisonnable je recommande</t>
  </si>
  <si>
    <t>27/03/2021</t>
  </si>
  <si>
    <t>pironneau-g-121119</t>
  </si>
  <si>
    <t xml:space="preserve">Je suis Satisfait de votre accueil téléphonique de la rapidité et du service des informations que vous m'avez transmis lors de notre conversation téléphonique 
</t>
  </si>
  <si>
    <t>24/06/2021</t>
  </si>
  <si>
    <t>pablo-a-125509</t>
  </si>
  <si>
    <t>très facile de souscrire en ligne. top
je'n suis ravi et assuré, en plus les tarifs sont vraiment compétitives a défier toute concurrence. je reviendra pour mes autres véhicules</t>
  </si>
  <si>
    <t>29/07/2021</t>
  </si>
  <si>
    <t>math59130-90958</t>
  </si>
  <si>
    <t>Personnel au téléphone efficace et accueillant</t>
  </si>
  <si>
    <t>15/06/2020</t>
  </si>
  <si>
    <t>frederic-v-108413</t>
  </si>
  <si>
    <t>Rapide et performant ...parfait pour ce deuxième essai 
Tres bon contact avec mon conseiller, qui réagit vite. L interface de signature est simple également.</t>
  </si>
  <si>
    <t>29/03/2021</t>
  </si>
  <si>
    <t>polo-104898</t>
  </si>
  <si>
    <t xml:space="preserve">je suis assuré depuis 1970 mon père depuis 1963 j'ai toujours été satisfait le seul inconvenient aujourd'hui c'est de ne pas pourvoir régler les sinistres directement dans sont agence choisie .Je tiens à dire que l'agence de Pessac Alouette 33600 le personnel est au top je suis vraiment satisfait de trouver un personnel vraiment à l'écoute et que la fidélité à la Matmut est bien reconnu. Pour mon cas j'ai subi un vol à la roulotte on ma brisé une vitre ,dérobé plusieurs objets non garantie, mon agence de Pessac Alouette a permis avec le siege social Matmut France d'obtenir une somme non négligeable pour fidélité .je remercie sincèrement de m'avoir aidé pour ce sinistre .  je peux ajouté que j'ai subi un cambriolage en 1991 et bien là aussi j'ai été satisfait de mon assurance. </t>
  </si>
  <si>
    <t>27/02/2021</t>
  </si>
  <si>
    <t>moi-78050</t>
  </si>
  <si>
    <t xml:space="preserve">Très fort en vente mais plus de côte humain et gestion par des personnes non a l écoute qui ont le but de vous dire que c est jamais remboursé </t>
  </si>
  <si>
    <t>SantéVet</t>
  </si>
  <si>
    <t>30/07/2019</t>
  </si>
  <si>
    <t>id-98650</t>
  </si>
  <si>
    <t>Ils traitent très mal leur client par téléphone
Aucune information du traitement de votre dossier
Lenteur inacceptable des dossiers, 2.5 mois sans véhicule ni pouvoir commencer les travaux
A fuir absolument !!! je retourne vers mon ancien assureur même si plus cher
Je vais aussi résilier tous mes autres contrats habitation et santé chez eux !</t>
  </si>
  <si>
    <t>marymai--116453</t>
  </si>
  <si>
    <t xml:space="preserve">satisfaite pour le moment .on verra bien a l'usage  ; j'ai un interlocuteur sympathique et à l'écoute de mon problème  .J'espère que la suite sera à l'avenant de ce contact .sincères salutations   M B </t>
  </si>
  <si>
    <t>09/06/2021</t>
  </si>
  <si>
    <t>alain-dantan-91200</t>
  </si>
  <si>
    <t xml:space="preserve">je suis tres satisfait de mes contrats.ayant trois vehicules. assure chez vous je compte sur vous pour me faire un bon prix .cordialement.alain dantan </t>
  </si>
  <si>
    <t>17/06/2020</t>
  </si>
  <si>
    <t>gigi-la-campeuse--97022</t>
  </si>
  <si>
    <t xml:space="preserve">Bonjour le 11 août 2020 une tempête de grêle s'est abattue sur le village de Fernoël dans le Puy-de-Dôme. Une grande exception puisque les habitants les anciens n'ont jamais connu ce phénomène. Ma voiture a été très endommagé et rapatrier dans le garage le plus proche.je devais avoir une voiture de prêt mais malheureusement le parc automobile de Clermont-Ferrand avait aucun véhicule de disponible je me suis retrouvé sans voiture. Comment je me suis retrouvé dans une grosse galère mais je reconnais que la Matmut a été efficace et surtout à l'écoute. Cette situation est dû à (la faute à pas de chance) personne n'est responsable je remercie également la mairie de fernoël et ses habitants qui ont été d'un grand soutien. Mon véhicule n'est pas réparable du fait du coup des travaux. j'ai été rapatrier par Europe assistance en taxi jusqu'à ma maison. Une compagnie de taxi très professionnel agréable et avec un véhicule haut de gamme. Je recommande la Matmut pour sa réactivité et son écoute .
ghislaine lacombe </t>
  </si>
  <si>
    <t>flour-b-115212</t>
  </si>
  <si>
    <t>Je suis pour l'instant entièrement satisfait des informations qui m'ont été données et espère rester assuré le plus longtemps possible chez l'Olivier Assurance.</t>
  </si>
  <si>
    <t>beaufils-y-123559</t>
  </si>
  <si>
    <t xml:space="preserve">Satisfait, rapide et bien expliqué.
Correspondant courtois.
Question :
Pourquoi ne peut on pas être assuré tous risques avec un numéro provisoire en WW ?
</t>
  </si>
  <si>
    <t>16/07/2021</t>
  </si>
  <si>
    <t>nina-98224</t>
  </si>
  <si>
    <t>Efficace explique très bien  tres patiente aimable et merci sa mérite  les 5 étoiles 
Renseigne explique au top merci pour votre aide ??????????????????</t>
  </si>
  <si>
    <t>saverio-a-131051</t>
  </si>
  <si>
    <t>Très satisfait et toujours très réactif, les devis sont très clairs et les prix très compétitifs.
Très bonne prise en compte des dossiers et le suivi est impécable.
je recommande</t>
  </si>
  <si>
    <t>gerald-75289</t>
  </si>
  <si>
    <t>assuré chez AMV depuis plusieurs années, aucun soucis. 1 sinistre non responsable, le dossier a été géré correctement.Rien à dire, parfait.</t>
  </si>
  <si>
    <t>22/04/2019</t>
  </si>
  <si>
    <t>mel-60211</t>
  </si>
  <si>
    <t>Aucuns respect des clients
Manque de considérations 
Pas professionnel 
Aucun interet</t>
  </si>
  <si>
    <t>05/01/2018</t>
  </si>
  <si>
    <t>mustapha-b-135734</t>
  </si>
  <si>
    <t xml:space="preserve">Prix élevé par rapport à la puissance du. Scooter je trouve cela relativement cher comparer à d'autre assureur surtout pour un 50cc qui reste la plupart du temps au garage </t>
  </si>
  <si>
    <t>03/10/2021</t>
  </si>
  <si>
    <t>val-79786</t>
  </si>
  <si>
    <t>impossible de joindre le service sinistre ou alors on vous fait patienter presque 20 mn sur un numéro surtaxé. Si par malheur vous ne tombez pas sur la bonne personne, on vous bascule sur un autre service sans s'assurer que le numéro réponde et sans aucune formule de politesse. Et là, vous tombez sur un serveur vocal qui vous dit que tout le monde est en ligne et qu'il faut rappeler avant 17 h ! Mais j'aimerai bien les joindre avant 17 h mais c'est impossible.... Comment faire ?</t>
  </si>
  <si>
    <t>07/10/2019</t>
  </si>
  <si>
    <t>jack-88150</t>
  </si>
  <si>
    <t xml:space="preserve">Une assurance, en plus d'être parmi les chère du marché, les garanties sont souvent mal prise en charge. Avant de vous rembourser, il cherchent d'abord la moindre chose pour vous le refuser, par exemple par rapport aux questions qu'ils vous posent lors de la souscription du contrat pour vous dire que vous avez fait une fausse déclaration. Je vous conseille de l'éviter. </t>
  </si>
  <si>
    <t>17/04/2020</t>
  </si>
  <si>
    <t>dembowska--117174</t>
  </si>
  <si>
    <t xml:space="preserve">Cliente depuis 17 ans, Déclaration d'une porte de garage fracturée + 1 dégât des eaux en 2 ans avec contestation de leur expertise... Appels, messages vocaux laissés sur leurs répondeurs qui précisent de ne pas rappeler, le message ayant été pris en compte et comme ils travaillent  ( eux ! ) beaucoup, ils reprendront contact avec moi ''dès que possible ''. 2 semaines : rien !
Puis un retour, je réexplique les incoherences de leur constat.....
Réception 48h après d'une courrier de résiliation ! 
Conclusion, assurance ''parfaite'' tant que l'on ne déclare aucun sinistre, sinon résiliation ! 
Qu'à cela ne tienne, je change de banque : CA, résilie le contrat habitation de ma mère, ainsi que de sa voiture et des 2 autres de notre ménage...
Par facilité, on concentre tout sur sa banque, manifestement grosse erreur. La concurrence est là et en plus moins chère ! !!
</t>
  </si>
  <si>
    <t>16/06/2021</t>
  </si>
  <si>
    <t>antoine-b-128947</t>
  </si>
  <si>
    <t>Je suis très satisfait de mon Devis Auto par direct assurances
Car le site commerçants es très APERATIONEL et à l'écoute des clients merci pour vous cordialement</t>
  </si>
  <si>
    <t>21/08/2021</t>
  </si>
  <si>
    <t>olivier-b-133775</t>
  </si>
  <si>
    <t>je suis satisfait des prestations, mais je souhaiterais aque GMF soit force de proposition. afin d'adapter vos offres par rapport à notre famille 
avec trois enfants qui grandissent ....</t>
  </si>
  <si>
    <t>21/09/2021</t>
  </si>
  <si>
    <t>pam-77006</t>
  </si>
  <si>
    <t>Nous avons eu une panne avec mon camion il y a plus d'un mois en Slovénie La Maif est réactive et fait réparer le camion Sur la route 2h plus tard nous subissons la même panne et depuis le véhicule est bloqué toujours en Italie Pas de véhicule de remplacement Et nous ne pourrons pas partir en vacances dans quelques jours sans le camion La Maif nous a donné le n de tel en Italie qui répond après 30mn voir 1h et le véhicule n'est toujours pas réparé malgré nos appels réguliers Quel moyen avons nous pour agir Y at-il un temps défini pour une réparation assez banale Merci de vos réponses</t>
  </si>
  <si>
    <t>21/06/2019</t>
  </si>
  <si>
    <t>nathcham-71950</t>
  </si>
  <si>
    <t xml:space="preserve">Le service  client  y est déplorable. 
Ils ne prennent  même  pas la peine  de rappeler même  après  plusieurs  mails  avec accusé de réception et de lecture.  
C'est  un carnage  pour résilier.  
Si ils prenaient  au moins  le temps  de compléter les espaces  perso de leurs  clients  avec les courriers courrier tel que "les hausses de prix des cotisations "  au lieu  d'envoyer  des mails  qui n'arrivent jamais  à  leur destinataire.  
Donc en début  d'année surprise  augmentation  de tarifs... je vérifie mes emails...rien . 
Je contacte le service  client  c'est  limite  si on ne me prend pas pour une  débile.  " on à  bien  envoyé  le mail  donc vous ne pouvez pas résilier c'est  trop tard.  Bin ça  me fait une belle  jambe </t>
  </si>
  <si>
    <t>07/03/2019</t>
  </si>
  <si>
    <t>sisiben-114051</t>
  </si>
  <si>
    <t>Je ne peux malheureusement pas changer de mutuelle car cest celle de mon travail. Une honte ! Depuis quelques mois c'est devenu catastrophique ! Jai envoyé une facture pour les.soins dentaires de mon fils le 8 avril. On m'annonce 1MOIS DE DELAI !!! Nous sommes le 18 mai et toujours pas de remboursement ! Je les ai appelé 4 fois après avoir passé plus de 30 min à attendre pour obtenir quelqu'un au bout du fil. Leur réponse ? On transmet votre demande au service concerné. De plus je ne sais pas comment ils arrivent à se débrouiller pour pas réussir a prélever sur mon compte 7.50€ qu'ils prélèvent sans problème tous les mois depuis 3 ans. Je sais pas comment ils se démerdent mais ils ne font plus le prélèvement et par la suite je reçois des courrier de mise en demeure !! Alors là cest trop !!! Si vous cherchez une mutuelle FUYEZ!!!! PASSEZ VOTRE CHEMIN CE SONT DES BONS A RIEN !!!</t>
  </si>
  <si>
    <t>myriam--c-105708</t>
  </si>
  <si>
    <t>Je suis satisfait de direct assurance par contre lorsque l on a un accident il n y a pas beaucoup de garage affiliés sur Antibes!! Sinon vous êtes reactive</t>
  </si>
  <si>
    <t>06/03/2021</t>
  </si>
  <si>
    <t>men-63071</t>
  </si>
  <si>
    <t>Dossier 13877 . J ai résilié le jour même de ma souscription suite à 2 3 appels  du service client. Rien n est clair .impossible de rajouter un second conducteur et c est stipulé nulle part .tout ce qu' ils me disent c est que c est dans les mails que j ai reçu. Et moi j ai rien retrouvé. Service clients incompetant. J ai résilié  Depuis 5jours par recommandé. Et toujours rien pas de confirmation de leur part . Ils me demandent de compléter les papiers.lol.J ai payé l année  Et j attend qu' on me rembourse pour m assurer ailleurs .je suis dans le flou  Catastrophique! !!!!</t>
  </si>
  <si>
    <t>09/04/2018</t>
  </si>
  <si>
    <t>anonyme-78243</t>
  </si>
  <si>
    <t xml:space="preserve">fonctionne avec des experts de meche avec les garagistes
constaté suite au recours a l'asssitance juridique suite a reparation chez un garagiste
si vous exprimez votre insatisfaction on essaye de noyer le poisson   </t>
  </si>
  <si>
    <t>07/08/2019</t>
  </si>
  <si>
    <t>nanou-33-81099</t>
  </si>
  <si>
    <t xml:space="preserve">En arrêt suite à une arthrodèse, je ne peux plus reprendre mon poste de travail. Étant trop jeune la CPAM me demande de faire un bilan de compétence pour trouver une formation compatible avec mon état de santé afin d'éviter une invalidité. De ce fait sur avenir a estimé que j'étais stable alors que pas du tout ! Je suis dépité et pense faire appel à un avocat ou une association de consommateurs. Ce qui est certain c'est que je vais changer de crémerie </t>
  </si>
  <si>
    <t>Suravenir</t>
  </si>
  <si>
    <t>18/11/2019</t>
  </si>
  <si>
    <t>soares-m-133207</t>
  </si>
  <si>
    <t xml:space="preserve">Je suis satisfait du service en général du prix proposé et de la rapidité du conseillé très professionnel je le recommanderais fortement à mon entourage </t>
  </si>
  <si>
    <t>zoz-106545</t>
  </si>
  <si>
    <t xml:space="preserve">Pour un 500 des années 80 transformé en café racer, j'ai souscrit une assurance "Ma perso" il y a un an en m'appuyant sur un expert aggrée par la MDM. Je viens de recevoir mon avis d'échéance : +32% d'augmentation !!!!! Bien sûr aucun sinistre... 
Réponse de la MDM : 
L'envolée des sinistre corporels (à croire que tous les "manches" qui se plantent en bécane sont tous assurés à la MDM, vu que les autres compagnies sont trèèsss trèèèès très loin d'augmenter leurs tarifs dans de telles proportions... 
Autre raison invoquée : la technologie embarquée de plus en plus chère... Sur un 500 mono de 81, donc bécane de 40 ans, je vous laisse imaginer les GPS et autre ABS... Lamentable... 
PROBLEME : 
J'ai une bécane transformée. Qui va maintenant vouloir m'assurer si j'en parle ??? Et si je ne dis rien, quid de la prise en charge en cas de sinistre ???
Avec 32% d'augmentatiuon, je suis persuadé que la MDM a chargé un max les contras "Ma perso" car ils savent pertinemment que l'on ne pourra pas aller voir ailleurs, étant les seuls à ma connaissance à faire ce type de contrat sur le marché... 
Alors qu'il est statistiquement prouvé que le nb de sinistres avec ce type de bécane n'est pas plus élevé voir même moins élevé qu'avec les motos dites d'origine (dixit le conseiller MDM lui-même au moment de la souscription il y a un an !!!).
Lamentable, écoeuré, un coup de couteau dans le dos... A FUIR
PS : j'ai laissé mon N° de dossier pour soit-disant obtenir une réponse... J'attends
</t>
  </si>
  <si>
    <t>14/03/2021</t>
  </si>
  <si>
    <t>valerie-d-124404</t>
  </si>
  <si>
    <t>Je suis satisfaite du service et des offres proposées.
Le seul bémol, c'est le prix !  Je trouve élevé le montant que je paie par mois vu le nombre d'années que je suis assurée chez vous.</t>
  </si>
  <si>
    <t>joch60-101576</t>
  </si>
  <si>
    <t>J'étais dans cette assurance depuis plusieurs années. J'ai voulu résilier et ils m'ont IMMEDIATEMENT appelé pour me demander de rester. J'ai dit non et ils m'ont harcelé pour me proposer un tarif préférentiel que je pouvais tout de même résilier à la fin de l'année. J'étais très étonné car ce qu'ils disaient au téléphone ne correspondaient pas à ce qui était écrit sur le contrat. 
On m'a ASSURE et PROMIS par téléphone que je pourrais résilier avant la fin de la première année. J'ai signé et... Résultat, impossible de résilier comme ils l'avaient promis. Ne vous faites pas avoir par les blablas que l'ont vous dit au téléphone et regardez bien chaque ligne du contrat. Si vous ne voulez pas perdre de temps à lire des centaines de lignes juridiques, prenez juste une mutuelle en qui on peut avoir confiance. Merci de me contacter pour me faire part de toutes les problèmes de ce type que vous avez au avec eux. Je vais collecter toutes les personnes qui se sont faites abuser comme moi. Je vais également collecter sur les réseaux sociaux. Si vous les avez enregistrés, ce que je regrette de ne pas avoir fait, envoyez moi les preuves que nous puissions remonter les abus devant les tribunaux.</t>
  </si>
  <si>
    <t>remi340-65169</t>
  </si>
  <si>
    <t>Étant déjà assuré à la Maif avec ma conjointe sur un contrat, j’ai dû signer un nouveau contrat pour être assuré suite à nôtres séparation. Le problème, c’est que la date de séparation compte comme date de signature d’un nouveau contrat et me réengage pour un an... Le tarif est très élevé pour un véhicule moyenne gamme avec un coefficient de 0,85 (presque 1400€ à l’année) et les garanties ne sont pas spécialement plus intéressantes que celles de la concurrence à mon goût.</t>
  </si>
  <si>
    <t>30/06/2018</t>
  </si>
  <si>
    <t>vincent-m-125332</t>
  </si>
  <si>
    <t xml:space="preserve">Je suis déjà assuré avec l'habitation
Satisfait pour les meilleurs prix et le service.
Simple sur le site pour adhérer à une assurance.
J'attends l'échéance de notre autre véhicule assurer chez Olivier assurance pour adhérer a nouveau. </t>
  </si>
  <si>
    <t>coluk-c-123444</t>
  </si>
  <si>
    <t xml:space="preserve">Je suis satisfait du service que m’a apporter L’olivier assurance et rapidement j’espère que je serais encore partis vous pour mais prochain véhicule cordialement </t>
  </si>
  <si>
    <t>15/07/2021</t>
  </si>
  <si>
    <t>sandrine-d-117256</t>
  </si>
  <si>
    <t>Je suis satisfaite de cette assurance, des services et de la disponibilité des employés. 
L'espace client est très pratique, clair et facile d'utilisation.</t>
  </si>
  <si>
    <t>diallo-a-133251</t>
  </si>
  <si>
    <t>Je suis satisfait du contrat assurance automobile sur mon véhicule.
Le prix aussi me convient. 
La lecture par la conseillère de mes droits était claire et explicite.</t>
  </si>
  <si>
    <t>solange06-57913</t>
  </si>
  <si>
    <t>Eurofil n'a pas les moyens de sa stratégie</t>
  </si>
  <si>
    <t>09/10/2017</t>
  </si>
  <si>
    <t>bd-81378</t>
  </si>
  <si>
    <t xml:space="preserve">commentaires très défavorables et vraiment justifiés concernant le service clients d'Allianz vie
Strasbourg, Toulouse ou ailleurs
- suite à un décès datant du 4 septembre 2019 et à l'envoi d'un acte de décès et de notre adresse postale 
- envoi d'un premier courrier de l'assureur au bénéficiaire le 25 octobre à une adresse totalement erronée (en Haute Saône alors que ce dernier habite le département de la Savoie)
mi-novembre un contact téléphonique à l'initiative du bénéficiaire s'inquiétant du manque de nouvelles sera suivi de l'envoi d'un mail de l'assureur indiquant les documents à fournir.
- les documents réclamés transmis dans les 48h ont été suivis d'un second envoi de l'assureur dans la même localité de la Haute Saône avec le nom de rue cette fois exacte.
A noter que lors de notre 1er appel téléphonique une communication de l'adresse exacte a été faite et réitérée par mail ( le 17 nov) accompagnant l'envoi des documents demandés (copie pages livret de famille etc etc) 
- second appel au 09 78 ce mardi 26 novembre afin de s'inquiéter de la bonne réception des documents. Bonne et heureuse initiative. Nous apprenons alors qu'un courrier postal rédigé le 18 nov a été acheminé dans la même localité de Haute Saône avec le nom de rue cette fois exact.
Confrontée comme nous à cette plaisanterie notre correspondante choisit alors à nouveau l'envoi par mail du document CERFA destiné à être transmis rapidement au service enregistrement des finances publiques.
Aussi, elle s'aperçoit comme nous d'erreurs commises sur le document (nom de famille mal orthographié adresse du souscripteur erronée)
Elle nous conseille alors de télécharger l'imprimé Cerfa 2705 sur le site Gouv.fr de le compléter et de le transmettre au service Enregistrement !  
Notons aussi que sur ces documents pré-renseignés le nom de rue et commune du souscripteur sont erronés - rue Helvétia - laquelle n'a jamais pu être rédigée comme cela par le souscripteur (lequel n'a jamais changé d'adresse et perdu la tête !)
En scrutant la lettre d'accompagnement, il est probable que son rédacteur ait repris seulement en partie un document établi antérieurement pour un autre client.
Nous osons espérer que le troisième courrier postal sera transmis à notre adresse exacte en Savoie
Que de gâchis, de manque de sérieux, d'approximation, de manque de professionnalisme,
C'est à se demander si chez Allianz le DRH se soucie bien de la compétence du personnel recruté (lecture, écriture) comme à l'école primaire ! 
D'ici 15 jours, trois mois se seront écoulés depuis le décès du souscripteur ?? 
Nos écrits rejoignent ils certaines remarques de même acabit déjà exposées par ailleurs par des clients.
</t>
  </si>
  <si>
    <t>27/11/2019</t>
  </si>
  <si>
    <t>pierrot87-74833</t>
  </si>
  <si>
    <t xml:space="preserve">Avant c'était très bien, maintenant c'est a fuir. ils ont de CGV assez peu precise, sont pas facilement contactables et fobt tout pour vous débourser le moindre centimes (retour d'expérience de plusieurs personnes gravement sinistrés au niveau corporel)  maintenant je suis chez le concurrent direct, a peine plus cher, pas génial mais couvre mieux déjà. </t>
  </si>
  <si>
    <t>06/04/2019</t>
  </si>
  <si>
    <t>mariedom-93242</t>
  </si>
  <si>
    <t>j' ai eu un sinisre (mur effondré durant tempête Denis le 17 février) près de Caen. Aucune réponse  de GMF depuis la visite de leur expert mi mars. Aucune réponse aux télp, aux courriels, aux lettres recommandées...Nous sommes le 6 juillet 2020....</t>
  </si>
  <si>
    <t>06/07/2020</t>
  </si>
  <si>
    <t>retraitee-en-colere-56006</t>
  </si>
  <si>
    <t>Assurée depuis 40 ans à la Maif , l' ayant recommandée à d' autres personnes ..je viens de tomber de haut ! Déjà au niveau d' un grave accident d' un de mes enfants , on me demandait ce dont j' avais besoin mais en aucun cas ; on ne me précisait ce dont je pouvais disposer , il a fallu que les médecins du Centre de Rééducation me renseignent sur mes droits ! Et aujourd'hui , des histoires pour assurer un nouveau véhicule , dossier bloqué par le Siège suite à un accident d' un de mes fils seul en voiture et seul en cause sans blessures ...mais avec alcool !Ok , aucune prise en charge par l' assurance , même pas le dépannage de la voiture.Ok On nous traite comme des délinquants , d' accord sur le fait d' interdire  à mon fils de conduire des voitures assurées à la Maif pendant 2 ans !!!!!!Mais "refuser" d' assurer chez eux un nouveau véhicule à mon nom (je ne suis que la maman !) et devoir passer par un médiateur !!!!C 'est le summum ! depuis que la Maif a ouvert son assurance à d' autres que les fonctionnaires de l' Education Nationale ,le Siège agit sans respect pour ses Sociétaires alors autant aller voir ailleurs !</t>
  </si>
  <si>
    <t>13/07/2017</t>
  </si>
  <si>
    <t>dida-75230</t>
  </si>
  <si>
    <t>Bonjour.
J'écris pour mes parents de 75 et 77ans(.clients Macif depuis 40 ans)ils ont toujours acheter des véhicules neufs et jamais eu de soucis,sauf ce mercredi en partant des Bouches du Rhône pour rentrée a leurs domicile ,sur l'autoroute un injecteur a lâché (400kms de chez eux)la Macif a pu obtenir un véhicule de prêt pour qu'ils puissent rejoindre leurs domicile sauf que les travaux vont durer une semaine,que mon père est un opérer du coeur et que la Macif vient de lui apprendre qu'il ne cotisé pas pour avoir un véhicule de prêt couvrant cette période !!sa veut dire que pendant cette semaine,ils devront resté enfermé chez eux en souhaitant qu'ils n'est pas de soucis de santé et que la voisine puisse faire leurs courses...ils devront aussi refaire 400 kms pour aller récupérer leurs voiture...
Je déconseille  a qui que ce soit de prendre une assurance haute gamme pour arrivé a ce résultat,puisque les concurrents de celle ci propose les mêmes services a un prix beaucoup plus dérisoire !!
Donc fuyez la Macif surtout si vos parents sont comme les miens très et trop gentils..
A bon entendeurAppuyez sur un élément pour le coller dans le champ de texte.</t>
  </si>
  <si>
    <t>19/04/2019</t>
  </si>
  <si>
    <t>angie76-86330</t>
  </si>
  <si>
    <t>Je vois que je ne suis pas la seule à rencontrer ce problème de prise en charge. C'est vraiment décevant.
En arrêt depuis le mois d'avril 2019 pour cause de Burn Out au travail. Je suis sous traitement antidépresseur et anxiolytique depuis cette date. 
Je suis de nouveau prolongé et la seule réponse que j'ai eu et pas par Cardif mais pas le service de recouvrement Cetelem " je dois me faire hospitaliser " 
Maintenant ils sont médecins et en fait je dois faire quoi ?
Par contre les mois où ils ne m'ont pas prélevé en attendant la réponse et bien dès qu'ils l'ont donné à Cetelem j'ai été en service recouvrement avec 5 appels par jour (sur mon portable, à la maison et même le portable de mon mari).
On paye et quand on a vraiment besoin et bien il n'y a plus personne pour nous aider dans ces situations délicates.
Et pourtant ma thérapeute a rempli le questionnaire minutieusement alors que faire ?</t>
  </si>
  <si>
    <t>25/01/2020</t>
  </si>
  <si>
    <t>kikonda-b-123658</t>
  </si>
  <si>
    <t xml:space="preserve">Très sympa au téléphone , je suis aussi ravie de tout les explications.  Et les prix aussi, voilà pourquoi je veux associer tout mes contrats chez vous </t>
  </si>
  <si>
    <t>philippe-g-113496</t>
  </si>
  <si>
    <t xml:space="preserve">Très satisfait des tarifs et des produits proposés en fonction des prix, ainsi que la facilité d'accès pour transmettre les documents qui sont demandés. </t>
  </si>
  <si>
    <t>carynga-72154</t>
  </si>
  <si>
    <t xml:space="preserve">CE service se perd de prélever des sommes sans AUTORISATION et alors même que j'ai demandé à plusieurs reprises la résiliation du contrat en raison de la non prise en compte.   </t>
  </si>
  <si>
    <t>14/03/2019</t>
  </si>
  <si>
    <t>jean-francis-65739</t>
  </si>
  <si>
    <t>Contrat litigieux. Deux devis prix differents et prelevement tres rapide et injustifie. J emet des doutes sur cette compagnie et consulter l organisme des consommateurs pour regler ce litige</t>
  </si>
  <si>
    <t>25/07/2018</t>
  </si>
  <si>
    <t>eurytos-65963</t>
  </si>
  <si>
    <t>Bonjour, à la recherche d'une nouvelle mutuelle pour ma compagne, j'ai effectué en ligne des comparatifs de mutuelle en ligne, et j'ai rapidement été recontacté par un courtier de chez santiane. Ce dernier peu clair au téléphone m'a tenu la jambe au téléphone 30 min pour me raconter son baratin. Au cours de cet entretien il me vante les mérites de Néoliane et me fait parvenir un devis. Voulant prendre le temps de la réflexion, nous convenons d'un rdv téléphonique en ce jour. Le courtier n'honore pas l'heure du rdv et me recontacte plus tard. 
Entre temps je me suis rendu directement sur le site de Néoliane et me rend compte qu'il n'est pas possible de souscrire directement auprès d'eux. 
Je téléphone 04.92.17.53.58, puis en suivant les indications du serveur vocal je tape sur les touches 3 puis 2. On me dit alors de ne pas raccrocher et qu'un conseiller va me répondre. J'ai effectué le test à deux reprises et à chaque fois leur serveur me raccroche au nez. J'ai donc essayé de ruser et d'appuyer sur des touches du clavier non proposées (* et #), leur serveur vocal me dit ne pas comprendre mon choix et m'informe qu'un conseiller va prendre un appel. Après quelques minutes d'appel, on conseiller prend en effet la communication et se présente comme un conseiller de la société néoliane, or après quelques minutes de conversation je me rend compte qu'il s'agit en fait d'un courtier de santiane.fr. Quand vous téléphonez au numéro indiqué sur le site de néoliane vous êtes donc redirigé vers le numéro de santiane. 
Par ailleurs les deux numéros de téléphone sont localisés à Nice, coïncidence? ou une seule société. Bref cet obscurantisme ne donne pas envie d'adhérer à leur mutuelle, fuyez !</t>
  </si>
  <si>
    <t>03/08/2018</t>
  </si>
  <si>
    <t>johann-liebert-106959</t>
  </si>
  <si>
    <t xml:space="preserve">Je vous déconseille fortement cette assurance malgré des preuves accablante filmée avec la personne en record enregistré oralement, Olivier assurance préfère mettre un 50/50 avec l'assurance adverse pour mettre des malus et donc faire payer les 2 assurés. 
Cette assurance vaut son prix, c'est à dire rien. </t>
  </si>
  <si>
    <t>nicolas-g-131067</t>
  </si>
  <si>
    <t>Je suis satisfait du site qui est simple, efficace et rapide.
J'espère que les garanties souscrites seront à la hauteur de mes espérances. 
Cordialement, Nicolas</t>
  </si>
  <si>
    <t>misterbry-68902</t>
  </si>
  <si>
    <t>Voir quelques posts plus loin, j'ai écrit une lettre de contestation pour résiliation abusive il y a plus d'un mois et toujours aucune réponse alors que l'échéance arrive au 31 Décembre. Pas un mail, pas un coup de fil pour discuter des points que je conteste. Je sais simplement que la lettre a été reçue, pas moyen d'avoir un interlocuteur au courant de quoi que ce soit. Je cours après le militant qui est censé s'occuper de mon dossier( mais bon je ne lui jette pas la pierre c'est un bénévole). Mettre les gens dans une situation pareille est une honte( car on est inscrit pendant trois ans au fichier des résiliés des assurances et on paye une fortune pour s'assurer ailleurs). J'ai eu des témoignages de tas de personnes qui m'ont indiqué que lorsqu'ils avaient été dans une situation de sinistralité( et je conteste être dans ce cas!), leur assurance les avaient contacté pour négocier une résiliation " à l'amiable" afin de ne pas être inscrit sur cette fameuse liste. Voilà ce qu'est une assurance à visage humain!!!</t>
  </si>
  <si>
    <t>clarisse-p-126403</t>
  </si>
  <si>
    <t>Je suis satisfaite du devis, les prix sont abordables, j’espère que tout se passera bien, et que les conseillés seront disponible en cas de besoin. Merci</t>
  </si>
  <si>
    <t>04/08/2021</t>
  </si>
  <si>
    <t>marie-pierre-h-108434</t>
  </si>
  <si>
    <t>Je suis très satisfais du service.  Mon interlocutrice à était très agréable, serviable et compétente. Le tarif mensuel et à ma convenance. Je vous remercie de cette prestation.</t>
  </si>
  <si>
    <t>agades-61819</t>
  </si>
  <si>
    <t>Paie au rabais , ne respecte pas la loi .
Je suis victime d'un accident de la route l'expert de la Macif chiffre au plus bas les réparations de mon véhicule en connivence avec la Macif , malgré l'envoi des textes de LOI pour rappel ils se moquent des lois !!!</t>
  </si>
  <si>
    <t>27/02/2018</t>
  </si>
  <si>
    <t>wolf74-81414</t>
  </si>
  <si>
    <t>assurance pret immo nul et en plus de mauvaise fois  assurance a déconseiller .dossier de leur expert medical jamais fourni indemninasation refuser ce basant sur des fait suisse alors que je suis en france et mon invalidité reconnue par la cpam 100pour cent et la baloise suisse 75 pour cent mon credit immo a été fait en france et je suis francais</t>
  </si>
  <si>
    <t>CNP Assurances</t>
  </si>
  <si>
    <t>28/11/2019</t>
  </si>
  <si>
    <t>virg38-71845</t>
  </si>
  <si>
    <t xml:space="preserve"> bonjour 
Ils m ont créer un 2 ème compte pour le même véhicule et donc retirer 2 fois 77euros sur mon compte et toujours pas remboursé. Assureur à fuir j aurais du lire tous ces messages avant d adhérer chez eux  en plus je roule sans carte verte puisqu'ils me l ont pas envoyé et sur mon compte impossible de l imprimer le dossier est vide</t>
  </si>
  <si>
    <t>04/03/2019</t>
  </si>
  <si>
    <t>exantus-k-125393</t>
  </si>
  <si>
    <t>Plutôt satisfaite, mais attendons le cas échéant un problème....car comme beaucoup de 'partenaire' les relations entre assureur et assuré ont tendance à se gâter quand il faut indemniser l'assuré....allez savoir pourquoi??????</t>
  </si>
  <si>
    <t>sophie-r-132984</t>
  </si>
  <si>
    <t>Je suis satisfait du service. Le prix me semble correctpar rapport à d'autres assurances. Démarche administrative facile d'accès. Tout a porter de main</t>
  </si>
  <si>
    <t>arnaud78-115432</t>
  </si>
  <si>
    <t>Même avis que les précédents. Mon contrat a pris 50 % d'augmentation en 6 ans pour un chat bien portant et qui n'a JAMAIS eu aucun souci de santé. Mon conseil : n'assurez pas votre animal mais provisionnez les éventuels frais de vétérinaire. Cet argent sera mieux sur votre compte que sur le leur.</t>
  </si>
  <si>
    <t>31/05/2021</t>
  </si>
  <si>
    <t>mesquita--123095</t>
  </si>
  <si>
    <t xml:space="preserve">Très content de mon assurance Eurofil. Facilité d’avoir un conseiller au téléphone. Très à l’écoute et nous on guidé pendant toute la mise en état de nos 2 véhicules abîmés par la grêle 
Je conseille très vivement cette assureur </t>
  </si>
  <si>
    <t>regis-i-132775</t>
  </si>
  <si>
    <t>simple rapide. assez satisfait du prix .pour le reste a voir avec le fonctionnement. assez satisfaisant. bonne transaction. pas assez de données pou un deuxième conducteur occasionnel.</t>
  </si>
  <si>
    <t>14/09/2021</t>
  </si>
  <si>
    <t>mf68-38065</t>
  </si>
  <si>
    <t>Très procédurier, aucune empathie, ou sont les "valeurs" dont ils font tout un plat ?
Il y a des assureurs privés dont le sens du client est bien plus important que le sens du sociétaire dans cette mutuelle.</t>
  </si>
  <si>
    <t>jud-58603</t>
  </si>
  <si>
    <t xml:space="preserve">chaque mois je rencontre des problèmes, on me redemande de renvoyer mes documents jusqu'à 4 fois. Indemnisée avec 4 mois de retard ! </t>
  </si>
  <si>
    <t>05/11/2017</t>
  </si>
  <si>
    <t>guignolerie-136415</t>
  </si>
  <si>
    <t>RAMATA a sut gérer mon problème, personne courtoise et à l'écoute. Pour les remboursements je serai fixé dans une semaine, devant changer de lunettes Pour l'instant je n'ai pas à me plaindre.</t>
  </si>
  <si>
    <t>07/10/2021</t>
  </si>
  <si>
    <t>anes-97769</t>
  </si>
  <si>
    <t xml:space="preserve">Apres etre tombé en panne à 100km de chez, l'assistance 0km a juste envoyé la dépanneuse. Pas de disponibilité de pret de voiture comme le stipule le contrat et pas de disponibilité de taxi. Du coup, j'ai dû me débrouiller tout seul et avancer les frais. 
Pas d'interlocuteur L'olivier le jour de l'incident mais europe assitance qui vous parlent comme des robots.
un geste commercial m'a été proposé de 38€ de baisse annuelle sur mon contrat de plus de 500€ et un bon d'achat de 50€ chez Total ... des miettes comparer au préjudices que ma famille et moi avions subit. </t>
  </si>
  <si>
    <t>24/09/2020</t>
  </si>
  <si>
    <t>agricole-j-114675</t>
  </si>
  <si>
    <t xml:space="preserve">Satisfait de l’ensemble des services et des conseillers très agréables j’espère que cela sera une bonne expérience et que tout se déroulera bien avec vous </t>
  </si>
  <si>
    <t>jean-francois-p-117386</t>
  </si>
  <si>
    <t xml:space="preserve">Parfaitement satisfait 
Très bonne réception efficacité et professionnalisme. 
Merci des propositions faites pour étudier mes garanties nécessaires. 
</t>
  </si>
  <si>
    <t>christian-r-135002</t>
  </si>
  <si>
    <t>Très bon interlocuteur lors de la réalisation du Devis.
J'espère que lors de mes autres communication avec vos services tout se passera avec le même niveau de qualité.</t>
  </si>
  <si>
    <t>sylvie-l-128092</t>
  </si>
  <si>
    <t xml:space="preserve">Je suis satisfaite du service. C'est pratique de faire cette démarche en ligne. C'est très simple d'utilisation .
Les prix sont attractifs. Si on fait une erreur on peut retourner en arrière sans rien effacer. </t>
  </si>
  <si>
    <t>15/08/2021</t>
  </si>
  <si>
    <t>mymy21-35823</t>
  </si>
  <si>
    <t>j'ai été contacter par un conseiller par téléphone qui ce dernier m'indique que les mutuelle vont augmenter ,et que eux il propose des tarifs moins cher,je lui demande de me faire parvenir sa proposition par courrier,ce qu'il me confirme ,il me demande mes coordonnées bancaire etc,après lui avoir donné tout les renseignements qu'il ma demander ,il m'indique qu'il va m'envoyer un code et qu'il faut que je lui renvoie,a ce moment je me rend compte que ce code est une signature Electronique,ce conseiller ayant compris que je m’était rendu compte qu'il me faisait souscrire un contrat par téléphone,il me dit mais avec la loi vous pourrez résilier si cela ne convient pas,ce conseiller ne m'a pas indiquer dès le départ que sa démarche était de me faire souscrire une mutuelle par téléphone je suis déçu de cette pratique</t>
  </si>
  <si>
    <t>28/06/2017</t>
  </si>
  <si>
    <t>dominique-p-107920</t>
  </si>
  <si>
    <t>Pour l'instant je suis très satisfait de Direct assurance. Je n'ai pas encore eu de sinistre donc a voir dans le temps.. le service client est disponible c'est une bonne chose</t>
  </si>
  <si>
    <t>bonjournos-100045</t>
  </si>
  <si>
    <t xml:space="preserve">  bonjour  la societe AXA     a augmenter c est tarif de 10 pourcent approximativement .  je voudrais savoir  n ayant eu aucun sinistre  pourquoi cette augmentation .  au cas ou vous maintiendrez se prix je serais ds obligation de quitter . merci de me repondre .</t>
  </si>
  <si>
    <t>camerfra-76977</t>
  </si>
  <si>
    <t>suite a ma resiliation j,ai conctacter santiane qui mon repondu tres rapidement et efficacement</t>
  </si>
  <si>
    <t>20/06/2019</t>
  </si>
  <si>
    <t>nanardvdb-61130</t>
  </si>
  <si>
    <t>Bonjour,
Moi, je suis persuadé que la MAAF, est  une mutuelle qui ne recherche que des profits
Je suis client à la MAAF depuis 1989, assurance maison, 2 voitures, caravane, nautisme, bonus 50% plus 8% lauréats. Bonus passé à 0.58, suite à 2 sinistres.
Il y a 8 mois, j'ai subi une augmentation de ma franchise, doublée et passée à 600€uros !
Après question, la réponse était que je n’étais pas obligé d’accepter !
Autrement dit : " tu acceptes ou tu dégages ! ".
Je viens de changer de voiture et, à ma grande surprise, la MAAF a refusé d’assurer mon nouveau véhicule.
En cause, 2 sinistres mineurs (mais mineurs ou importants = sinistres).
Donc, je confirme que la MAAF est une mutuelle qui ne cherche qu'à faire du bénéfice et qui n'éprouve aucun remords à ne pas réassurer ses clients, peuvent-ils être très anciens ou pas!
Mais, suite à de tels agissements, et, en recherche d'une nouvelle compagnie, je peux affirmer que cette mutuelle est loin de vous proposer les meilleurs tarifs!
Faites une recherche et n'hésitez pas à changer de compagnie!
Cordialement</t>
  </si>
  <si>
    <t>05/02/2018</t>
  </si>
  <si>
    <t>skyline89-62655</t>
  </si>
  <si>
    <t>j ai quitter  assu 2000 avec un coefficient bonus de 0.80en janvier 2017 ,j ai souscris un contrat avec allianz en avril de la meme année . 1 an plus tard je reçois un courrier avec une augmentation de mon assurance voiture , de 46 euros je passe a 50 euros sans me preciser mon coefficient bonus , j envoie un mail en demandant quel est mon coefficient actuel , il me reponde 0.80 , alors que je devrais etre a 0.75 depuis le debut de l année 2018</t>
  </si>
  <si>
    <t>24/03/2018</t>
  </si>
  <si>
    <t>zuniga-j-139166</t>
  </si>
  <si>
    <t xml:space="preserve">Satisfait du service ,des prix, rapide ,efficace ,tres professionnel. Tout le procédé et bien expliquer , les etapes et lea explications aussi.Bravo a vous. Continuer comme cela. </t>
  </si>
  <si>
    <t>08/11/2021</t>
  </si>
  <si>
    <t>karman-65318</t>
  </si>
  <si>
    <t>Je tiens a  informer que je suis très mécontente dASSUR POIL, en effet j'ai transmis les factures de soins pour l’année  2017 et 2018 elles ont toutes étaient retournées et en plus il ont eu l’outrecuidance de me dire que je n’étais plus assurer chez eux alors que j’ai un compte actif sur votre site et un prélèvement de 39,90€ mensuel.</t>
  </si>
  <si>
    <t>07/07/2018</t>
  </si>
  <si>
    <t>marjolaine-d-134450</t>
  </si>
  <si>
    <t>Je suis satisfaite du service j'apprécie la rapidité pour être assurée et le prix est satisfaisant en cas de problème prise en charge rapide et efficace c'est pour cela que je reviens m'assurer chez vous</t>
  </si>
  <si>
    <t>arbo-117101</t>
  </si>
  <si>
    <t>assuré tous risques avec" option plus" accessoires. Suite au vol de mon top case, sans dégradation de la moto, aucune prise en charge ni pour le top case ni pour ce qu'il contenait (casque, gants et U). Il aurait fallu que mon véhicule soit dégradé ou volé pour pouvoir accéder à une prise en charge des "accessoires"!!!!! Mail corsé, échanges téléphoniques. "On ne peut rien pour vous monsieur". Et ce malgré un bonus à 50% depuis plus de 3 ans et jolie lettre de félicitations et d'annonce de bonus de franchise il y a 2 mois. 
Bref, sentiment d'avoir été volé une deuxième fois, car la prime d'assurance était, de plus, élevée. Pas une assurance de motard c'est sûr, malgré leur nom. Je recommande, après échange avec eux la Mutuelle des motards. Moins cher, franchise limitée et prise en charge garantie dans ce cas avec l'option accessoires.</t>
  </si>
  <si>
    <t>15/06/2021</t>
  </si>
  <si>
    <t>pontonnier-s-116227</t>
  </si>
  <si>
    <t xml:space="preserve">Conseillère gentille claire et précise facile à comprendre . Les tarifs donner sont très correcte et très abordable mais dommage de ne pas faire encore les assurances moto .
</t>
  </si>
  <si>
    <t>noname-67838</t>
  </si>
  <si>
    <t>Drôle d'assureur, ils augmentent vos mensualités sans raison et ce malgré du bonus et donc aucun sinistre, ils font ce qu'ils veulent, honteux quand on sait que s'assurer est obligatoire. Je vous conseille de fuir de toute urgence.</t>
  </si>
  <si>
    <t>claude-a-107269</t>
  </si>
  <si>
    <t>je suis saisfe de  vos services;  il me rese a regler ma coisaion  auto;comme vous n'accepez pas les cheques,je vais vous regler par carte banquaire::salutations</t>
  </si>
  <si>
    <t>20/03/2021</t>
  </si>
  <si>
    <t>tiphainegaillard-87155</t>
  </si>
  <si>
    <t>Du jamais vu achat de médicament le 07/01, envoi de la fiche de soin le 10/01.le 30 toujours pas de remboursement 1 er appel où on me signale qu'il manque le décompte Sécu que j'envoi sur le champs.Aujourd'hui après 4 appels on me dit 15 jours de délai de traitement. Ils ont beaucoup de retard jamais vu une mutuelle aussi médiocre! Pas de prise en compte des clients heureusement que c'est une mutuelle entreprise parce que payé le prix fort pour un service aussi minable jamais de la vie!</t>
  </si>
  <si>
    <t>14/02/2020</t>
  </si>
  <si>
    <t>denans-schwartz-r-114595</t>
  </si>
  <si>
    <t>Les prix me conviennent. 
Les franchises sont assez élevées mais les prix équilibrent la balance. 
Etant nouvelle cliente chez l'olivier assurance jusqu'ici rien à redire.</t>
  </si>
  <si>
    <t>22/05/2021</t>
  </si>
  <si>
    <t>patou90-109047</t>
  </si>
  <si>
    <t xml:space="preserve">Cette assurance a refusé de nous assurer car étant personnel Peugeot, on change de voiture tous les 6 mois. En plus, ils ne donnent pas d'explications, nous passent 4 personnes différentes pour finalement raccrocher et nous faire rappeler par un autre prestataire qui nous propose une assurance 2 fois plus chère ! Pourtant, nous n'avons jamais eu d'accidents ni autres sinistres. </t>
  </si>
  <si>
    <t>patricia-p-113864</t>
  </si>
  <si>
    <t>Le prix en convenable mais nous n'avons pas encore eu à faire appel à l'assurance pour un problème quelconque, donc nous ne pouvons pas encore évaluer</t>
  </si>
  <si>
    <t>16/05/2021</t>
  </si>
  <si>
    <t>jeanroy2-69603</t>
  </si>
  <si>
    <t xml:space="preserve">cet assureur est à déconseillé, embrouille perpétuelles, carte vert toujours érronnée, remboursement  après résiliation extremement long 1 mois voir plus, conseillers à bout d'argumentation et impossibilité de communiquer aux responsables qui méprise leurs client. Franchement toutes les assurances du net sont vraiment que des fantomes quand les problèmes se corsent avec la clientèle </t>
  </si>
  <si>
    <t>21/12/2018</t>
  </si>
  <si>
    <t>ferrante-d-117339</t>
  </si>
  <si>
    <t>Parfait je recommande ce site 
Il sont à l'écoute et disponible 
Interlocuteur sympathique et patiente, 
Je recommande vraiment l'olivier.
ma femme y est aussi 
Cdlmt</t>
  </si>
  <si>
    <t>claudine-v-107795</t>
  </si>
  <si>
    <t xml:space="preserve">je ne suis pas satisfait des prix pour mon assurance auto qui a augmenter au lieu de descendre vue aucuns inccidents depuis le debut de mon assurance auto ,impossible d'enlever certaines octions sur mon contrat trops cher pour moi </t>
  </si>
  <si>
    <t>moi-85421</t>
  </si>
  <si>
    <t>A FUIR ! Client depuis plus de vingt ans avec bonus 50% "à vie", mais viré après trois accidents non responsables en trois ans... juste reçu un courrier impersonnel, sans aucune explication ni réponse à mes questions et le service client qui reste injoignable...</t>
  </si>
  <si>
    <t>02/01/2020</t>
  </si>
  <si>
    <t>syrinx-98193</t>
  </si>
  <si>
    <t>Cela fait 2 semaines qu'il et impossible de se connecter à Mercernet. Impossible d'avoir une personne qui puisse prendre la demande.
Les messages envoyé restent sans réponse et le téléphone sonne dans le vide. J'en suis à plus de 10 heures d'attente si je cumule toutes mes tentatives d'appel.
1 étoile est encore trop !</t>
  </si>
  <si>
    <t>jeremy-d-110552</t>
  </si>
  <si>
    <t>Assurance au top avec un bon service client et niveau tarif très très bien. Rapport garantie et tarif il y a pas mieux sur le marché. Je recommande à 100%.</t>
  </si>
  <si>
    <t>karine-d-117696</t>
  </si>
  <si>
    <t xml:space="preserve">Je suis satisfaite du service et des tarifs inférieurs à mon assurance actuelle  - Accueil téléphonique très agréable. Recontactée dans le délai prévu initialement. 
</t>
  </si>
  <si>
    <t>christiane-p-105522</t>
  </si>
  <si>
    <t>je  ne comprends pas pourquoi cette année ou je n'ai pas roulée (covid et mon age )  on m'augmente 44,29 euros ,, alors que les medias annoncent que les assurances on baissé leur tarifs ?? j'aimerai une explication de votre part Merci d'avance</t>
  </si>
  <si>
    <t>aberkane-krimi-m-132655</t>
  </si>
  <si>
    <t>Je suis satisfait du service d'olivier assurance merci de m'avoir répondu et bien entendu en plus la grande passionce avec moi et j'espère continuer avec vous .</t>
  </si>
  <si>
    <t>claude-r-131977</t>
  </si>
  <si>
    <t>Je suis satisfait des services de la GMF qui m'assure depuis plus de 50 ans. 
Service réactif donnant toute satisfaction lors de demande d'intervention.</t>
  </si>
  <si>
    <t>09/09/2021</t>
  </si>
  <si>
    <t>lupette-86993</t>
  </si>
  <si>
    <t>bonjour
Je passe par ce site car il semblerait que vous repondez vite :-).
toujours pas de reponse a mon mail du 5 Fevrier relatant toutes les peripeties rencontrees pour obtenir une carte de tiers payant (dossier recu par AG2R le 10 Decembre) ! 3 appels au service client 3 explications differentes :-) et toujours pas d'affiliation ! ne me demandez pas de faire un mail au service sante, c'est fait (3832394-1580919165).
Peut-etre mon fils sera-t-il affilie avant la fin de son contrat CDD :-) :-) Merci</t>
  </si>
  <si>
    <t>11/02/2020</t>
  </si>
  <si>
    <t>motard77-92312</t>
  </si>
  <si>
    <t>service clients DEPLORABLE à croire que les délais rallongés en raison du confinement, ce qui est compréhensible, aient fait perdre toute compétence aux interlocuteurs. Un contrat renégocié en avril pour une échéance mi-mai. A ce jour je n'ai toujours pas reçu mon attestation, je circule avec une copie numérique, je n'ai pas reçu d'avis d'échéance et j'apprends par mon courtier qu'un courrier recommandé m'a été envoyé. Je règle donc ma cotisation en ligne SANS ATTESTATION D'ASSURANCE. UBUESQUE... comportement abusif.</t>
  </si>
  <si>
    <t>26/06/2020</t>
  </si>
  <si>
    <t>georges-f-130789</t>
  </si>
  <si>
    <t xml:space="preserve">sociétaire depuis 50 ans à la GMF je ne changerai jamais d'assureur==&gt; soyez rassurés! Les interlocuteurs au téléphone sont compétents et de bons conseillers et le personnel en agence le sont aussi et nous reçoivent avec courtoisie et à l'heure précise. Bravo à tous et merci. </t>
  </si>
  <si>
    <t>oliv66-70631</t>
  </si>
  <si>
    <t>bonjour, contrat excellium depuis 2016, j'ai deja perdu 2000 euros en plus des 3000 qu'ils m'ont prix avec les 4% au versement initial, en tout donc en 2 ans et 4 mois jsuis a moins 5000 euros de perte, merci de tout coeur axa pour la joie que vous nous apportez à notre famille</t>
  </si>
  <si>
    <t>26/01/2019</t>
  </si>
  <si>
    <t>gigi-103613</t>
  </si>
  <si>
    <t xml:space="preserve">BONJOUR,la MGP LYRIA PRESTIGE (LE MAXIMUM).  QUE JE PAYE 124.49 EUROS PAR MOIS POUR MOI SEULEMENT ET EN PLUS LES REMBOURSEMENTS PAS A 100% .PERSONNELLEMENT,JE TROUVE PLUTÔT UN PEU CHÈRE JE SUIS A LA MGP DEPUIS 1984 QUAND MÊME.ET SANTÉ CLAIR EST LA POUR NOUS ACCOMPAGNER MERCI 
J AI UNE ESTIMATION DE REMBOURSEMENT POUR UNE DENT DE DEVANT POURTANT REMBOURSÉE 100% et NON SUR 1170,70 euros JE PAYE 390 EUROS.
MERCI CORDIALEMENT </t>
  </si>
  <si>
    <t>03/02/2021</t>
  </si>
  <si>
    <t>francois-m-116380</t>
  </si>
  <si>
    <t>rapide et claire. sauf pour la résiliation de mon ancienne assurance qui ne figure pas sur la liste et de se fait ca bloc le système. mais sinon rien a redire. merci</t>
  </si>
  <si>
    <t>08/06/2021</t>
  </si>
  <si>
    <t>troxsa-100272</t>
  </si>
  <si>
    <t>Groupama a fait le rachat du groupe amaguiz j'étais un des client amaguiz
L'augmentation du prix n'a pas arrêté de monter sur 15 ans (peut être plus),  j'ai fait une prise de contact pour être appelé le jour et l'heure voulu pour renégocier le prix de l'abonnement, aujourd'hui j'attends toujours...
Une société qui n'est pas sérieuse qui ne rappelle pas !
Vous pouvez être certain que je change de crémerie prochainement.</t>
  </si>
  <si>
    <t>18/11/2020</t>
  </si>
  <si>
    <t>mousssssssss-80123</t>
  </si>
  <si>
    <t xml:space="preserve">
Assure depuis pratiquement deux ans chez eux tout se passe très bien. Ils ont bien su me défendre lors d'un sinistre dont j'ai été accusé à tort. Le service client est joignable facilement et très serviable </t>
  </si>
  <si>
    <t>16/10/2019</t>
  </si>
  <si>
    <t>magalie-52781</t>
  </si>
  <si>
    <t>conseiller toujours indisponible car debordé de travail !! 3 mois que j'attend l'accord de mon rachat de credit !! 3 mois que j'attend mon assurance maison sous pretexte que mon conseiller n'arrive pas a joindre par telephone le service qui doit donner l'accord pour nos dependances !!! en attendant je jongle sur mes deux comptes et c'est une vrai galere qui me vaut des frais supplementaires !!</t>
  </si>
  <si>
    <t>26/02/2017</t>
  </si>
  <si>
    <t>mino91-68737</t>
  </si>
  <si>
    <t>j ai payer une assurance  pendant 18 ans  elle ne vaux rien il aurait fallu que je soit mort j ai 60ans je ne peut rien recupperer  que si je suis mort et a 65 ans plus rien du tout  meme pour les heritiers c est agf allianz chorus  un scandale</t>
  </si>
  <si>
    <t>19/11/2018</t>
  </si>
  <si>
    <t>el-rodwen-104464</t>
  </si>
  <si>
    <t xml:space="preserve">
Le 19 janvier 2021 un très grand sinistre a eu lieu dans mon domicile : une fuite d'eau énorme (plusieurs centaines de litres) qui aurait inondé entièrement mon appartement, ainsi que mes voisins, si je n'étais pas présente. J'ai réussi à couper l'eau. L'eau était chaude et j'avais pensé que la fuite provenait du ballon d'eau chaude (cumulus, chauffe-eau). Rapidement, j'ai déclaré le sinistre chez Axa. 
Je vivais sans eau, et j'implorais que quelqu'un vienne. Cependant, ce n'est qu'une semaine plus tard qu'un technicien est venu. Il s'est présenté, mais n'a pas su déterminer la cause de la fuite – le technicien a lui-même avoué qu'il n'était pas plombier.
Quelques jours après l'incident, j'ai entendu des bruits étranges qui provenaient du faux-plafond où se trouvait le ballon d'eau chaude. J'ai pensé qu'il fonctionnait à vide, c'est pourquoi j'ai dû couper l'électricité dans une partie de la maison (il n'y avait pas moyen de savoir lequel des interrupteurs correspondait au ballon d'eau chaude). Mes amis m'ont dit qu'un ballon d'eau chaude fonctionnant à vide présentait des risques – Axa ne m'a rien dit !!!!!
Nous sommes le 19 février. Voilà un mois que je vis sans eau – je ne peux ni prendre de douche, ni me laver les mains, ni faire correctement le ménage, ni faire la vaisselle, ni utiliser la machine à laver, ni même tirer la chasse ! C'est pourquoi j'ai été forcé à collecter de l'eau de pluie pour mes besoins ! C'est un désastre à la maison, puisque sans eau, il n'y a pas moyen d'entretenir l'appartement correctement. 
Depuis six ans, nous payons l'assurance habitation chez Axa – et lorsqu'un sinistre s'est produit, cette assurance n'a rien fait – depuis un mois, je vis sans eau, et le plombier n'est toujours pas venu !!!!!
Axa a un rapport inhumain envers son client: à cause de cette assurance, j'ai été condamnée à une vie d'habitant de taudis !
De notre côté, nous, on a payé l'abonnement – Axa, de son côté, n'a rien fait du tout !!! Axa vous abandonne, et vous allez devoir faire toutes les réparations vous-même ! L'argent qu'on a payé à Axa – c'est de l'argent jeté par la fenêtre !
Si vous êtes désireux d'avoir une expérience médiévale – abonnez-vous chez Axa !
Si vous voulez transformer votre foyer en taudis - choisissez Axa !!!
Sinistre numéro: 0000009154533473 </t>
  </si>
  <si>
    <t>19/02/2021</t>
  </si>
  <si>
    <t>dodo29-100392</t>
  </si>
  <si>
    <t>Libérée délivrée après 48 ans.Avis aux jeunes enseignants : en début de carrière la MGEN faisait partie du package quasi obligatoire. Ne vous laissez pas duper. L'esprit mutualiste s'est évaporé depuis bien longtemps. Merci à la banque qui s'est chargée des formalités de résiliation et nous a proposé des prestations plus intéressantes.</t>
  </si>
  <si>
    <t>guylaine-f-111977</t>
  </si>
  <si>
    <t xml:space="preserve">Les prix augmentant chaque année, je vais très certainement devoir repartir en prospection et trouver moins cher !
Ras le bol de payer pour les autres !
</t>
  </si>
  <si>
    <t>28/04/2021</t>
  </si>
  <si>
    <t>melissa-m-105838</t>
  </si>
  <si>
    <t>je suis satisfait des services et de l'accueil téléphoniques et du professionnalisme du contact je recommanderai autour de moi et envisage de prendre une assurance habitation chez eux</t>
  </si>
  <si>
    <t>khalid-88509</t>
  </si>
  <si>
    <t>« pacifica », le nom n'est qu'une induction en erreur, s'en méfier !!</t>
  </si>
  <si>
    <t>03/07/2020</t>
  </si>
  <si>
    <t>anfanou-75088</t>
  </si>
  <si>
    <t>Bonjour,
Suite à une erreur selon ma mère, la conseillère Erika qui nous a prit en charge suite à notre appel, c'est parfaitement bien occuper de nous. Compréhensive, sympathique, audible, aimable et de bon conseil. On la souhaite que le meilleur. Bon courage pour la suite. Que dieu vous garde.</t>
  </si>
  <si>
    <t>15/04/2019</t>
  </si>
  <si>
    <t>jeremy-c-125061</t>
  </si>
  <si>
    <t>Satisfait du contact de l'interlocuteur, du comparatif entre toutes les compagnies, de la simplicité du montage du contrat et de l'économie réalisée !! Merci</t>
  </si>
  <si>
    <t>jcc0902-100936</t>
  </si>
  <si>
    <t>De pire en pire. Service téléphonique délocalisé à l’autre bout de la terre. Remboursements, dès qu’ils sont manuels sont hypothétiques... une perte de temps, un désastre ... mutuelle imposée par l’employeur ...</t>
  </si>
  <si>
    <t>03/12/2020</t>
  </si>
  <si>
    <t>dabila-l-125663</t>
  </si>
  <si>
    <t xml:space="preserve">Je suis ravi de rejoindre votre assurance. Les conseillers que j’ai eu au téléphone étaient très sympathiques et compétents. 
Je recommanderai volontiers votre société à mon entourage. </t>
  </si>
  <si>
    <t>a4pack-50361</t>
  </si>
  <si>
    <t>Cette compagnie a fait le choix de la politique de l'autruche en cas de litige.</t>
  </si>
  <si>
    <t>regine-69755</t>
  </si>
  <si>
    <t xml:space="preserve">fidélité depuis 44 ans (sans sinistre responsable )tout va bien jusqu'au jour ou l'on à un accident de la route .je me suis fait percuté à l'arrière de mon véhicule reconnu non responsable ,je partait avec ma soeur en cure thermale ,j'appelle l'assistance ,on me répond que j'aurai droit à une voiture de location quand l'expert serai passé ,donc 3 jours après ,je me débrouille par moi-même pour récupérer un véhicule ,l'expert déclare mon véhicule non réparable ,on me propose une misère pour le remboursement alors que celui-ci était en parfait état factures à l'appui ,après 3 lettres recommandées et l'intervention d'un ami conseillé juridique on m'octroie quand même un petit supplément après 3 mois de négociation ,une honte ,maintenant je suis assurée ailleurs pour ma voiture et mon assurance habitation </t>
  </si>
  <si>
    <t>29/12/2018</t>
  </si>
  <si>
    <t>yug54-130757</t>
  </si>
  <si>
    <t>Toujours à l'écoute de ses adhérents, la MGP a su constamment s'adapter à l'évolution de notre société et apporter les meilleures réponses en terme de la protection de la santé.</t>
  </si>
  <si>
    <t>jean-claude-s-107484</t>
  </si>
  <si>
    <t xml:space="preserve">je suis satisfaits de mon devis les prix corresponde et interlocuteur  etait tres aimable  merci je recommande  direct assurances  a tous mes relations bonne journée </t>
  </si>
  <si>
    <t>elena-105130</t>
  </si>
  <si>
    <t>Depuis 2 mois pas d'accès à mon espace client, envoyé de mails et plusieurs appels passés toutes les semaines et personne pour m'aider à débloquer mon espace client. J'ai payé pour une assurance habitation mais je n'ai pas le droit d'accès à mon espace client. C'est inadmissible cela</t>
  </si>
  <si>
    <t>sakanoko-i-115443</t>
  </si>
  <si>
    <t>Très satisfaits bon service repon tous nous question j recommandé vivement:) on peut poser nos questions repont très rapidement merci beaucoup et bonne journée !
Cordialement</t>
  </si>
  <si>
    <t>mathieu-b-106767</t>
  </si>
  <si>
    <t>Je suis satisfait de la facilité pour souscrire un contrat.
J'espère que se sera aussi simple en cas de problème et que le service client m'aidera sans me faire patienter plus de 10 min au téléphone.</t>
  </si>
  <si>
    <t>axavie64-68973</t>
  </si>
  <si>
    <t xml:space="preserve">Bonjour voici une info pour les PERP référence AXA 
Les conseillers ne
connaissent pas la loi sapin 2 je crois donc  la voici
La loi PACTE
 Donc je vous la transmet si cela peut aider
Nouvelle sortie 100 pour cent en capital possible pour les mini PERP
La Loi Sapin 2 du 8 novembre 2016 permet de demander le déblocage anticipé de son PERP
Cependant  l assuré devra remplir les 3 conditions suivantes 
La valeur du contrat devra être inférieure à 2 000 euros
Aucun versement ne devra avoir été réalisé au cours des 4 dernières années pour les PERP à versement libre
Pour les PERP prévoyant des versements réguliers 
 l adhésion au contrat devra dater d'au moins 4 ans révolus avant la demande de rachat  
Le montant de ses revenus de l'année précédente ne devra pas excéder un plafond correspondant au seuil de dégrèvement valable en matière de taxe d'habitation soit 25 839 euros pour la première part de quotient familial 36 628 euros pour un couple majorée de 6037 euros pour la 1ère demi part et de 4 757 euros  à compter de la 2e demi part supplémentaire en 2019
Sortie en 100 pour100 en capital lors de la retraite pour tous les PERP  
loi PACTE
La loi PACTE dès sa promulgation en 2019 permettra la sortie en 100 pour100 de capital des PERP lors de la retraite
 Cette sortie sera applicable à tous les PERP  quel que soient leurs dates d'ouverture 
A ce jour la sortie en capital étant limité à 20 pour cent le solde étant obligatoirement en rente viagère
Cette possibilité de sortie en 100% en capital est donc un progrès majeur pour ce produit d'épargne retraite rappelons le seul existant ouvert à tout le monde.
Malgré cela   pour moi  on me refuse le remboursement du capital
Triste vérité mais je pense que je vais contacter un avocat malgré les courriers envoyés en AR puis
emails,tchats les appels a mes 2 conseillers
Vu que rien ne bouge apres 3 mois a l.amiable ma patience a des limites  </t>
  </si>
  <si>
    <t>26/08/2019</t>
  </si>
  <si>
    <t>remilisa-93514</t>
  </si>
  <si>
    <t xml:space="preserve">Je suis affiliée à cette mutuelle depuis janvier .depuis janvier aucun remboursement car mon numéro de sécu.sur la carte est faux.
Personne ne répond au téléphone ni au mail 
J ai fini par recevoir une nouvelle carte en juin (!!!)
Mais cette fois ma date de naissance est fausse .
J ai du suspendre tous mes soins dentaires et déplacer mes séances de kine .mon opération du genou .je vais donc quitter cette mutuelle des que je le peux </t>
  </si>
  <si>
    <t>wurmseb-109095</t>
  </si>
  <si>
    <t>Très mécontent d’Allianz ! J’ai souscrit un contrat d’assurance pour mon véhicule début décembre, j’ai envoyé tous les documents demandés et j’ai payé pour le mois en cours plus 2 mois d’avance. Arrivé fin décembre je reçois des mails me disant que mon dossier est incomplet et qu’il manque des documents, que je n’ai que quelques jours pour les envoyer auquel cas mon contrat serait résilié et que je perdrai les 2 mois payé d’avance... J’appelle des conseillers pour en savoir plus ils me répondent de ne pas m’inquiéter, que ce sont des messages automatiques, qu’il ne faut pas en tenir compte. OK
Arrivé le 5 janvier je reçois un mail me disant que mon contrat est résilié faute de dossier complet... j’appelle, j’appelle... après des heures d’attente j’arrive à avoir une conseillère. Je lui explique ma situation et après une longue vérification elle se rend compte que le problème vient bien d’eux et elle me réactive mon contrat. Je pensais l’histoire close mais non...
Mi-mars je reçois un courrier me disant qu’un prélèvement de 220€ s’était présenté sur mon compte le 5 février et qu’il avait été rejeté par ma banque faute de provisions et qu’il serait représenté le 5 mars. Je précise que je n’ai aucune trace de ces prélèvement sur mon compte et je ne comprends pas du tout le montant car j’étais sensé payer 75€ par mois. Je rappelle donc Allianz et je tombe que sur des conseillers qui ne comprennent pas. Et aujourd’hui je reçois un courrier de mise en demeure de régler la somme de 585€ ce qui correspond à mon année d’assurance... 
Enfin bref vous l’aurez compris cette assurance est une vaste blague...</t>
  </si>
  <si>
    <t>fuhrmann-r-110816</t>
  </si>
  <si>
    <t xml:space="preserve">Je suis satisfait
Merci beaucoup pour votre service les prix son très intéressant merci pour la rapidité et les réponses vraiment satisfait de cette assurance </t>
  </si>
  <si>
    <t>18/04/2021</t>
  </si>
  <si>
    <t>gedeon-114406</t>
  </si>
  <si>
    <t>l'assurance santé que j'ai souscrite auprès de cegema a été moyenne au niveau du prix de la cotisation  par rapport aux garanties.
mauvaise pour la gestion des remboursements: tiers payant abandonné unilatéralement et délais importants pour obtenir certains remboursements.
très mauvaise pour obtenir des informations par téléphone ou en réponse à des emails.
Après résiliation de mon contrat dans le cadre prévu par la loi (2 mois avant l’échéance) j'ai été prélevé à tort de la cotisation mensuelle le mois suivant la fin du contrat et j'ai attendu plus de 2 mois pour être remboursé..</t>
  </si>
  <si>
    <t>red-114195</t>
  </si>
  <si>
    <t xml:space="preserve">23 minutes d'attente au téléphone on me propose faîtes le 2 pour être rappeler, 15 minutes après le téléphone sonne pas le temps d'attraper le téléphone à côté de moi ils avaient déjà raccroché. J'attends un remboursement ostéopathe. Ne répond pas au message. Adhérent depuis 2017 je vais aller voir ailleurs </t>
  </si>
  <si>
    <t>19/05/2021</t>
  </si>
  <si>
    <t>nicolas-71004</t>
  </si>
  <si>
    <t>contact téléphonique épatant, rare même. Mon interlocutrice à pris le temps, à la fois de s'assurer de précisément comprendre la problématique de mon questionnement et de formuler son propos en s'assurant de bien répondre à ma demande et en assortissant sa réponse de mesures supplémentaires possible afin d'obtenir une couverture parfaitement adaptée à mes besoins. Rare de rencontrer une personne aussi attentive à votre demande et compétente dans ses conseils tout à fait avisés.
Merci Madame; vous avez été formidable</t>
  </si>
  <si>
    <t>06/02/2019</t>
  </si>
  <si>
    <t>de-wilde-l-111848</t>
  </si>
  <si>
    <t>Difficile de comprendre pourquoi l'assurance tout risque n'est pas possible avec mon véhicule en W sachant que la condition pour bénéficier de l'assurance tout risque est d'envoyer des photo de mon véhicule avec les plaques W, c'est un peu contradictoire avec leur réponse, hormis cela, je suis satisfaite.</t>
  </si>
  <si>
    <t>atbar-d-135770</t>
  </si>
  <si>
    <t>CEST BON POUR MOI le offre april tranquillite et bon april cest an bon ansurance pour moi ca fait longtem je vous le an ansurance comme ca je vous remerci</t>
  </si>
  <si>
    <t>04/10/2021</t>
  </si>
  <si>
    <t>matthieu974-94097</t>
  </si>
  <si>
    <t xml:space="preserve">Très bon prix  très bon site j’espère que de passer par internet il n’y aura aucun soucis pour tout ce qui papier parce que ça fait peur de plus avoir personne en face </t>
  </si>
  <si>
    <t>15/07/2020</t>
  </si>
  <si>
    <t>alexc33-66742</t>
  </si>
  <si>
    <t>Assurance à éviter, les conseillers vous disent qu'ils vont faire le nécessaire pour corriger vos informations (après une erreur de saisie de leur part), sauf qu'il n'en est rien. Du coup je ne recevais aucun courrier, ils ont suspendu mon assurance sans m'avertir (internet, les mails ça existe au fait). Bref j'ai du les appeler une dizaine de fois pour qu'un conseiller finisse par vraiment régler mon problème.</t>
  </si>
  <si>
    <t>10/09/2018</t>
  </si>
  <si>
    <t>dimitri-h-117041</t>
  </si>
  <si>
    <t>Prise en charge ok lorsque notre boîte de vitesse nous a fait faux bond : dépanneuse arrivée rapidement, mais par contre prise en charge pour le retour compliquée (taxi pour une agence de location qui n'avait pas de voiture dispo en fait. Heureusement nous avons pu prendre un train à la place avec un taxi à l'arrivée).</t>
  </si>
  <si>
    <t>faburel-e-115865</t>
  </si>
  <si>
    <t xml:space="preserve">Pour l'instant c'est bien Juste frais dossier pour un nouveau client qui n'était prévu lors de la recherche assureur les sites de comparateurs d'assurance        </t>
  </si>
  <si>
    <t>cliente-mecontente-106637</t>
  </si>
  <si>
    <t xml:space="preserve">Je me demande vraiment à quoi ça sert de payer pour une assurance habitation qui ne paye que pour la recherche de fuite en cas de dégat des eaux. En fonction de la personne, on reçoit des informations différentes. Une conseillère estimait même qu'ils ne pouvaient rien faire du tout ! Une fois le sinistre déclaré - impossible de les joindre par téléphone et impossible de trouver une adresse email. Je vais changer d'assurance dès que je le peux. </t>
  </si>
  <si>
    <t>jfk62162-77485</t>
  </si>
  <si>
    <t>neoliane compagnons sont compétant !!!nul et tout les service se renvoient la balle toutes les excuses sont bonnes pour eviter de vous rembourser par contre pour les prelevement ils sont les 1 er</t>
  </si>
  <si>
    <t>dina-r-121833</t>
  </si>
  <si>
    <t>Je suis satisfait du service, mais je pense qu'il pourrait y avoir d'autre service comme une garantie supplémentaire garantie réparation.
Avez-vous une assurance au km?</t>
  </si>
  <si>
    <t>bacha-d-126369</t>
  </si>
  <si>
    <t xml:space="preserve">Je suis satisfait du service le prix sont très bien et le conseiller que j'ai eu aussi je recommande vraiment et cela a était d'une rapidité vraiment incroyable 
</t>
  </si>
  <si>
    <t>Ayant souscrit un contrat auto tous risques fin novembre 2016 auprès de cet assureur en ligne, je suis toujours, au 28 janvier 2017, en attente de la réception de mon lien internet me permettant enfin d'accéder à mon espace client, et ce malgré les multiples courriels et appels téléphoniques.
Un comble pour un assureur en ligne!!
Au téléphone (car ils ne répondent pas aux courriels hormis par l'envoie d'un courriel automatique d'accuser de réception), les vendeurs (pardon, les conseillés) vous servent toujours la même soupe:
Nous sommes désolé mais nous avons un soucis informatique qui nous empêche de vous envoyer votre lien. Mais je fais remonter votre demande.
Cependant, leur message d'accueil téléphonique lui continue de vous assurer que vous pouvez effectuer vos démarches ou obtenir des informations sur vos contrats en consultant votre espace client.
Aucun message d'alerte pour signaler le problème.
Encore moins de message d'excuse pour la gêne occasionnée par ce problème.
Je commence sérieusement à étudier les différentes possibilités pour résilier mon contrat si la situation n'évolue pas rapidement. Car s'il faut 2 mois à cet assureur en ligne pour résoudre un problème d’envoi de lien internet, je n'ose imaginer les délais et les tergiversations en cas de sinistre.
Pour l'anecdote, il ne leur a fallu que 48h pour me réclamer 15€ pour changer 1 chiffre sur mon avenant (erreur de déclaration initiale au téléphone lors de la prise des renseignements pour établir le contrat).</t>
  </si>
  <si>
    <t>28/01/2017</t>
  </si>
  <si>
    <t>mathieu-d-130968</t>
  </si>
  <si>
    <t>Simple et pratique. Les tarifs sont bien placés et le garanties semblent correctes.
Je suis un ancien client qui revient suite au remplacement de mon véhicule actuel.</t>
  </si>
  <si>
    <t>alain-g-121959</t>
  </si>
  <si>
    <t xml:space="preserve">Assuré chez PACIFICA depuis quelques années, je suis en attente du remboursement d'un dégât de l'entrée de mon domicile  suite à un accident de la circulation depuis 7 mois et demi.
La seule action de PACIFICA est d'envoyer un courrier à l'assurance adverse après mes appels téléphoniques.
Je pense saisir le Médiateur des assurances.
</t>
  </si>
  <si>
    <t>karim-b-126565</t>
  </si>
  <si>
    <t>Je suis satisfait du service les prix me conviennent simple pratique je recommande fortement le conseiller a été très explicite et très efficace merci pour tout</t>
  </si>
  <si>
    <t>05/08/2021</t>
  </si>
  <si>
    <t>gacon-d-110265</t>
  </si>
  <si>
    <t xml:space="preserve">Je suis satisfais d assurance olivier  car il son a l ecoute et pas cher dans le domaine d assurances et je recommanderai à mes proches et d autres personnes </t>
  </si>
  <si>
    <t>geoffrey-d-111938</t>
  </si>
  <si>
    <t xml:space="preserve">je suis satisfait du prix
et du service téléphonique pour chaque appel toujours une bonne réponse
et très bien renseigner pour chaque demande de renseignement 
bien cordialement
</t>
  </si>
  <si>
    <t>gede74-49560</t>
  </si>
  <si>
    <t>contrat propose par telephone par conseillère en insistant sur le fait qu il était bien adapte a mon profil ,nouveau retraite, au beefice d une ald, bilan   600 euros dépensés pour rien ,aucune prise en charge de base ,mieux fait d acheter des chocolats  ca m aurait fait plus de bien</t>
  </si>
  <si>
    <t>25/11/2016</t>
  </si>
  <si>
    <t>01/11/2016</t>
  </si>
  <si>
    <t>daniel-v-113666</t>
  </si>
  <si>
    <t>je suis très satisfait de mes contrats et des moyens de communication  associés (précisons tout de même n'avoir jamais eu de défaut de paiement ou  de  sinistre déclaré depuis 12 ans) situation à éprouver pour avoir un avis objectif sur la qualité de service et le respect des engagements de l'assureur</t>
  </si>
  <si>
    <t>14/05/2021</t>
  </si>
  <si>
    <t>greg7506-116320</t>
  </si>
  <si>
    <t xml:space="preserve"> Franchise excessive et conseils défaillants
Assurance à proscrire
Après presque 10 ans chez cette assurance j'ai vu mon contrat résilier unilatéralement par ces derniers suite à plusieurs sinistres non responsables</t>
  </si>
  <si>
    <t>lu-67170</t>
  </si>
  <si>
    <t xml:space="preserve">Jamais vu un service client aussi intransigeant. Aucune écoute lorsque vous leur demandez un geste commercial pour l'ouverture d'un deuxième contrat... Et surtout un vérouillage total lorsque vous leur opposez un souhait de rétractation car le devis est trop élevé. Ils n'ont rien a voir avec la mentalité "motard" dont ils se targuent, ils souhaitent juste faire un maximum d'argent et forcent à la souscription au prix fort. Comment voulez-vous entretenir un prestataire avec une telle attitude méprisante. Les conseillères sont horribles. Fuyez ! </t>
  </si>
  <si>
    <t>28/09/2018</t>
  </si>
  <si>
    <t>delphin-c-121252</t>
  </si>
  <si>
    <t>je suis satisfait des prix et de la qualité de vos commerciaux . rapport qualité prix impeccable quand j'ai l'occasion je propose votre assurance à mes amis et connaissances</t>
  </si>
  <si>
    <t>25/06/2021</t>
  </si>
  <si>
    <t>mary-128760</t>
  </si>
  <si>
    <t>Les prix de la MGP sont un peu élevés et malheureusement comme beaucoup de mutuelle ne rembourse pas très bien l'optique. Les réponses par mail sont beaucoup trop longues a arriver!!! en revanche le reste des prestations sont tout à fait corrects et j'ai une conseillère qui vient de m'appeler à la place de répondre par mail pour m'expliquer une situation particulière, ce qui est vraiment très bien.</t>
  </si>
  <si>
    <t>achilou30-62977</t>
  </si>
  <si>
    <t>Je viens d'avoir un sinistre sur mon macbook pro preté pour la WE a un ami qui l'a fait tomber de son bureau,résultat des courses carte mère HS 547€ de réparation,déclaration de sinistre faite à sa responsabilité civile
 REPONSE DE PACIFICA 
l' assurance ne rembourse pas les frais de réparation   car cela est considéré comme étant  un transfert de garde ?? et que la responsabilité civile aurait marché si le sinistre était arrive chez moi !!
PACIFICA orgasnisme à éviter.
En cas de sinistre tous les prétextes seront invoqués pour ne pas indemniser</t>
  </si>
  <si>
    <t>jacquet-s-133993</t>
  </si>
  <si>
    <t xml:space="preserve">Le site n’est pas assez pratique au niveau de la réception des documents mais cependant le service est de très bonne qualité, les opératrices très sympathique </t>
  </si>
  <si>
    <t>22/09/2021</t>
  </si>
  <si>
    <t>remi-d-133482</t>
  </si>
  <si>
    <t>Pour l'instant, plutôt satisfait des conditions de souscription (facilité, disponibilité). A confirmer en cas de sollicitation, en espérant ne pas y avoir recours!</t>
  </si>
  <si>
    <t>joelle-j-112943</t>
  </si>
  <si>
    <t>Excellente assurance. Très bon niveau relationnel. Bon rapport qualité/prix. L'avance des deux premiers mois à l'inscription peut être cependant gênante pour les petits porte-monnaies.</t>
  </si>
  <si>
    <t>06/05/2021</t>
  </si>
  <si>
    <t>lordy-52410</t>
  </si>
  <si>
    <t>A fuir de toute urgence, ayant eu un accident non-responsable, possédant les coordonnées du responsable, AMV refuse de me rembourser car le responsable de l'accident ne répond pas à leurs courriers !!!!! (je compte déposer plainte contre AMV)</t>
  </si>
  <si>
    <t>14/02/2017</t>
  </si>
  <si>
    <t>machintruc-95424</t>
  </si>
  <si>
    <t>La réalisation du devis est lente lorsque l'on est déjà client, le formulaire pourrait être plus efficient lorsqu'on le rempli depuis son espace client (réutilisation des informations déjà connues: nom, adresse, bonus ou malus)</t>
  </si>
  <si>
    <t>28/07/2020</t>
  </si>
  <si>
    <t>lesinge-55629</t>
  </si>
  <si>
    <t>Tout à fait satisfait des relations entretenues avec facilité et qualités/prix l'assureur ayant la simplicité de résoudre tous problèmes ayant les solutions en avantageant leurs clients.</t>
  </si>
  <si>
    <t>05/07/2019</t>
  </si>
  <si>
    <t>zakaria-m-126932</t>
  </si>
  <si>
    <t xml:space="preserve">Je suis satisfait merci pour se service  simple et efficace je recommande
Je vous remercie de la rapidité  
Je recommande à mon entourage car se service est rapide </t>
  </si>
  <si>
    <t>larry-b-75945</t>
  </si>
  <si>
    <t>Mon employeur a changé de mutuelle pour Mercer ... Quelle erreur ! Obligé de passer par ma direction pour que les choses avancent ... Un premier mail d'excuses après X relances tout en demandant de nouveaux justificatifs pas forcément justifiés. Mais j'envoie quand même pensant que tout ça va être réglé et finalement 3 semaines après toujours rien, X nouvelles relances pour finalement me demander à nouveau mes décomptes de la sécurité sociale !? Bref, une GALERE !</t>
  </si>
  <si>
    <t>15/05/2019</t>
  </si>
  <si>
    <t>luc-52006</t>
  </si>
  <si>
    <t xml:space="preserve">Chercher L’erreur vous n’êtes pas bien placé 
ci joint devis de vos concurrents </t>
  </si>
  <si>
    <t>03/02/2017</t>
  </si>
  <si>
    <t>mahdi-s-128755</t>
  </si>
  <si>
    <t>Je suis super content, super facile et efficace et rapide pour assurer ma voiture, et avec le mode de paiement super efficace. Je recommande pour tout les jeunes.</t>
  </si>
  <si>
    <t>hund-r-124620</t>
  </si>
  <si>
    <t>Les prix sont raisonnables, et tous faire en ligne est très pratique
Le contrat tiers max correspond à mes attentes, j'espère que le suivi client est à la hauteur malgré que votre assurance est une assurance en ligne(sans agence physique)</t>
  </si>
  <si>
    <t>24/07/2021</t>
  </si>
  <si>
    <t>gisele-49138</t>
  </si>
  <si>
    <t xml:space="preserve">On m'a volé mon véhicule le 08 mai et il a été retrouvé 3 jours après. Après l,e passage de l'expert on me propose d'indemniser les dégâts du véhicule ou de me donner une somme d'argent. Je choisi la réparation de mon véhicule. à ce jour, l'Olivier m'indique n'avoir toujours pas reçu le rapport d'expertise qui lui a été transmis il y a 1 mois et l'expert m'indique qu'il faut voir avec mon assureur ! De plus j'apprends que mon contrat a été résilié suite à ce sinistre ! Que faire ?? Pourquoi paye-t-on une assurance voiture ? Je vais devoir m'orienter vers la médiation de l'assurance pour faire valoir mes droits ! C'est une honte. Je ne peux pas faire réparer mon véhicule tant que l'assurance prétend ne pas avoir le rapport d'expertise. Et je suis en attendant piéton !!
</t>
  </si>
  <si>
    <t>21/06/2017</t>
  </si>
  <si>
    <t>cyrille-b-130669</t>
  </si>
  <si>
    <t>Je suis très satisfait de ce service. Le personnel est à l'écoute et très réactif. Le traitement de ma modification de contrat a été traitée rapidement.</t>
  </si>
  <si>
    <t>dang-phuong-n-126198</t>
  </si>
  <si>
    <t>Simple et pratique, le prix est raisonnable en comparant avec les concurrences. La souscription est simple et rapide. Les informations fournies sont claires</t>
  </si>
  <si>
    <t>jacquet-v-116794</t>
  </si>
  <si>
    <t>Les prix sont acceptables.
Le service est pratique.
Service de souscription téléphonique un peu long.
Trop d'insistance sur les offres "recommandées".</t>
  </si>
  <si>
    <t>michel-o-129520</t>
  </si>
  <si>
    <t xml:space="preserve">Les prix et garanties conviennent. je suis suis satisfait de la rapidité d'exécution et du traitement des donnés. J'attends de voir comment se passe l'année de souscription. </t>
  </si>
  <si>
    <t>elphege-s-116286</t>
  </si>
  <si>
    <t xml:space="preserve">A voir sur le temps niveau prix c est très correct mais le jour où j ai un sinistre j espère que vous serez fiable et disponible et que je n aurais pas de mauvaise surprise </t>
  </si>
  <si>
    <t>escargot5-99656</t>
  </si>
  <si>
    <t>Assureur à éviter, vous déposez un contrat vous payez sans problème et ensuite il étudie s'il vous garde ou pas, dans mon cas ils m'ont ejecté simplement parce que j'ai soit disant oublié de signaler un malus qui n'apparait nulpart sur le relevé d'information de mon ancien assureur. J'ai réglé 140€ à l'inscription remboursement 35€ et 1 mois d'assurance. Votre dossier est étudié après avoir payé pourquoi ce n'est pas fait avant on me fait une proposition sur le site lors dema recherche ou je renseigne tout puis survient un problème incompréhensible et vous êtes viré coût de l'opération près de 110€ A bon entendeur demandez la confirmation avant de payer , moi je ne recommande pas cet assureur</t>
  </si>
  <si>
    <t>05/11/2020</t>
  </si>
  <si>
    <t>yannick-z-128747</t>
  </si>
  <si>
    <t>Dommage que les prix varient entre 2 clics ... Sinon ok, et moins cher que les concurrents...
Rapide et facile pour la souscription
Resté à voir si la protection sera à la hauteur</t>
  </si>
  <si>
    <t>blandinetir-65866</t>
  </si>
  <si>
    <t xml:space="preserve">Cela fais 3 ans que je suis chez Pacifica (Et je me demande bien pourquoi d'ailleurs). Lors de l'ouverture du contrat ils sont ADORABLE mais dès que l'on doit gérer un litige, que l'on nous doit des explications sur un sinistre ou un paiement les "conseillers" sont très désagréable, n'ont aucune écoute active, je n'entend aucun sourire, aucune bienveillance et quand je demande pourquoi je n'est même pas un sourire on me demande ou est le rapport. Le rapport ? Est que je paie un service pour être au moins accueilli convenablement. Je paie vraiment très cher, le double en comparant aux autres assureurs (MMA,MATMUT,AXA,MAIF..) et pourtant je n'ai aucun service satisfaisant en dehors du service client de base. </t>
  </si>
  <si>
    <t>thomas-h-134422</t>
  </si>
  <si>
    <t>Pour le moment c’est simple. Pas trop cher maintenant à voir la suite. J’espère être bien assuré en tout risque. Je suis venu ici par envie d’économie pour l’instant c’est bon</t>
  </si>
  <si>
    <t>chauvelon-a-121893</t>
  </si>
  <si>
    <t>Le devis était clair. Les explications aussi. Création du contrat rapide. Prix intéressant. Interlocuteurs à mon écoute. Je suis pour l instant satisfaite.</t>
  </si>
  <si>
    <t>franck--115405</t>
  </si>
  <si>
    <t xml:space="preserve">Cela fait deux ans que je suis engagé dans un litige prud'hommal, je n'ai jamais obtenu quoique ce soit de SOGESSUR. J'ai eu gain de cause pour cette action, en décembre 2020, depuis je tente d'obtenir ce qui est prévu par l'assurance,  mais RIEN. J'appelle chaque semaine, on me confirme que mon dossier est complet, que la juriste en charge de mon dossier va m'envoyer un mail et que je vais recevoir un virement : RIEN. Depuis, 2 semaines le ton a changé, la personne que j'ai au bout du fil, me confirme que le dossier est complet, mais que la juriste en fait rien  ... (ah bon vraiment). Donc, elle va transmettre le dossier à ses supérieurs,  et que je vairs recevoir un virement : RIEN. Donc je fais remarquer que ça n'a pas l'air de fonctionner non plus, du coup on m'invite à envoyer une lettre manuscrite en recommandé. Au moins, comme ça, je pense clairement que ça va bien avancer, et je ne dérangerais plus personne au téléphone. 
 </t>
  </si>
  <si>
    <t>jorisdu33-60455</t>
  </si>
  <si>
    <t xml:space="preserve">C une assurance qui ne sert à rien des que l on a besoin, bien sûr que c moins chers, mais ça veut pas dire qu il faut escroqué les clients..... </t>
  </si>
  <si>
    <t>13/01/2018</t>
  </si>
  <si>
    <t>hafyd-m-111170</t>
  </si>
  <si>
    <t>C'est rapide en espérant pas être déçu par cette assurance et niveau prix merci de faire un geste pour les chauffeurs expérimentés merci bien à vous..</t>
  </si>
  <si>
    <t>grimss-131931</t>
  </si>
  <si>
    <t xml:space="preserve">Je paye beaucoup trop cher pour la voiture que j'utilise j'aimerais bien payer moins cher au tiers essentiel est ce que vous pouvez faire ça s'il vous plaît ? </t>
  </si>
  <si>
    <t>jenni-49733</t>
  </si>
  <si>
    <t>C'est mon courtier depuis trois ans et je recommande le fait de tout comparer c'est vraiment bénéfique pour le portfeuille. J'aime la présence qu'ils ont chaque année car je n'y pense pas toujours et ils m'accompagent en me proposant de nouvelles formules quand c'est nécessaire, tout en me conseillant de ne pas changer quand c'est plus oportun. Ils travaille rapidement ça c'est sur mais en totu cas les excplications sont claires et cela me suffit</t>
  </si>
  <si>
    <t>30/11/2016</t>
  </si>
  <si>
    <t>juliaburette-71841</t>
  </si>
  <si>
    <t>Assurance habitation mal clôturée de leur côté et il envoie au contentieux malgré la mise au clair de la situation, malgré une faute émanent d'eux 
A FUIR</t>
  </si>
  <si>
    <t>pa07-100040</t>
  </si>
  <si>
    <t>ADAPTE AUX BESOINS et services dont j'ai besoins.  meilleurs rapport qualite prix que j'ai trouvé. Pour moi, je suis satisfait car bien adapté à mes besoins d'assurances.</t>
  </si>
  <si>
    <t>12/11/2020</t>
  </si>
  <si>
    <t>isabelle-l-124742</t>
  </si>
  <si>
    <t>Je suis satisfaite du service, prix le mieux placé trouvé, malgré le coût conséquent pour un scooter 50 cc.
Je recommande car très facile pour s'assurer de suite.</t>
  </si>
  <si>
    <t>jean-marc-d-126428</t>
  </si>
  <si>
    <t>Satisfait du système informatique très simple et logique.
Prix adapté à l usagers, simple et efficace.
Très bon contact téléphonique, accueil et compréhension des demandes.
Personne professionnel et sans forcing commercial, je RECOMMANDE.</t>
  </si>
  <si>
    <t>bobbobbr-55227</t>
  </si>
  <si>
    <t>Très difficile de les joindre au téléphone , Pas de remboursement suite vente véhicule malgré courrier avec AR et échanges mails . Obligation de faire intervenir la protection juridique</t>
  </si>
  <si>
    <t>08/06/2017</t>
  </si>
  <si>
    <t>zeb-88862</t>
  </si>
  <si>
    <t>Mon prêt étant clôturé , j'ai envoyé les justificatifs pour arrêter l'assurance plusieurs fois à dip@metlife.fr sans aucune réponse .
Donc communication difficile .</t>
  </si>
  <si>
    <t>14/04/2020</t>
  </si>
  <si>
    <t>remo5582-55688</t>
  </si>
  <si>
    <t>Je vous déconseille fortement cet assureur. 
J'ai attendu 6 mois pour avoir ma carte verte. Ils ont été incapable de fournir les anciens relevés d'information, j'ai eu un sinistre et malgré l'envoi recommandé, plus 3 mails. Je n'ai pas reçu de réponse. Jai finalement eu quelqu'un au téléphone après 10 minutes d'attente. 
J'ai changé de coordonnées bancaire et idem le nécessaire n'a jamais été fait. 
Vous le recevez jamais de réponse aux mails. 
À éviter vraiment</t>
  </si>
  <si>
    <t>le-loet-n-115304</t>
  </si>
  <si>
    <t xml:space="preserve">Les prix sont bien plus attractifs que chez la plupart des concurrents, j'ai assuré plusieurs vehicules ici est j'en suis très satisfaite.             </t>
  </si>
  <si>
    <t>29/05/2021</t>
  </si>
  <si>
    <t>clementine31-85451</t>
  </si>
  <si>
    <t xml:space="preserve">Bonjour, Je suis partiellement bénéficiaire d'une assurance vie pour laquelle j'ai envoyé mon dossier par mail le 24 avril 2020 ; celui ci est complet et ne présente aucun problème ;  CARDIF BNP PARIBAS a eu besoin d'informations complémentaires qui lui ont été fournies par mon notaire et ce à plusieurs reprises depuis le mois de février 2020 ; mais CARDIF BNP PARIBAS ne semble pas se satisfaire de ces réponses et dit avoir besoin de 2 semaines pour étudier, à nouveau ces informations et "être sûrs qu'elles s'appliquent a la clause bénéficiaire de ce contrat d'assurance vie" (???) ; d'après mon notaire tout a été dit, tout est clair depuis plusieurs mois et il n'y a aucune raison que ce dossier prenne autant de retard. Je demande donc à CARDIF d'effectuer le paiement de cette assurance vie - ainsi qu'aux autres bénéficiaires -  dans les plus brefs délais en respectant les intérêts de retard conformes à la Loi Eckert pour les bénéficiaires concernés.   
</t>
  </si>
  <si>
    <t>fred64-78585</t>
  </si>
  <si>
    <t>Suite à un accident de travail, ils refusent de m'indemniser avec l'assurance prévoyance souscrite au motif que je n'ai pas envoyé les documents dans les délais. Or, j'ai tout envoyé en double (courrier et mail), et leurs en ai même apporté les preuves et ils me disent que j'ai fait des faux envois... C'est hallucinant !!! D'autres internautes ont'ils connu la même façon de faire d'AXA????</t>
  </si>
  <si>
    <t>21/08/2019</t>
  </si>
  <si>
    <t>jaclac38-99044</t>
  </si>
  <si>
    <t xml:space="preserve">Incroyable lenteur et demande continuelle de documents pour une assurance emprunteur. Alors que la banque a donné son accord sur l'aspect financier de notte prêt immobilier, cela fait des semaines que CNP assurances nous promène ! Nous risquons de rater notre projet à cause de ces incompétents ! Aucun contact serieux ! A fuir absolument ! </t>
  </si>
  <si>
    <t>blas-b-132377</t>
  </si>
  <si>
    <t xml:space="preserve">très claire pour modifier le contrat seul inconvenant pas de conseillé  au bout du téléphone le weekend pour demander  des renseignement à un conseilél </t>
  </si>
  <si>
    <t>11/09/2021</t>
  </si>
  <si>
    <t>chantal-64542</t>
  </si>
  <si>
    <t xml:space="preserve">voiture en panne à 140 km de mon domicile ,service mis en place pour récupérer ma voiture chez le garagiste impossible pour moi, maif a essayé le train impossible,pas de communications, proposition de location d'un véhicule à 30km de chez moi que je devais laisser dans une autre ville mais pas celle du garage  ; j'ai demandé à maif un taxi mais refus . 
personne peut compréhensive au téléphone .
je déconseille maif pour l'assistance </t>
  </si>
  <si>
    <t>06/06/2018</t>
  </si>
  <si>
    <t>eddine-b-115172</t>
  </si>
  <si>
    <t xml:space="preserve">OU  JE SUIS SATISFAIT  des service et réponse et solutions pour avoir des tarif attractif j'espère qu'il ii aura pas d augmentation l Annee  prochaine </t>
  </si>
  <si>
    <t>patrick-h-125319</t>
  </si>
  <si>
    <t>JE SUIS SATISFAIT?mais je ne comprend pas j'ai déja payé deux mois d'avance pour ma precedente voiture que jai gardé " jours avant quelle ne brule,et je repaie deux mois d'avance pour la nouvelle,</t>
  </si>
  <si>
    <t>nawfel-a-106468</t>
  </si>
  <si>
    <t>tres satisfait du service et les prix sont tres tres interessant je conseil a tout le monde de souscrire et la manipulation de l application est tres simple</t>
  </si>
  <si>
    <t>joce-71176</t>
  </si>
  <si>
    <t xml:space="preserve">A la lecture des avis jai peur de ne pas etre remboursé dun sinistre de 824 eur . Meme pas responsable .pour une assurance tous risques à 160 eu mensuel...on pourrait s'attendre à etre pris en charge ...normalement. 2 mois que ça dure on nous ballade par téléphone en nous disant que l'assureur du responsable na pas 1 élément...faux! Je suis écoeurée. Ce sont des incapables  </t>
  </si>
  <si>
    <t>11/02/2019</t>
  </si>
  <si>
    <t>davyyyy-97838</t>
  </si>
  <si>
    <t xml:space="preserve">Résiliation par assureur a échéance sans aucun motif valable ...
Démarché par cette assurance, nous avons fait le choix de quitter la nôtre où nous étions depuis 10 ans.
Après un prêt de véhicule signalé à la compagnie pour une période de 6 jours, documents envoyés par le biais de l'espace personnel à la demande de la compagnie et de notre interlocutrice.
Nous avons été le plus honnête possible en signalant ce prêt alors qu'il n y a eu aucun sinistre...
Nous recevons dernièrement un recommandé résiliant notre contrat d'assurance car cela ne fait pas parti de leur politique d'acceptation.
Pourquoi ne pas nous l'avoir dit lors de nos échanges téléphoniques plutôt que de résilier votre contrat 3 mois et demi après le prêt ?
La méthode est scandaleuse
Assurance à fuir !
</t>
  </si>
  <si>
    <t>25/09/2020</t>
  </si>
  <si>
    <t>gabynamee-56069</t>
  </si>
  <si>
    <t xml:space="preserve">Courtier impeccable
Toutefois, le service des sinistres comporte des collaborateurs grossiers et méprisants. Certaines indemnisations sont injurieusement basses, notamment après une tempête arrachant mon toit.
La théorie est que si vous n'avez pas une toiture neuve au départ, les dégâts subis le sont par votre faute.. 
C'est doleux et la somme allouée l'est au mépris total du client
</t>
  </si>
  <si>
    <t>10/09/2020</t>
  </si>
  <si>
    <t>veronique-b-137047</t>
  </si>
  <si>
    <t>Le site internet génial et bien expliquatif car bien décrit sérieux dans le site internet il faut que ça continue comme ça car vraiment c est géniale .</t>
  </si>
  <si>
    <t>11/10/2021</t>
  </si>
  <si>
    <t>tigefranck-69006</t>
  </si>
  <si>
    <t>Numéro de contrat : 1080296628
Numéro d'assuré : 9477634679 
Le 03 octobre 2018, j'ai souscrit, dans le cadre de la loi Hamon, un contrat assurance tous risques.
J'ai réglé 290,19 euros de prime annuelle par CB.
Le 05 novembre 2018, je me suis rétracté par téléphone, rétractation confirmée par lettre recommandée avec AR le même jour.
Le 13 novembre 2018, je reçois un mail de leur part, m'informant de la résiliation effective de mon contrat et du remboursement des sommes versées sous 14 jours.
Sans nouvelles de leur part, je les contacte par mail le 27 novembre 2018, auquel ils me répondent laconiquement que "les fonds sont partis en banque le 26 novembre 2018".
Nous sommes le 29 novembre 2018, les fonds ne sont toujours pas arrivés sur mon compte bancaire.
Je déconseille donc fortement cette assurance, qui, vu les embuches devant lesquelles je dois faire face pour une simple rétractation ne laisse rien augurer de bon en cas de sinistre.</t>
  </si>
  <si>
    <t>29/11/2018</t>
  </si>
  <si>
    <t>olivier-g-106629</t>
  </si>
  <si>
    <t>Pas de difficulté particulière rencontrée lors des démarches. Le tarif est un peu élevé pour un contrat avec 50% de bonus sans accident depuis plusieurs années</t>
  </si>
  <si>
    <t>jacques-c-110051</t>
  </si>
  <si>
    <t>les prix deviennent un peu elevès je serait pas contre pour une petite remise l annee prochaine  n ayant jamais eu de sinistresdepuis que je suis assurè chez direct assuranceet ayant fait addurer  la voiture de ma compagne</t>
  </si>
  <si>
    <t>marcphil-66935</t>
  </si>
  <si>
    <t>AMV ass. a très mauvaise réputation concernant les indemnisations mais en plus il ignore le code des assurances quand ça l'arrange :vérifier les témoignages et vous comprendrez</t>
  </si>
  <si>
    <t>18/09/2018</t>
  </si>
  <si>
    <t>avon-54398</t>
  </si>
  <si>
    <t>Suite a accident non responsable et un délit de fuite j'ai bien relevé la plaque...
Et on m'a clairement dit on ne peut rien pour vous si la personne ne veut pas faire de constat.
Difficile de les joindre mais le pire de tout j'ai apres un parrainage je devais recevoir 70e pour moi et 30e pour le souscripteur , 4 mois après toujours rien alorsj'ai commencé a les appelé pour les réclamer on m'a résilié pour impayé ce qui est faux une exuse.</t>
  </si>
  <si>
    <t>laurent-122558</t>
  </si>
  <si>
    <t xml:space="preserve">Globalement je suis satisfait des services d'AMV , je suis client depuis 2007 et j'ai eu un seul souci avec ma moto (panne électrique) donc partie sur camion remorque et AMV  à répondu 
très rapidement ( super assistance) .
Juste un peu de mal à les contacter par téléphone . </t>
  </si>
  <si>
    <t>06/07/2021</t>
  </si>
  <si>
    <t>christian-p-126322</t>
  </si>
  <si>
    <t>Je suis satisfait de ce service, J'aurais aimé des prix un peu moins élevés mais après enquête, le rapport qualité prix me semble bon. Maintenant reste à voir ce qui se passera en cas d'incident ou d'accident</t>
  </si>
  <si>
    <t>cyrus-78930</t>
  </si>
  <si>
    <t>Impossible de les joindre par téléphone, délais de remboursement pour dépassement d'honoraires catastrophique, j'attends toujours un remboursement après 2 mois d'attente, ils se fichent complètement des assurés, on a beau appeler les rares fois où on arrive à avoir quelqu'un on nous répond que c'est en cours et rien... Par contre pour prélever les cotisations là pas de problème ! Je vous déconseille fortement cette compagnie qui ne vous sera d'aucun utilité</t>
  </si>
  <si>
    <t>04/09/2019</t>
  </si>
  <si>
    <t>stephc-95770</t>
  </si>
  <si>
    <t>tres limite
beaucoup de document demander lors que votre animal est condamne
aucune compassion juste la recherche de famille pour ne pas rembourser
beaucoup de choses pas prise en charge</t>
  </si>
  <si>
    <t>05/08/2020</t>
  </si>
  <si>
    <t>fred-123414</t>
  </si>
  <si>
    <t xml:space="preserve">Disponibilité et écoute. Qualité de la prise en charge de la problématique. 
Ce qui me conforte dans mon choix d'adhérent MGP depuis plus de vingt ans. </t>
  </si>
  <si>
    <t>14/07/2021</t>
  </si>
  <si>
    <t>antzan-87184</t>
  </si>
  <si>
    <t xml:space="preserve">Axa a oublié de résilier mon contrat chez mon ancien assureur, j'ai donc payé 2 assurances au lieu d'une pendant 8 mois (Mensualités qu'ils comptent me rembourser cependant). J'ai du donc souscrire un nouveau contrat pour lequel j'ai du réglé 3 mensualités (alors qu'ils me devaient donc de l'argent), contrat que j'attends encore une semaine après de multiples appels pour leur demander cet envoi, j'ai donc bel et bien réglé 3 mensualités mais je n'ai aucun moyen de prouver que je suis assuré.
Les tarifs sont très bas mais on comprend pourquoi. </t>
  </si>
  <si>
    <t>15/02/2020</t>
  </si>
  <si>
    <t>belkacem-i-116655</t>
  </si>
  <si>
    <t xml:space="preserve">l'assurance n'est pas aussi bas qu'avant
arrêtez de nous imposer cette rebrique d'avis 
je ne comprends pas pourquoi vous n'acceptez plus les chèques </t>
  </si>
  <si>
    <t>10/06/2021</t>
  </si>
  <si>
    <t>ddseg-69484</t>
  </si>
  <si>
    <t>fuyez allianz 
c'est cher et ils sont incompétents
je suis societaire chez eux depuis 1996 et mon cheval a été victime d'un coup de pied d' un autre cheval assuré a la maif et pour la prise en charge par la maif , allianz doit envoyer par mail une notification toujours pas fait ce jour</t>
  </si>
  <si>
    <t>boulhand-80144</t>
  </si>
  <si>
    <t>Excellent  contact  avec  Alicia  qui  m'a  parfaitement  expliqué  la  situation  de  mon contrat.  Merci  pour  cette  agréable  entretien.</t>
  </si>
  <si>
    <t>17/10/2019</t>
  </si>
  <si>
    <t>fromage-l-110874</t>
  </si>
  <si>
    <t>Service en ligne très correct mais un bug fait que le nom du conducteur principal sur le contrat n'est pas le bon ce qui oblige à utiliser l'assistance téléphonique qui a été très bonne.</t>
  </si>
  <si>
    <t>19/04/2021</t>
  </si>
  <si>
    <t>willocq-r-115434</t>
  </si>
  <si>
    <t xml:space="preserve">Satisfait 
Bon prix 
Très bonne assurance 
Je recommande vivement cette assurance pour les petits budget accès très bien et rapide je recommande  j en parlerai autour de moi </t>
  </si>
  <si>
    <t>tony-105553</t>
  </si>
  <si>
    <t>J’ai assuré ma fille marie sur ma voiture Citroën c2 3823 VT 73 contrat 140398667 je cède la c2 le 23/01/2021 ma fille fait le nécessaire auprès de direct assurance pour résilier elle reçoit un mail de confirmation par contre je paye toujours le mois de février et encore le mois mars malgré plusieurs demande auprès de direct assurance rien ne change je n’arrive pas à avoir une réponse sur mon payement à suspendre incompétence des interlocuteurs 
zanellotony@gmail.com
zanellotony@gmail.com</t>
  </si>
  <si>
    <t>05/03/2021</t>
  </si>
  <si>
    <t>*-102249</t>
  </si>
  <si>
    <t xml:space="preserve">J’ai reçu un appel de cet « assureurs » et quand je lui ai dit que j’ai déjà ce qu’il faut la personne m’a simplement répondu d’aller me faire foutre donc c’est très sérieux le site appelle avec ce numéro de téléphone :+33 9 77 29 58 38 voilà </t>
  </si>
  <si>
    <t>06/01/2021</t>
  </si>
  <si>
    <t>totonydu85-101176</t>
  </si>
  <si>
    <t xml:space="preserve">Très bon assureur, avec des garanties excellentes, par-contre le prix de l’assurance reste très élevé. Dommage que le prix soit aussi élevé. Sinon je recommande cet assureur. </t>
  </si>
  <si>
    <t>jason-l-123407</t>
  </si>
  <si>
    <t xml:space="preserve">Satisfait par la qualité de service et réactivité site très facile, et abordable au novice sur internet, je vous recommande cette assurance pour sa qualité de prix et de prestations.
</t>
  </si>
  <si>
    <t>jean-yves-104772</t>
  </si>
  <si>
    <t xml:space="preserve">Le seul moyen d'y voir clair est d'appeler un(e) conseiller(ére) par téléphone.
Je m'y perds entre La caisse d'assurance maladie, la mutuelle, amélie et santéclair… Et le site MGP, même dans la partie privée qui m'est dédiée, n'explique rien.
Ex : mon dentiste, partenaire Santéclair, s'y est adressé pour une demande d'acceptation de devis ; je ne savais pas que je n'avais rien à faire - et surtout, ce n'est pas mentionné sur le site MGP. Le progrès, c'est la complication !
</t>
  </si>
  <si>
    <t>25/02/2021</t>
  </si>
  <si>
    <t>xavier--t-122102</t>
  </si>
  <si>
    <t xml:space="preserve">je ne suis pas satisfait   du service , j'ai introduit une demande via mon espace personnel  pour un remboursement que je devais recevoir  il y a plus d'un an  et je n'ai jamais eu de réponse  !   C'est honteux!   Très mauvais service ! </t>
  </si>
  <si>
    <t>paco-115141</t>
  </si>
  <si>
    <t xml:space="preserve">assurance à fuir la hotline inexistante, gestion des sinistres inaccessible et sous traite, expertise bâclée suite à sinistre en catastrophe naturelle 5 mois toujours pas indemnise véhicule déjà enlevé par l'épaviste </t>
  </si>
  <si>
    <t>cecilia-90053</t>
  </si>
  <si>
    <t>Service client à l'écoute et très professionnel.</t>
  </si>
  <si>
    <t>29/05/2020</t>
  </si>
  <si>
    <t>santiane-137598</t>
  </si>
  <si>
    <t>mon problème de connexion sur le site client  monsantiane.fr a été résolu par Sanoun. Je suis très satisfaite : je le remercie pour son efficacité et son amabilité .</t>
  </si>
  <si>
    <t>16/10/2021</t>
  </si>
  <si>
    <t>jojo-54891</t>
  </si>
  <si>
    <t>professionnalisme, compréhension des dossiers, rapidité d'exécution, interlocuteur identifiable.</t>
  </si>
  <si>
    <t>24/05/2017</t>
  </si>
  <si>
    <t>emmanuel-t-137586</t>
  </si>
  <si>
    <t>Je suis déjà client, je poursuit chez april moto, les tarifs sont convenables. Seul Bémol une longue attente pour contacter le service client. Cordialement</t>
  </si>
  <si>
    <t>yannick-l-103712</t>
  </si>
  <si>
    <t>Service très efficace et réactif.
interface facile avec un navigateur de recherche qui permet d'avoir facilement les meilleures prix en fonction de vos garanties</t>
  </si>
  <si>
    <t>cricri-97742</t>
  </si>
  <si>
    <t>Après plusieurs demandes de remboursement pour des frais de taxi engagés et avoir fourni l'original du ticket remis par le taxi, la mgen a refusé le règlement demandant obstinément une facture. Sur le ticket sont notés tous les éléments de la facture. Apparemment le tracé ne leur plait pas !!!! En bonne élève j'avais choisi taxi et train pour me rendre à la clinique pour le prix de 58 euros environ au lieu de 350 euros en VSL. Pour un remboursement de 40 euros j'ai fait 2 réclamations et un déplacement en agence !!! Et ça continue...Aucun dialogue. Je déconseille formellement cette assurance qui manque d'empathie et trop bureaucratique et mauvaise prise en charge.</t>
  </si>
  <si>
    <t>23/09/2020</t>
  </si>
  <si>
    <t>marco--105676</t>
  </si>
  <si>
    <t>Bonjour Messieurs,
Après avoir contacté mon assurance pour savoir pourquoi ils ne faisaient aucun geste suite au Covid-19 étant un client très fidèle,(42 ans avec bonus maxi).
Leur réponse a été, nous ne le faisons que pour les actifs dommage pour les retraités!!!.
Je suis aller sur internet et j’ai ainsi pour les mêmes prestations fait des économies. La fidélité n’a malheureusement plus sens aujourd’hui.</t>
  </si>
  <si>
    <t>carinemay-113856</t>
  </si>
  <si>
    <t>Impossible de trouver sur mon espace le détail de mes garanties ! Souhaitant connaître le nombre de séances d'ostéopathie qui me sont remboursées dans l'année, j'ai envoyé un message (car il est très difficile de les contacter par téléphone). Après une première réponse, j'ai renvoyé un autre mail pour un complément d'information et j'ai reçu une réponse différente de la première. La difficulté pour obtenir des informations claires et rapides est un frein pour se soigner, je repousse certains soins car je sais qu'il sera difficile d'obtenir des informations précises de la part de Génération. C'est bien dommage. Sinon les remboursements sont effectués rapidement.</t>
  </si>
  <si>
    <t>fantic305-64001</t>
  </si>
  <si>
    <t>suite à un accident non responsable ( mon fils est tombé sur une route de campagne à cause d'un fil tendu en travers de la route  par un agriculteur pour faire passer ses vaches ) qui est arrivé il y a 9 mois, AMV vient enfin de me communiquer une proposition de la compagnie d'assurance adverse (vu les dates sur les courriers, ça abuse sévère ... en me conseillant vivement d'accepter une proposition inappropriée... On sent bien que le but est de passer à autre chose, et oui c'est du temps perdu !!! on attend pour notre part plutôt des conseils allant dans le sens de l'assuré, un suivi digne de ce nom et surtout pas avoir l'impression de faire ch... à chaque appel !!
J'ai eu plusieurs véhicules assurés chez AMV, et j' ai toujours 2 motos mais pas pour longtemps...</t>
  </si>
  <si>
    <t>14/05/2018</t>
  </si>
  <si>
    <t>01/05/2018</t>
  </si>
  <si>
    <t>chl-115808</t>
  </si>
  <si>
    <t>L horreur la plus absolue !
Incapable d envoyer les cotisations dûes
Ce n 'est pourtant pas très compliqué...
Puis du jour au lendemain menaces de résiliation car non paiement
Mais comment le savoir puisqu'ils n ont jamais envoyé ce que nous leur devions ?
Ubuesque !
Des heures et des heures passées au téléphone pour un avoir des agents qui prennent acte mais qui ne peuvent rien faire (simple "boite aux lettres" mais non décisionnaires, donc ils ne "servent à rien")
Ne répondent ni aux mails ni aux courriers
Déshumanisation totale
Ce que le monde de l'assurance peut faire en pire
Aucune considération du client, aucune personnalisation
Mercer semble beaucoup plus préoccupé par leur rentabilité et leurs actionnaires
A FUIR !!!!!!</t>
  </si>
  <si>
    <t>aslam-w-106175</t>
  </si>
  <si>
    <t xml:space="preserve">augmentation des tarifs aucune remise,  ils baissent les tarifs que pour les nouveaux venants, assurés depuis 3 ans. Je vais résilier direct assurance </t>
  </si>
  <si>
    <t>cricricricri-104242</t>
  </si>
  <si>
    <t>2 véhicules Bonus 50 en plus de 30 ans et quelques accrochages et pare brise cette assurance reste correct dans sa gestion et remboursements. Coté tarifs ils sont dans les cordes avec les groupes reconnus même souvent peu moins cher. Cependant aujourd'hui On peut être tenté par des promos en ligne qui s'affichent beaucoup moins cher , je commence à réfléchir et cherche des informations sur l'honnêteté de ces nouveaux concurrents ... c'est pas facile.</t>
  </si>
  <si>
    <t>trg-64346</t>
  </si>
  <si>
    <t xml:space="preserve">Néoliane Santé fait appel au démarchage téléphonique via une société DNA, qui m'a appelée malgré mon inscription sur Bloctel (blocage du  démarchage téléphonique), et usant de méthodes musclées pour convaincre l'appelé de souscrire en ligne une assurance indemnité suite à accident. </t>
  </si>
  <si>
    <t>31/05/2018</t>
  </si>
  <si>
    <t>noe-97439</t>
  </si>
  <si>
    <t xml:space="preserve">Je conduis depuis 30 ans en co-partage. Je loue, emprunte et partage par souci éthique social et écologique bien sûr.
J'ai des attestations des plateformes De partages qui attestent ma conduite sans heurt aucun! 
Aujourd'hui pour cause d'éloignement de mon travail, je me trouve dans l'obligation d'assurer une voiture personnelle.
La macif pourtant affichée comme une assurance soucieuse des valeurs écologiques, sociales, collectives refuse de reconnaître ces années de conduite et me propose une assurance jeune conducteur! J'ai 53 ans!!
Dans ma prochaine vie, j'utiliserai seule un beau gros 4/4 
En attendant je suis abasourdie par l'incohérence des principes de cette assurance qui n'a  Compris encore qu'en ce moment chacun et tous se devait de faire un effort pur le climat et la pollution, l'environnement 
A bon entendeur
N Dessus </t>
  </si>
  <si>
    <t>15/09/2020</t>
  </si>
  <si>
    <t>fureur-72356</t>
  </si>
  <si>
    <t xml:space="preserve">assurance injoignable,mon fils  c'est fais emboutir sa voiture sur une place de parking,il est assuré tous risques de plus pas responsable ,il avait une petite 205 gr vielle mais en trés bon état mécanique direct assurance l'éstime a 600 euros moi je préfererais qu'il lui en trouve une autre a peu prés semblable je leur souhaite bonne chance avec 600 euros , dégouté je pense que je vais intervenir en contactant un avocat </t>
  </si>
  <si>
    <t>21/03/2019</t>
  </si>
  <si>
    <t>sarag5-102922</t>
  </si>
  <si>
    <t>Toutes nos données ne sont pas protégé! Le 14 juillet 2020 une employée Mme J.H qui trvail à l'agence de bar le duc, c'est permise de se conecter ce jour là afin de récupérer l'adresse mail de mon conjoint afin de pouvoir nous insulter.
Éyant signaler cette acte à son employeur à plusieurs reprise car le 14 juillet ils ne travaillent pas donc assez facile de retrouver les recherches effectué ce jour ci rien n'a était fait à l'encontre de cette personne. Ce n'est pas du tout rassurant à savoir qui peut y avoir des détraqué qui peuvent récupérer toutes nos données  personnelles et en faire ce qu'il veulent malheureusement nous n'avons pas le choix de rester car c'est la mutuel de mon employeur. C'est inadmissible!</t>
  </si>
  <si>
    <t>20/01/2021</t>
  </si>
  <si>
    <t>marinecamille1-86590</t>
  </si>
  <si>
    <t>Aucun suivi des remboursements. Malgré plusieurs relances par mail ainsi que sur leur service client en ligne, ils ne répondent pas du tout et impossible de les joindre au téléphone. A éviter</t>
  </si>
  <si>
    <t>31/01/2020</t>
  </si>
  <si>
    <t>nutela-64255</t>
  </si>
  <si>
    <t xml:space="preserve">Un assureur l'un le plus cher du marché, et l'un des plus mauvais. Vous devez payer, mais quand il y a malheureusement un sinistre  cet assureur vous dit que vous n'étiez pas assuré, pour ce dégat particulier car il y avait une obtion et bien évidemment avec un coût supplémentaire </t>
  </si>
  <si>
    <t>28/05/2018</t>
  </si>
  <si>
    <t>charles-57829</t>
  </si>
  <si>
    <t>un service client déplorable , personne de répond à vos mail . Cela fait deux fois que je veux effectuer un rachat partiel sur mon compte , attendez vous à patienter longtemps avant d'avoir votre argent.
Pour vous faire redéposer de l'argent il y a pas de problèmes par contre.
Je conseil d'aller vers des assureurs plus compétents .</t>
  </si>
  <si>
    <t>05/10/2017</t>
  </si>
  <si>
    <t>mehran--m-134560</t>
  </si>
  <si>
    <t xml:space="preserve">Les prix me conviennent, satisfait pour l'instant. Je viens de souscrire à votre offre d'assurance. J'espère que notre contrat se fera dans de bon terme et condition. Merci à vous </t>
  </si>
  <si>
    <t>madyluna39-77334</t>
  </si>
  <si>
    <t>Caroline est attentive, aimable et à l'écoute. C'est très agréable d'être pris en charge par des personnes aussi accueuillantes. Elle assure un suivi en précisant bien par note les infos importantes a ajouter au dossier</t>
  </si>
  <si>
    <t>04/07/2019</t>
  </si>
  <si>
    <t>florent-122716</t>
  </si>
  <si>
    <t>bonjour je suis assurer a la mutuelle des motards depuis 2 ans environs et ma cotisation et de 958euros par ans.je viens davoir un sinistre  ma moto percuter a l arret avec un delit de fuite de la part de l auteur donc l expert est passer et a fait un devis et c est donc a moi de regler les frais de reparations en etant assuree  FORMULE TOUT RISQUE.je vous laisse donca reflechir sur les assureurs moto</t>
  </si>
  <si>
    <t>07/07/2021</t>
  </si>
  <si>
    <t>chazal-g-128903</t>
  </si>
  <si>
    <t xml:space="preserve">Je suis satisfait du prix par rapport au cinquante et vous av été les plus rapides à réagir du coup me voilà chez vous aujourd'hui pour de longues années. </t>
  </si>
  <si>
    <t>celine64-77964</t>
  </si>
  <si>
    <t xml:space="preserve">Après avoir eue un sinistre non responsable en décembre 2018 nous sommes en juillet et toujours dossier en cours   Seule reponse de mon agent  vous auriez été en tous risques a aurait été plus vite  Sauf qu'au tiers je paye déjà 92 euros pour 2 conducteurs à 0.85 de bonus. 
J'ai donc résilié mon contrat grâce à une autre assurance qui a pris effet le 7 juillet.
J'ai toujours été en prélèvement sauf en juin ou ils m'ont demander de payer en cb 18.37 euros pour la semaine de juillet. Et grande surprise le 16 juillet prélèvement de 92 euros 
Réponse de l'agent on ne vous rembourse rien car avec ce prélèvement on est à jour.
Mais à jour de quoi En plus pourquoi une cb en juin et non un prélèvement normal 
Je pars donc avec un sinistre non résolu ou je m'assoie sur 2400 euros de réparation et une mensualité de 92 euros.
Merci AXA </t>
  </si>
  <si>
    <t>26/07/2019</t>
  </si>
  <si>
    <t>alainnnn1955-55945</t>
  </si>
  <si>
    <t xml:space="preserve">assurance super, j'ai changé d'assurance à chacune de mes motos, mais là je suis tombé sur la bonne.
en 2 minutes je me suis inscrit, 2 jours après j'ai reçu la carte verte. mon interlocutrice a été adorable et professionnelle.
et même après mon petit accrochage, la prise en charge a été super rapide.
</t>
  </si>
  <si>
    <t>11/07/2017</t>
  </si>
  <si>
    <t>drops-110813</t>
  </si>
  <si>
    <t xml:space="preserve">Les franchises sont très élevées quand on compare cet assureur avec d autres produits pour un prix équivalent. Pour le prix payé à l année il manque des services que d autres assureurs proposent. Je trouve que je paye donc très cher un produit d assurances sans en avoir l équivalence. L option bris de glaces est aussi à revoir car franchise très élevée en comparant avec les autres assureurs </t>
  </si>
  <si>
    <t>walter-w-104943</t>
  </si>
  <si>
    <t xml:space="preserve">tres satifait de l'accueil, conseillere tres pro et tres agreable, esperons que notre collaboration sera longue.......................................
</t>
  </si>
  <si>
    <t>de-jesus-almeida-j-131691</t>
  </si>
  <si>
    <t xml:space="preserve">Je suis satisfaite, service rapide, à l’écoute et qui cherche des réponses aux questions que l’ont peut se poser. L’espace perso est super bien fait et facile d’accès. 
</t>
  </si>
  <si>
    <t>jordan11-62638</t>
  </si>
  <si>
    <t xml:space="preserve">Quelqu’un m’est rentré dedans, mais je ne sais pas qui c’est. Pacificaca ne m’a rien remboursé. Et maintenant pour courroner le tout, je paie tout les mois plus cher. En conclusion, j’ai rien fait, je répare ma voiture tout seul alors que je suis assuré tout risque, mais je paie quelque chose en plus pour ce sinistre </t>
  </si>
  <si>
    <t>julye-94274</t>
  </si>
  <si>
    <t xml:space="preserve">Après plus de 40 ans j envisage de quitter la Maif et je commence à faire le tour des assurances !
Certaines proposent une assurance spéciale pour les fuites d eau entre maison et compteur mais la Maif... Non !
Pour l instant fuite réparée mais si le pb persiste la Maif n aide pas !
Très déçue car assurance de plus en plus chère ! </t>
  </si>
  <si>
    <t>16/07/2020</t>
  </si>
  <si>
    <t>rogier-e-108581</t>
  </si>
  <si>
    <t xml:space="preserve">accorder plus d'espace pour les documents demandée, un plus si un conseiller nous appels pour répéter les conditions et les avantages de l'assurance . bien à vous </t>
  </si>
  <si>
    <t>30/03/2021</t>
  </si>
  <si>
    <t>sparksballs-78535</t>
  </si>
  <si>
    <t>Suite dégâts des eaux dans la cuisine, la Macif refuse la prise en charge pour absence de 9 jours à la place de 8 maxi. Mais la maison était sous surveillance et contrôle par nos voisins. intérieur et extérieur de la propriété. Relève du courrier, arrosage des plantes et du jardin: potager, Plantes intérieures.
le dégât des eaux s'est produit le 8ème jour !!!!
Assuré à la Macif depuis 35 ans voiture, habitation, responsabilité civile. Garantie mutuelle santé depuis le 01/01/2019. sinistre 191056478</t>
  </si>
  <si>
    <t>19/08/2019</t>
  </si>
  <si>
    <t>di-pierro-e-108030</t>
  </si>
  <si>
    <t>Conseillères très à l'écoute et toujours polies. Étant jeune conductrice, je ne pensais pas trouver une assurance à un tel tarif ! Je suis satisfaite.</t>
  </si>
  <si>
    <t>farid80-66887</t>
  </si>
  <si>
    <t>Bonjour 
Je suis assuré Maif depuis 1997. Jamais eu de problèmes.
Service client très sérieux. 
Les garanties sont correctes et  les prix sont raisonnablent.
Plusieurs biens immobiliers et deux véhicules assurés, je suis entièrement satisfait par les contrats.</t>
  </si>
  <si>
    <t>16/09/2018</t>
  </si>
  <si>
    <t>liloushak-59641</t>
  </si>
  <si>
    <t xml:space="preserve">adhérente depuis 3 ans, je reçois un courrier résiliant mon assurance auto sans autres explications. impossibilité de joindre le service client pour savoir pourquoi. au final il s’avère que mon pare brise réparé 2 fois en 3 ans (et oui, on roule en ile de france entre les camions et les camionettes... ce genre de chose peut arriver!!) plus un accident responsable m'ai coûté mon contrat! lors de mon appel pour faire réparer mon pare brise, personne ne m'a jamais dit ce que je risquais, si j'avais su, j'aurais fait réparé mon pare brise a mes frais!  </t>
  </si>
  <si>
    <t>13/12/2017</t>
  </si>
  <si>
    <t>will-i-am09-123830</t>
  </si>
  <si>
    <t>A fuir ! Ne prenez surtout le pack sérénité complétement inutile en cas de problème. Ma voiture a subit une tentative de vol le 8/07/21 et depuis cette date là je passe mon temps à courir après direct assurance pour avoir un véhicule de prêt. Primo, le véhicule n'est que "pendant la durée des réparations", donc il faut attendre que l'expert passe, ok soit c'est ma faute de pas avoir lu le contrat. MAIS maintenant que tout est ok, comme le garage partenaire n'a pas de véhicule de prêt, la meilleur solution que me propose direct-assurance c'est un "geste commercial" de 100€ + 15% de réduction chez Hertz pour louer un véhicule ! (pour info 1 semaine chez hertz c'est 500€ en moyenne pour un véhicule A) et sinon c'est 10€ d'indemnisation par jour. 
Inadmissible ! Près de 1000€ d'assurance par an en tout risque avec pack sérénité pour me retrouver sans rien et en plus payer une franchise variable jusqu'à 816€ pour les réparations. Si encore les prix étaient compétitifs mais ce n'est même plus le cas. 
Je ne compte pas en rester là avec eux 
(Pour info véhicule 308 GT Line 120cv Eat6)</t>
  </si>
  <si>
    <t>christian-w-122782</t>
  </si>
  <si>
    <t>Je suis satisfait du service et des prix en rapport avec le niveau de couverture des garanties souscrites. Je peux recommander la GMF pour ses contrat d'assurance adaptés aux besoins.</t>
  </si>
  <si>
    <t>alexandre-d-132817</t>
  </si>
  <si>
    <t xml:space="preserve">La souscription est simple et rapide, les tarifs sont bien placés par rapport aux garanties proposées.
pour l'instant je recommande direct assurance. </t>
  </si>
  <si>
    <t>dd-100118</t>
  </si>
  <si>
    <t xml:space="preserve">Malgré un courrier recommandé reçu par l'assureur avec la preuve que mon chien est mort il y a deux mois. Je continue à être prélevé presque 50 euro par mois. Pas un centime de remboursé en 5 ans d'assurance. Et maintenant je dois continuer à  payer malgré le décès de mon chien! Cest dégoûtant. </t>
  </si>
  <si>
    <t>15/11/2020</t>
  </si>
  <si>
    <t>pauron-f-129914</t>
  </si>
  <si>
    <t xml:space="preserve">Je suis satisfait du 1er contact avec le commercial le contract est arrivé très rapidement et le relationnel client est très bien je recommanderai cette assurance </t>
  </si>
  <si>
    <t>charles-l-138371</t>
  </si>
  <si>
    <t xml:space="preserve">Je suis satisfaite du prix et de la prestation fourni par l'olivier assurance auto. Des petits problèmes rencontrés sur le site (bug) mais sinon tout marche correctement et c'est rapide. </t>
  </si>
  <si>
    <t>27/10/2021</t>
  </si>
  <si>
    <t>nlarh-57575</t>
  </si>
  <si>
    <t>une négligence de mon agence crédit mutuel est à l'origine d'un litige sur mon assurance juridique liée à une assurance habitation</t>
  </si>
  <si>
    <t>pinguet-c-111034</t>
  </si>
  <si>
    <t xml:space="preserve">Je découvre l’Oliveir ce jour. BNS conseils et bonne écoute.            
A l’Oliveira de me convaincre d’apporter et de parrainer.                      </t>
  </si>
  <si>
    <t>auguste-137904</t>
  </si>
  <si>
    <t>les cotisations n'ont cessé d'augmenter pas les prestations ; la MGEN est devenue chère et trop liée  à la sécurité sociale exemple aucun remboursement pour la parodontie</t>
  </si>
  <si>
    <t>20/10/2021</t>
  </si>
  <si>
    <t>pierre-50185</t>
  </si>
  <si>
    <t xml:space="preserve">Retraité fonctionnaire et fidèle de la GMF depuis 40 ans, 2 véhicules, une maison et la mutuelle, je pense qu’on peut être bien considéré ! fin novembre 2016 je vante mon assurance à mon beau fils qui renouvelle son véhicule et lui prend RDV à mon agence de Montigny les Metz. Tout allait bien au téléphone mais arrivé en agence, accueil froid, son justificatif de relevé de situation de l’ancienne assurance n’est pas encore arrivé car ils traînent les pieds comme beaucoup d’assureurs qu’on veut quitter mais l’agent GMF le rend responsable, mon beau fils montre sa bonne foi sur des documents bon conducteur lorsque l’agent lui extirpe un papier relatant un sinistre passé de 24 mois pour justifier l’impossibilité de l’assurer ( j’ajoute que l’agent GMF ne doit pas savoir trop bien lire car le sinistre n’était pas aux torts de mon beau fils ), puis lorsque ce dernier  annonce qu’il venait de ma part, fonctionnaire assuré de longue date, son interlocutrice lui fait bien remarquer qu’elle s’en moque avec toujours son même air hautain et dédaigneux. Ce qui me gêne c’est que je rémunère cette personne qui visiblement casse la maison que j’ai approuvé et soutenu par mes années de cotisations. Je suis très déçu et je vais bien sûr quitter la GMF pour tous mes contrats et changer mon discourt vis-à-vis de mes nombreuses connaissances. Je remarque déjà sur les forums de bonnes solutions fiables tandis que la GMF n’est vraiment plus trop cotée. Je sens que je vais bientôt remercier cette femme pour avoir créé le déclic à mon départ. Adieu la GMF, décidément tout fout le camp. </t>
  </si>
  <si>
    <t>12/12/2016</t>
  </si>
  <si>
    <t>jean-philippe-p-107058</t>
  </si>
  <si>
    <t xml:space="preserve">Je suis très satisfait des tarif et services proposé chez Direct assurance
Simplicité et efficacité
</t>
  </si>
  <si>
    <t>tic-85375</t>
  </si>
  <si>
    <t xml:space="preserve">Service client jamais disponible. Assurance pas sérieuse. Je ne recommande pas du tout, j'ai deux véhicules et j'en avait un assuré chez eux que je viens de résilié. Leurs prestations sont déplorables. Attention car une fois que vous adhéré le service client est fantôme. Je me suis retrouvé en sinistre à l'étrangé impossible de les joindre pendant plus de 6 heures. Déplorable. Envoi de société de recouvrement quand erreur de leur part en trop versé su remboursement. Je les averti que je ne possède pas de chéquier et attends un autre moyen pour effectuer le paiement, aucune nouvelles pendant des mois. Sans scrupules. Ils devraient être contrôlé par un organisme compétent et de droit. </t>
  </si>
  <si>
    <t>31/12/2019</t>
  </si>
  <si>
    <t>jackb-86766</t>
  </si>
  <si>
    <t>J'étais décidé à faire un commentaire détaillé, mais finalement c'est une perte de temps avec Direct Assurance (ou AXA Assurances). Si vous hésitez encore, choisissez une assurance de proximité, et non une assurance en ligne qui perd rapidement son empathie.</t>
  </si>
  <si>
    <t>07/02/2020</t>
  </si>
  <si>
    <t>cetho-99293</t>
  </si>
  <si>
    <t xml:space="preserve">Très bonne compagnie sûre et efficace réactive
Je viens d’avoir l’agence de vannes pour un avenant : accueil très courtois et professionnel 
Efficience et sérieux
Je conseille vivement </t>
  </si>
  <si>
    <t>27/10/2020</t>
  </si>
  <si>
    <t>concarette-114890</t>
  </si>
  <si>
    <t xml:space="preserve">je suis assuré à cette mutuelle depuis janvier 2021 et c'est une catastrophe . Il faut attendre PLUS DE DEUX MOIS POUR OBTENIR UN REMBOURSEMENT . J'ai 71 ans et je n'ai jamais vu cela, vraiment je regrette d'avoir adhéré à CEGEMA . Jean Jacques AMELINE Lyon 3 </t>
  </si>
  <si>
    <t>26/05/2021</t>
  </si>
  <si>
    <t>gilles-97111</t>
  </si>
  <si>
    <t>Quelle Déception lorsque vous recevez l'avis pour la 2ème année... 
Pres de 20% d'augmentation
Le prix indiqué par le conseiller au téléphone lors de la prise de contact initialement était attractif. Le contrat reçu fut conforme à l'offre faite. Il y avait cependant une petite indication qui précisait un avantage tarifaire accordé pour la 1ere année, sans cependant en indiquer le montant ou le %.</t>
  </si>
  <si>
    <t>07/09/2020</t>
  </si>
  <si>
    <t>laurent-54045</t>
  </si>
  <si>
    <t>On vous annonce un prix et une fois sur le point de clôturer le dossier, on vous réclame des frais de gestion exorbitant. On vous dit aussi un antivol SRA, j’achète l'antivol en question et la encore ça ne va pas il faut un bloque roue ou une chaîne. Pourquoi ne pas le préciser ???????</t>
  </si>
  <si>
    <t>Euro-Assurance</t>
  </si>
  <si>
    <t>12/04/2017</t>
  </si>
  <si>
    <t>01/04/2017</t>
  </si>
  <si>
    <t>bej44-133833</t>
  </si>
  <si>
    <t xml:space="preserve">a fuir de toute urgence, on m'as demander l'original d'un bon pour un rachat que j'ai envoyer et aujourd'hui on me dis que j'ai envoyer une photocopie , il nie tout pour me donner l'argent </t>
  </si>
  <si>
    <t>nougat-80333</t>
  </si>
  <si>
    <t xml:space="preserve">bon accueil, réponses claires, interlocuteur disponible, agréable, à l'écoute, prêt à répondre aux questions que l'on se pose, </t>
  </si>
  <si>
    <t>23/10/2019</t>
  </si>
  <si>
    <t>ozniber-93906</t>
  </si>
  <si>
    <t xml:space="preserve">Je suis globalement satisfait du service de devis en ligne même si le tarif reste généralement au même niveau que les autres assureurs, à comparer les différents niveaux de garantie </t>
  </si>
  <si>
    <t>12/07/2020</t>
  </si>
  <si>
    <t>pmd-90385</t>
  </si>
  <si>
    <t xml:space="preserve">• 33,48% d'augmentation sur 3 ans sans qu'il y est des modifications au contrat ! (7,76% en 2018, 10,49% en 2019 et 12,09% en 2020).
• Augmentations qualifiées de "petites" par l'interlocuteur en agence !
• L'interlocuteur les justifie par le fait de n'avoir qu'un contrat chez Allianz ! Merci pour ceux qui n'ont pas de voiture, pas de résidence secondaire, pas de biens loués, etc. Donc plus vous êtes "pauvre" plus vous payez ! </t>
  </si>
  <si>
    <t>10/06/2020</t>
  </si>
  <si>
    <t>daniel-m-106603</t>
  </si>
  <si>
    <t>pour le premier  contact  tres bien   tres  a  l ecoute  et  agreable commercial    et  aux  soins  du  client   vraiment  tres  tres bien  rien  a rtedire</t>
  </si>
  <si>
    <t>lyes-h-130731</t>
  </si>
  <si>
    <t xml:space="preserve">Le service a était Simple et pratique, rapide et efficace, je remercie mon amis qui me la recommander, et je ferait de même pour mes amis et proches. 
Cordialement </t>
  </si>
  <si>
    <t>thepii--138525</t>
  </si>
  <si>
    <t>Service DÉPLORABLE et je pèse mes mots 3 fois au téléphone avec trois personnes différentes et tous on un discourt différent leur suivit et le votre sur votre espace adhérent et complètement différent … remboursement qui traîne beaucoup trop voir inexistant d’un moi à l’autre et Celon eux c’est vous le problème … à fuir !!!!</t>
  </si>
  <si>
    <t>29/10/2021</t>
  </si>
  <si>
    <t>karicourbevoie-81332</t>
  </si>
  <si>
    <t>Bonjour, j'ai fait un comparateur d'assurance et L'Olivier Assurance s'est positionné en 1er. Cela fait un an et je ne regrette pas. Grâce à la fidélité les franchises baissent chaque année. Il n'y a pas d'attente lors des contacts, les conseillers sont à l'écoute, très efficaces et très courtois. Je recommande!</t>
  </si>
  <si>
    <t>25/11/2019</t>
  </si>
  <si>
    <t>leila-m-123684</t>
  </si>
  <si>
    <t xml:space="preserve">TRES SATISFAITE DE MA CONSEILLERE ELLE A ETE TOP 
TRES BON ACCUEUIL CONSEIL AU TOP MERCI A ELLE POUR SES PROROPOSTIONS ET SES OFFRES INTERESSANTES BRAVO </t>
  </si>
  <si>
    <t>vandenburgh-j-111635</t>
  </si>
  <si>
    <t>Je suis satisfait du service.  J'ai eu des bons conseils par deux personnes en moins d'une semaine.  Je trouve que le valeur de prix était le mieux de competition.</t>
  </si>
  <si>
    <t>jcb-86821</t>
  </si>
  <si>
    <t xml:space="preserve">groupe straton et néoliane.envoyé devis dentaire 17 janvier 2020 . téléphoné le 3 fevrier 2020 non  pas reçu mon devis envoyé a contact@groupestraton.com. le 3/ 02/ 2020 renvoyé devis dentaire et depuis je téléphone tout les 2 jours. de réponses farfelues impossible d'avoir une réponse. a chaque fois on doit me rappeler mais toujours rien. Néoliane ne repond pas non plus il me renvoie sur le groupe straton.Je suis assuré chez néoliane depuis 01/01/2020. dés le début problème n'avais pas fait le nécessaire pour annuler mon ancienne mutuelle.
dans le moi de janvier autre problème n'avais pas fait le nécessaire pour la télétransmission . </t>
  </si>
  <si>
    <t>08/02/2020</t>
  </si>
  <si>
    <t>david-t-132761</t>
  </si>
  <si>
    <t xml:space="preserve">Rapide et efficace je recommande direct assurances 
Beaucoup moins cher que certaines compagnies et banques 
Parlez en autour de vous sans hésiter. 
Ne cherchez pas ailleurs </t>
  </si>
  <si>
    <t>togibri-63160</t>
  </si>
  <si>
    <t>dommage que l optique et le dentaire soient liés</t>
  </si>
  <si>
    <t>11/04/2018</t>
  </si>
  <si>
    <t>marc-109711</t>
  </si>
  <si>
    <t xml:space="preserve">Absence totale de réactivité. Des attentes interminables et des promesses de rappel et de suivi non tenues. Une crevaison = compter une semaine minimum pour un début de reaction. Contrat non respecté quant au prêt de véhicule de remplacement. A éviter absolument.  </t>
  </si>
  <si>
    <t>richard-l-117723</t>
  </si>
  <si>
    <t>Satisfait, rapide et pratique. Les conseillers sont à l'écoute, les prix sont abordables. Petit regret quand aux assurances à la journée qui n'existent plus</t>
  </si>
  <si>
    <t>pascale-98954</t>
  </si>
  <si>
    <t>Bénéficiaire d'une pension retraite cotisée par mon père à la CARAC, j'ai eu affaire à cette compagnie à son décès. Comme je ne recevais aucune nouvelle après l'envoi des pièces demandées, j'ai appelé le 09 69 32 50 50. Après vérification, la dame qui m'a répondu m'a informée que mes documents n'étaient jamais arrivés (en pleine période COVID); elle a créé mon dossier immédiatement, pendant que nous étions au téléphone. Par la suite, il y a eu un petit problème de communication avec le service administratif qui était censé s'occuper du suivi du dossier, mais la dame qui gérait mon dossier (toujours la même personne) est promptement intervenue. La pension retraite de mon père a été virée sur mon compte bancaire dans les deux semaines qui ont suivi.
Toute la démarche, depuis l'envoi des documents (qui ne sont jamais arrivés) jusqu'au versement de la pension retraite sur mon compte, s'est effectuée entre la dernière semaine de juillet 2020 et mi-octobre 2020, soit deux mois et demi. 
Je n'ai que des compliments à faire à propos de mes échanges avec les représentants de la CARAC (Bureau de Neuilly). Depuis le décès de mon père, j'ai eu à effectuer certaines démarches administratives. Le manque de réactivité de la part de certaines administrations ou de banques peut susciter une énorme frustration ! Durant mes échanges avec la CARAC, je n'ai rencontré que des personnes de bonne volonté dont l'objectif était de m'aider. Je les en remercie vivement !</t>
  </si>
  <si>
    <t>elisabeth-h-105823</t>
  </si>
  <si>
    <t>je suis satisfait du service
le tarif me convient
les explications sont simples 
il n'y a rien de plus a ajouter, je reccommande...
plus simple que de dialoguer avec un courtier qui ne vous ecoute pas</t>
  </si>
  <si>
    <t>vincent-l-113039</t>
  </si>
  <si>
    <t xml:space="preserve">Devis réalisé rapidement, prix correct. A voir à l'usage.
Procédure de la part des conseillers un peux insistante en revanche pour la signature du contrat. </t>
  </si>
  <si>
    <t>zaouiche-m-121422</t>
  </si>
  <si>
    <t>Je suis satisfait de la prestation que vous m'avez proposé malgré que j'aurais aimer prendre un abonnement avec Vol/Bris de glace... Ayant eu un problèmes de compréhension durant la communication téléphonique, je pensais souscrire à cette formule mais à mon grand étonnement, le tiers essentiel m'a été proposé. Je reviendrais vers vous pour une possible évolution de mon contrat d'assurance, afin d'assurer ma voiture contre le vol et bris de glace.
Cordialement,</t>
  </si>
  <si>
    <t>28/06/2021</t>
  </si>
  <si>
    <t>nicolas-m-109496</t>
  </si>
  <si>
    <t>Bon service, accueil poli et efficace avec un conseil qui semble de qualité (sous réserve de la bonne transition entre mon assurance existante et l'assurance souscrite).</t>
  </si>
  <si>
    <t>eddie-c-129942</t>
  </si>
  <si>
    <t xml:space="preserve">Très bien, satisfait de la facilité de souscription. Les informations données sont claires et précises. Je recommande à toutes personnes désireuses de souscrire à une assurance. </t>
  </si>
  <si>
    <t>damien-115122</t>
  </si>
  <si>
    <t>Au moindre pépin, il n'y a plus personne
Il faut sans cesse les relancer et malgré cela rien n avance
Je ne recommanderais certainement pas cette assurance</t>
  </si>
  <si>
    <t>flloflo29-65311</t>
  </si>
  <si>
    <t>Accident 100% non responsable. 
1 journée de congés pour aller la voiture de remplacement prévue 3 jours (et après débrouille-toi à vélo). Arrivée enfin à la location : ils t'appellent pour te prévenir que tu n'as pas fait dans le bon ordre : il fallait d'abord déposer l'épave chez le carrossier avant de pouvoir la voiture de remplacement. Tu râles (t'as quand meme mis 4 heures pour arriver là et ton mari a aussi pris un jour de congé pour t'emmener) et là : ils t'annulent en direct live la réservation.
C'est des grands malades à la GMF.</t>
  </si>
  <si>
    <t>lamitoja44-124712</t>
  </si>
  <si>
    <t xml:space="preserve">Avec mon conjoint nous avions réservé un Voyage a Majorque il y a une semaine. Malheureusement, mon etat de santé s'est dégradé, nous n'avons pas pu prendre l'avion et une attestation médical le prouve, et mon état n'est pas rétabli. Bref! Nous avons choisi Asurever car cette assurance nous parait fiable et fluide. Quand je lit vos commentaires, pas de réponses et remboursement depuis parfois 1 mois voir une année et bien plus, je veux bien vous croire. Car apres l'ouverture du sinistre et 2 mails envoyés, je n'ai toujours pas de réponse, alors que tous nos justificatifs sont présent. Mon oncle est avocat, je pense que je vais me renseigner et lancer une procédure si j'ai pas de réponse. Je vous tiens au courant de la suite, mais je ne lacherai pas pour avoir mon remboursement. Surtout que nous sommes dans les règles du contrat et dans la procédure. </t>
  </si>
  <si>
    <t>faure-a-113637</t>
  </si>
  <si>
    <t xml:space="preserve">Les prix sont vraiment très intéressent.
Le site pour faire sont devis en ligne est plutôt agréable à utilisé.
Les niveaux d'assurances proposer sont assez cohérant. </t>
  </si>
  <si>
    <t>13/05/2021</t>
  </si>
  <si>
    <t>jaroumy-100886</t>
  </si>
  <si>
    <t>souscription à l'assurance auto de l'olivier assurance, 200€ moins cher qu'une autre compagnie, contact téléphonique avec une personne très polie, très sympa. je recommande l'olivier.</t>
  </si>
  <si>
    <t>juies-136243</t>
  </si>
  <si>
    <t>Impossible d'obtenir un relevé d'information, à chaque demande il faut appeler plusieurs fois le service client et insister, c'est parfaitement inadmissible et quand vous recevez enfin un document après plusieurs appels, c'est parfois une fausse adresse qui s'affiche même en leur signalant. Ce n'est pas normal de ne pas donner facilement un relevé d'information, ca ne permet pas de faire confiance à l'Olivier Assurance.</t>
  </si>
  <si>
    <t>08/10/2021</t>
  </si>
  <si>
    <t>l'hostis-c-123942</t>
  </si>
  <si>
    <t>Pour le moment rien à en redire le service a l'air d'être efficace la météo des rapides pour le moment tout va bien l'assurance me permet de pouvoir reprendre une liberté professionnelle</t>
  </si>
  <si>
    <t>20/07/2021</t>
  </si>
  <si>
    <t>celine-50819</t>
  </si>
  <si>
    <t xml:space="preserve">Pas du tout une assurance que je recommande, aucune prise en compte du client, dommage qu'il n'y est pas le choix de 0 étoile. </t>
  </si>
  <si>
    <t>31/12/2016</t>
  </si>
  <si>
    <t>guillaume-d-139583</t>
  </si>
  <si>
    <t>le site est clair et facile d'utilisation, les types de contrats sont bien expliqués, par rapport aux assureurs généralistes, les prix sont plus intéressants. Il manque éventuellement une option faible kilométrage ...</t>
  </si>
  <si>
    <t>14/11/2021</t>
  </si>
  <si>
    <t>nono82-58499</t>
  </si>
  <si>
    <t xml:space="preserve">nouveau client les formalité se sont tres bien passe le services client a repondu a toutes mes attentes je conseille cette assurance .tous les papier sont arriver a temps et heures </t>
  </si>
  <si>
    <t>31/10/2017</t>
  </si>
  <si>
    <t>albane--99537</t>
  </si>
  <si>
    <t>zéro double zéro pour cette mutuelle à laquelle mes parents ont souscrit suite à l’ hospitalisation de mon père nous n’ avons pas eu la possibilité d’ avoir les deux ménagères prévu au programme dans le contrat dix heures après hospitalisation tout ça parce qu’ on avait dépassé la date pour la mise en place une honte!!!!!Quand on sait que l’on est en plein coronavirus et que mon père vient de perdre 20 kg suite à son hospitalisation et qu’ils ont 76 et 85 ans!!!!Ouverture d’ un dossier  no D47 52 17 64 Il restera sans suite aucune humanité une honte je vais leur faire de la publicité sur les réseaux soucis vous pouvez me croire madame Limermont  leur fille Je précise pas que je les ai appelé au moins 50 fois</t>
  </si>
  <si>
    <t>franck34-63096</t>
  </si>
  <si>
    <t>A FUIR !!!!!! 2 sinistres dans les 36 mois, seulement un responsable ( sans tiers )et mon contrat est résilié...probleme: Pacifica ne m'a jamais notifié cette résiliation je me suis donc retrouvé a conduire sans être assuré (sans le savoir) ...Et aujourd'hui fiché pour 5 ans par les assureurs....</t>
  </si>
  <si>
    <t>johanna-a-105538</t>
  </si>
  <si>
    <t>Je suis toujours obligée de demander ma carte verte et je ne comprends pas pourquoi le montant de mon assurance augmente autant alors que la voiture se déprécie avec le temps? Le prix me semblait correct au départ maintenant il est trop élevé, je songe à changer d'assurance.</t>
  </si>
  <si>
    <t>fanfan-97648</t>
  </si>
  <si>
    <t>Nous n'avons JAMAIS eu à nous plaindre de la qualité de cet assureur. Que ce soit : Accueil téléphonique, traitement des demandes de prises en charge ou remboursements, tarifications....bref, que du bonheur.
Encore merci et prenez soin de vous.</t>
  </si>
  <si>
    <t>21/09/2020</t>
  </si>
  <si>
    <t>clement-c-122469</t>
  </si>
  <si>
    <t xml:space="preserve">Satisfait pour le moment,  a voir avec le temps si vos services me conviendront toujours , je trouve le forfait un peu cher mais si c'est le prix a payer pour une bonne assurance. </t>
  </si>
  <si>
    <t>dan-40898</t>
  </si>
  <si>
    <t>si vous désirer une assurance qui reponds uniquement pour une prise de contrat vous avez trouvé par contre si vous voulez un renseignement..........c'est une autre histoire ABONNE ABSENT AUCUN RESPECT DU CLIENT impossible de comprendre les dates de résiliation.......A FUIR</t>
  </si>
  <si>
    <t>14/01/2017</t>
  </si>
  <si>
    <t>maria-d-121466</t>
  </si>
  <si>
    <t>très bon accueil. 
Produits et services au top, conseiller très compétent et efficace Offre la plus intéressante pour délégation d'assurance prêt immo, après étude, mon conseiller s'est aligné sur la concurrence, les frais de dossier via ZEN UP sont moins coûteux Je suis totalement satisfait Merci ZEN UP et GENERALI !</t>
  </si>
  <si>
    <t>parisben-98567</t>
  </si>
  <si>
    <t xml:space="preserve">Mutuelle catastrophique !
Hors de prix prestations remboursées avec des délais énormes et des forfaits catastrophiques
Service client lamentable 
Pas de réponse aux réclamations 
Application VIASANTÉ catastrophique 
Je les quitte 
</t>
  </si>
  <si>
    <t>09/10/2020</t>
  </si>
  <si>
    <t>napoda-62359</t>
  </si>
  <si>
    <t>Direct assurance c'est l'enfer !!!
Le prix d'appel est intéressant mais si vous avez un sinistre (même sans être responsable) c'est foutu. Il y a bientôt 3 mois que je rame pour me faire rembourser une remorque. Il manque toujours un papier, un avis de l'expert ....</t>
  </si>
  <si>
    <t>15/03/2018</t>
  </si>
  <si>
    <t>haff-139572</t>
  </si>
  <si>
    <t xml:space="preserve">a éviter ,
je ne recommande pas ....
pas serviable très mauvaise expérience a éviter .........
voire la concurrence préférable et surtout ne pas ce rendre à l’agence GMF de SAINT DENIS 93200 peu recommandable </t>
  </si>
  <si>
    <t>manu-115656</t>
  </si>
  <si>
    <t xml:space="preserve">Si je pouvais mettre zéro étoile, je le ferai. AXA s'est dégradé, je dirai même à fuir. Toujours prêt à encaisser mais jamais prêt à rembourser ! Plus de 6 mois que j'attends ! Je vais résilier TOUS mes contrats chez eux ! Plus confiance ! </t>
  </si>
  <si>
    <t>alain-53537</t>
  </si>
  <si>
    <t>CARDIF NUL Gestion assurance vie impossible depuis 4 mois plus acces site ni de conseiller  ne repond jamais mail fax lettre AR</t>
  </si>
  <si>
    <t>24/03/2017</t>
  </si>
  <si>
    <t>laurelou-76599</t>
  </si>
  <si>
    <t xml:space="preserve">Je suis à la Matmut depuis 30 ans, j'ai subi un dégât des eaux le 4 janvier dernier Malgré plusieurs relances impossible d'obtenir un rendez-vous pour les travaux auprès de l'entreprise agréée Matmut. Le service client m'a même répondu que mes murs n'étaient pas secs alors que personne n'est passé tester le taux d'humidité actuel. A chaque appel ils se contentent de me répondre que l'entreprise va m'appeler, et rien ne bouge. J'ai demandé l'intervention d'une autre entreprise, en vain. Pour de simples travaux de peinture c'est désespérant. Cette assurance n'a aucun respect pour ses clients. </t>
  </si>
  <si>
    <t>13/06/2019</t>
  </si>
  <si>
    <t>emilie-w-109672</t>
  </si>
  <si>
    <t xml:space="preserve">Il est plus agréable de rencontrer en face a face son assureur qui répond personnellement a nos questions et inquiétudes mais j'ai tout de meme eu mes réponses car le service téléphonique et plutôt rapide, peu d'attente </t>
  </si>
  <si>
    <t>yenou-k-104975</t>
  </si>
  <si>
    <t>J'ai découvert votre assurance grâce à mon papa qui fût ayant déjà eu un contrat chez vous il y a quelques années. Simple rapide et efficace avec des garanties correspondants à mes attentes de haut niveau de protection. Je recommande à mon tour votre assurance.</t>
  </si>
  <si>
    <t>julie-114985</t>
  </si>
  <si>
    <t>Il faut être patient pour réussir à avoir un conseiller en ligne. Ils vous mènent en bateau quand aux remboursements de chaque frais de médecine douce, sans parler des remboursements en tiers payant qui sont très longs à arriver. J'ai attendu 3 mois pour le remboursement de mes lunettes. Et là ça fait 2 fois que les factures que je leur envoie disparaissent. À éviter à tout prix.</t>
  </si>
  <si>
    <t>michael-d-125002</t>
  </si>
  <si>
    <t>Simple et pratique, je cherchais une assurance pour ma voiture et votre offre ma convaincu.  le prix est attractif et convient a un jeune conducteur comme moi.</t>
  </si>
  <si>
    <t>rosenthab-50747</t>
  </si>
  <si>
    <t>les feuilles de soin sont constamment égarées, donc jamais remboursées et quand on appelle pour un renseignement ou une réclamation c'est le parcours du combattant. Mutuelle hors de prix quand on atteint un certain échelon vu que la cotisation est calculée au prorata du salaire brut.</t>
  </si>
  <si>
    <t>29/12/2016</t>
  </si>
  <si>
    <t>poitier-m-117079</t>
  </si>
  <si>
    <t xml:space="preserve">Satisfaite du conseiller, simple et efficace, j’ai pu avoir toutes les informations que je souhaitais pour souscrire au contrat. Je vous remercie de votre efficacité. </t>
  </si>
  <si>
    <t>belgacem-a-112006</t>
  </si>
  <si>
    <t>Prix attractif mais attention au prix affiché par an versus le prix mensuel (+15%), ceci ne m'a été révélé que lors de la confirmation du devis par téléphone, ce qui m'a fait gonfler mon devis de 100€</t>
  </si>
  <si>
    <t>luigi-86663</t>
  </si>
  <si>
    <t>AUCUN SUIVI</t>
  </si>
  <si>
    <t>03/02/2020</t>
  </si>
  <si>
    <t>jade-b-129101</t>
  </si>
  <si>
    <t>Accueil sympathique et réactif.
Les informations sont claires et simples.
Pour le moment aucun soucis à signaler.
A voir en cas de prise en charge....</t>
  </si>
  <si>
    <t>23/08/2021</t>
  </si>
  <si>
    <t>couix-l-122424</t>
  </si>
  <si>
    <t>Personnellement, j'ai toujours étai bien reçu et bien conseiller jusqu'à présent, les différents conseillers que j'ai eu au téléphone on était très chaleureux et agréables.</t>
  </si>
  <si>
    <t>tony-h-114234</t>
  </si>
  <si>
    <t>Je suis très satisfait des tarifs proposés ainsi que la rapidité de la mise en service de l’assurance Merci de votre professionnalisme de votre rapidité ainsi qu’à ma conseillère Francesca</t>
  </si>
  <si>
    <t>celine-p-110538</t>
  </si>
  <si>
    <t>je suis un peu déçue depuis l'année dernière où j'ai pu faire bénéficier du pack famille ma fille ainée mais pas ma fille cadette., la proposition de tarif qui m'a été faite était exorbitante. Depuis impossible pour ma fille ainée de créer son propre espace personnel ...</t>
  </si>
  <si>
    <t>z3-93505</t>
  </si>
  <si>
    <t>Conseillers très courtois et à l'écoute de mes demandes de rabais sur les échéances à venir</t>
  </si>
  <si>
    <t>x23-66023</t>
  </si>
  <si>
    <t xml:space="preserve">Bonjour,
Je comprends pas à chaque fois que je vous contacte vous m'orienter vers noorassur vous vous rejeter la balle.Et votre assurance-vie Salam sicav est un très  mauvais contrat, il y a que des baisses .Franchement déçu. </t>
  </si>
  <si>
    <t>02/11/2018</t>
  </si>
  <si>
    <t>barbier-g-116198</t>
  </si>
  <si>
    <t>Je suis satisfait des services de souscription de l'assureur L'olivier, les offres sont claires et les réponses rapides, à conseiller.
un bon choix j’espère.</t>
  </si>
  <si>
    <t>audrey-b-133284</t>
  </si>
  <si>
    <t>Très bon écoute et professionnel
Tarif très attractif
Possibilité de modifier le devis plusieurs fois
Interlocuteur très disponible
Je recommande sans hésiter</t>
  </si>
  <si>
    <t>jul-129342</t>
  </si>
  <si>
    <t xml:space="preserve">Je suis sastisfait de cette avis jaime bien cette assurance mes le pris et un peux trop cheres jespaire que ses de calite et je ecrie nimporte koi psk je sais pas quoi ecrire </t>
  </si>
  <si>
    <t>anneaunyme-100208</t>
  </si>
  <si>
    <t>Téléconseillers rapidement disponibles, parfaitement à l'écoute, au fait des dispositions contractuelles de chacun et qui donnent des informations pertinentes ainsi que des conseils avisés.
L'application est également très pratique et permet de gérer contrat, relevés, bénéficiaires et demandes de remboursement complémentaire très facilement.</t>
  </si>
  <si>
    <t>17/11/2020</t>
  </si>
  <si>
    <t>valentin-c-107543</t>
  </si>
  <si>
    <t>Relativement satisfait de la prestation la première année (tant que vous n'avez pas besoin de les joindre au téléphone ça va).
Malheureusement, pour cette deuxième année on me propose des prix bien inférieurs chez la concurrence.
Dommage de ne pas pouvoir renégocier.</t>
  </si>
  <si>
    <t>a-d-104431</t>
  </si>
  <si>
    <t xml:space="preserve">En attente de la date d'échéance afin de fuir cette assurance habitation.
Rapide pour prendre les échéances et les augmenter en cours d'année sans prévenir mais lors de problèmes et de la mise en place de la protection juridique tout se complique.
Plus trop de communication, envoie d'experts voir non-experts qui font un rapport à  dresser des cheveux sur un chauve et lorsque que vous les contactez.....
La réponse est  de vous faire comprendre que vous devez tout subir,  payer un point c est tout.
Bon à moins d aimer donner de l argent à des gens incompétents je conseille de fuir cette assurance.
Bref très mauvaise relation et expérience </t>
  </si>
  <si>
    <t>18/02/2021</t>
  </si>
  <si>
    <t>franck-b-108689</t>
  </si>
  <si>
    <t xml:space="preserve">Bonjour,
Je suis satisfait du service proposé et mis en œuvre. J'ai trouvé le personnel très agréable et explicatif.
Néanmoins je trouve que les tarifs sont quand même assez élevé </t>
  </si>
  <si>
    <t>morpheusmars-78743</t>
  </si>
  <si>
    <t>J'etais plutot satisfait a la base de cette assurance, jusqu'a ce jour ou malgres mes lettres, mails, coups de fils je n'arrive pas a avoir un relevé d'information.
Suite a un sinistre non responsable, mon véhicule a fini en épave, racheté par l'assurance.
Non content de continuer a me prélever mes mensualités pou un véhicule vendu (a eux), ils font les autruches quand a mes demandes de relevé d'information (indispensable et obligatoire).
J'ai essayé par l'assistance du site, rien
le mail classique, rien
le courrier normal, rien
le mail service client, rien
Je vais devoir passer par la case recommandé sans certitudes.
Ce n'est pas tres serieux.</t>
  </si>
  <si>
    <t>arnbou-66189</t>
  </si>
  <si>
    <t>Assurance souscrite pour mon fils mais le problème est survenu lorsqu'ils m'ont demandé le relevé d'information concernant mon fils, il n'en avait pas puisqu'il s'agissait de sa première voiture. Ils n'ont rien voulu savoir et ont laissé courir l'assurance. Plusieurs appels et un recommandé nécessaire pour résilier une assurance qui faisait doublon puisqu'ils ne voulaient pas m'entendre sur le document manquant et j'avais souscrit une autre assurance l'olivier dont je suis pleinement satisfait. Résultat, plus de 200 euros de perdus... Complètement déçu de cette assurance qui selon mon ancienne assurance ne respectent pas le protocole de changement d'assurance...</t>
  </si>
  <si>
    <t>29/08/2018</t>
  </si>
  <si>
    <t>babi-68585</t>
  </si>
  <si>
    <t xml:space="preserve">Je suis cliente de Santiane depuis 2 ans et je déconseille fortement ce service de courtier qui fait l'intermédiaire avec une mutuelle. J'ai demandé il y a un mois que mon conjoint soit affilié à ma mutuelle à partir du 1er octobre, j'ai reçu un e-mail de confirmation comme quoi ma demande était prise en compte mais depuis ils ont "oublié" de la traiter. De fait mon conjoint n'est toujours pas affilié. Lorsque j''ai demandé des explications et une résolution rapide du problème par e-mail on m'a renvoyé vers le service téléphonique, qui à son tour m'a renvoyée vers le site internet. Personne ne s'excuse pour le dommage causé, mon conjoint ayant des frais de santé en cours en octobre. Aucune solution du problème proposée... ils veulent que je refasse la demande que j'avais déjà faite ! C'est un service de très mauvaise qualité. A FUIR ! </t>
  </si>
  <si>
    <t>06/10/2020</t>
  </si>
  <si>
    <t>fanou-69307</t>
  </si>
  <si>
    <t xml:space="preserve">Dans un accident TOTALEMENT NON RESPONSABLE, où l’on m’a refusé la priorité, l’AMDM à mis 25 mois à régler cette situation.
Une lettre recommandée au Service Juridique et deux lettres recommandées au président, n’ont JAMAIS eu de réponses, ainsi que beaucoup de courriels et messages vocaux.
De plus, le dernier garage intervenant attend toujours depuis juin 2018, le règlement de sa facture, malgré l’engagement et la promesse du bureau d’expertise qui les représentait.
Si vous n’avez rien à leur demander, vous pouvez leur faire confiance, dans le cas contraire, passez votre chemin.
</t>
  </si>
  <si>
    <t>11/12/2018</t>
  </si>
  <si>
    <t>nathalie-d-139666</t>
  </si>
  <si>
    <t xml:space="preserve">Deux conseillers m'ont établi des devis inadaptés, voire erronés au regard de ma situation, et évidemment, plus chers (le premier à 815 euros, le second à 711). J'ai refusé de souscrire à la hâte par téléphone comme les conseillers me poussaient à la faire. J'ai passé énormément de temps sur cette souscription pour être certaine d'avoir renseigné les bonnes informations et que le contrat réponde correctement à mes besoins. J'ai eu de nombreux bugs sur la finalisation en ligne, et en refaisant moi-même le devis une énième fois avec toutes les bonnes informations, j'ai reçu plusieurs mails et PDF avec des tarifs différents, le plus bas à 519 euros, qu'il était impossible de finaliser en ligne et que l'on m'a refusé par téléphone au motif qu'il s'agissait d'un bug informatique. Pourtant ce tarif est également ressorti lorsqu'un 3e conseiller a généré lui-même le devis avec les mêmes informations que nous avions d'abord vérifiées ensemble. Cette fois encore, impossible de finaliser celui à 519, qui repasse automatiquement à 635 euros lorsque la page veut bien se charger. Au final, le m'en sors donc avec un tarif à 635 euros qui me semble plutôt correct (note 3/5 pour le niveau des prix car on m'a quand même refusé le devis à 519 euros sans aucun geste commercial). En revanche je suis très déçue de l'expérience utilisateur pour la souscription en ligne et de l'expérience client avec les différents conseillers (note 1/5 pour la satisfaction). J'espère avoir une meilleure expérience pendant la vie du contrat. </t>
  </si>
  <si>
    <t>vanessa-66821</t>
  </si>
  <si>
    <t>des incompétent et impossible de les avoirs au téléphone et d'avoir les bons renseignements sans passer par LCL qui eux même ne savent rien</t>
  </si>
  <si>
    <t>13/09/2018</t>
  </si>
  <si>
    <t>cassara-f-111936</t>
  </si>
  <si>
    <t>je suis ravi de la prestation et de l'amabilité de votre personnel très compétent merci pour ce service et le prix me convient amplement la rapidité du devis la gentillesse de votre personnel font que je suis très satisfait de vos prestation merci monsieur cassara</t>
  </si>
  <si>
    <t>clientmecntent-57078</t>
  </si>
  <si>
    <t>la macif de Valenciennes à déconseiller ! Ce sont des commerciaux et non des assureurs et impoli en +, ils sont là uniquement pour vous vendre leurs contrats qui ne servent à rien,En plus, j'avais envoyé un courrier recommandé avec AR pour mon relevé d'information et ils ne veulent pas l'envoyer, selon eux il faut aller en agence pour l'avoir malgré la loi qui les obligent à l'envoyer sous 15 jours tout ça pour mieux nous dissuader. Le siège ferait mieux de faire des enquêtes mystères sur cette agence à moins que ce ne soit eux les responsable de cette politique désastreuse!</t>
  </si>
  <si>
    <t>04/09/2017</t>
  </si>
  <si>
    <t>aparici-e-139724</t>
  </si>
  <si>
    <t>J'aurais aimé recevoir un mail de rappel quelques jours avant la fin du temps de validité de la carte grise provisoire. J'ai pris une amende pour défaut d'assurance alors que j'ai réglé l'assurance de mon véhicule à l'année auprès de vous. Est-il possible de la contester ? 
S'il vous plait j'aimerais avoir quelqu'un au téléphone pour aborder cette question</t>
  </si>
  <si>
    <t>16/11/2021</t>
  </si>
  <si>
    <t>severine-l-105513</t>
  </si>
  <si>
    <t>je suis satisfait des tarifs ils sont moins que la plupart des assurances.
En général nos dossiers sont bien suivi et il faut rappeler pour certain bug ( mails non reçu )</t>
  </si>
  <si>
    <t>noemie-57851</t>
  </si>
  <si>
    <t xml:space="preserve">Nous avons 2 contrats assurances vie chez allianz.
Le service client est au niveau 0 , la compétence des gestionnaires au même niveau. Les services ne traitent pas votre demande avant 3 semaines . Assurance a fuir absolument!!!!!!! </t>
  </si>
  <si>
    <t>06/10/2017</t>
  </si>
  <si>
    <t>karlito-66048</t>
  </si>
  <si>
    <t>A éviter absolument.
la compétence des conseillers est aléatoire.
Le service réclamation ne respecte pas sa charte en ne répondant pas au courrier A/R.</t>
  </si>
  <si>
    <t>marielle62137-98885</t>
  </si>
  <si>
    <t xml:space="preserve">J ai toujours été satisfaite des services assur o poil depuis 4 ans et là 37€ d augmentation !!!!
Ce n est pas ce qu on nous promet quand on s inscrit
Je suis déçue </t>
  </si>
  <si>
    <t>18/10/2020</t>
  </si>
  <si>
    <t>prissou-98810</t>
  </si>
  <si>
    <t>Ravie de ma mutuelle, ils sont toujours réactifs à mes demandes
Je regrette seulement qu'il n'y ait pas de prise en charge pour les semelles orthopédiques.</t>
  </si>
  <si>
    <t>15/10/2020</t>
  </si>
  <si>
    <t>jeanpaul59-78607</t>
  </si>
  <si>
    <t>Tres mauvaise assurance j'ai fait parvenir par 2 fois par email une facture du vétérinaire de 50 euros et aucune réponse et courrier néant</t>
  </si>
  <si>
    <t>22/08/2019</t>
  </si>
  <si>
    <t>vanessa-91987</t>
  </si>
  <si>
    <t xml:space="preserve">Les prix sont élevés à mon goût mais je voudrais savoir comment fonctionne votre principe you drive car cela peut me permettre d’économiser une grande partie </t>
  </si>
  <si>
    <t>23/06/2020</t>
  </si>
  <si>
    <t>sergio35-7894</t>
  </si>
  <si>
    <t xml:space="preserve">Bonjour je viens vers vous car j,ai trouvé une assurance auto moins chère ailleurs avec les mêmes avantages alors que çà fait au minimum 30 ans que nous sommes chez vous </t>
  </si>
  <si>
    <t>12/08/2017</t>
  </si>
  <si>
    <t>schrat-129117</t>
  </si>
  <si>
    <t>Je me suis connecté pratiquement pour la première fois et Emiline m'a aidé parfaitement avec patience et amabilité. La connexion c'est faite parfaitement malgré une relative complexité du site grâce à l'excellente aide prodihée par Emiline. Merci !</t>
  </si>
  <si>
    <t>zd76-75103</t>
  </si>
  <si>
    <t>C'est simple. Ma cotisation annuelle s'élevée a 231e. J'ai choisis le paiement mensuel comme bon nombre de client. A la fin de mon contrat (au moment de payer) Eurofil m'a demandé un paiement par CB de 193e. Soit 83% de ma cotisation annuelle ! A vous d'en juger</t>
  </si>
  <si>
    <t>achin-a-111872</t>
  </si>
  <si>
    <t>Prix très bon, service téléphonique excellent et dialogue clair. Malgré un malus, cette assurance accepte mon dossier avec un prix très abordable par rapport à d'autres assurances.</t>
  </si>
  <si>
    <t>elise-maret-49580</t>
  </si>
  <si>
    <t>Dommage qu'on ne puisse pas donner la note de 0. Un sinistre en 6 ans (rayure de voiture) augmentation tarifaire de 12 euros. Modification de mon lieu d'habitation à 15 kilomètres près. .. + 5 euros. Je quitte pacifica suite à cette hausse abusive de cotisation.</t>
  </si>
  <si>
    <t>26/11/2016</t>
  </si>
  <si>
    <t>mery2-136233</t>
  </si>
  <si>
    <t>Rawane m a aidé a réglé mon problème rapidement, je trouve qu' il est très compétent pour son travail il était à l écoute bon courage pour votre travail.
Mme AMRI</t>
  </si>
  <si>
    <t>06/10/2021</t>
  </si>
  <si>
    <t>dany26700-64130</t>
  </si>
  <si>
    <t xml:space="preserve">Mon dossier prévoyance à été traité en avril et demande en janvier un premier versement pour décembre et jusqu'à ce jour le 23 mai plus rien !!! J'ai pourtant fournie tout les documents demandés je ne comprend pas. </t>
  </si>
  <si>
    <t>22/05/2018</t>
  </si>
  <si>
    <t>lambitieux-972-pl-116223</t>
  </si>
  <si>
    <t>Tres bonne presentation Des services et de la conseilliere fall.  Elle a bien prit le temps de bien mexpliqué tout en detail. Bien a vous.. Et Je suis fiere de Mon adhesions</t>
  </si>
  <si>
    <t>aurore-b-124860</t>
  </si>
  <si>
    <t xml:space="preserve">Le tarif me convient suite à la simulation faite en ligne sur le site 
Tout en étant satisfaite, J’espère que celui-ci n’augmentera pas les années suivantes </t>
  </si>
  <si>
    <t>arpine-59100</t>
  </si>
  <si>
    <t>A fuir, aussi vite que vous pouvez</t>
  </si>
  <si>
    <t>fredleblanc-56272</t>
  </si>
  <si>
    <t xml:space="preserve">Chez direct assurance, les nouveaux clients sont mieux traités au niveau des prix que les anciens et la fidélité n'est pas récompensée. Les tarifs sont uniquement intéressants à l’adhésion, mais pas quand on y reste, car les prix augmentent sans raison d'une année sur l'autre. Pour continuer à avoir un tarif compétitif, il faut résilier chaque année et resouscrire en tant que nouveau client. </t>
  </si>
  <si>
    <t>25/07/2017</t>
  </si>
  <si>
    <t>marie-90410</t>
  </si>
  <si>
    <t>Contacté avant hier par téléphone pour me proposer la formule acess la première garantie mais vraiment trop cher pour les garantie, j'appelle le lendemain pour demander la résiliation, on me dit qu'on va me contacter pour la résiliation, faites attention envoyer un courrier recommandé pour résilier. On me dit que j'ai un mois pour résilier par téléphone alors que je me suis déjà fait avoir avec ce soi-disant un mois pour résilier par téléphone, j'ai contacté ufc que choisir ils m'ont dit c'est que par courrier recommandé une résiliation.</t>
  </si>
  <si>
    <t>chrisngn69-79112</t>
  </si>
  <si>
    <t xml:space="preserve">Suite à un sinistre non responsable récemment, j'ai posé mon véhicule dans un garage non agrée, l'expert valide les réparations, le garage répare mais s'aperçoit qu'il y a un marbre léger rien d'alarmant, la facture s'élève donc, le garage contact l'expert pour confirmer la réparation du marbre mais personne ne répond, le garage a donc prit les devant et avancé les réparations, j'ai du avancer le montant car j'ai choisi un garage non agrée donc j'assume, cependant, comme l'expert n'est pas passé une 2ème fois, le montant de la facture est plus élevé que quand il avait confirmé la 1ère fois, j'envoie Donc la facture a l'oliver après avoir avancer le montant et récupéré ma voiture, le seul soucis est que j'ai reçu un remboursement Inférieur à la facture que le garagiste m'a transmis car il y avait un marbré mais que l'expert n'était pas aller voir pour confirmé. J'ai envi envoyé un mail à l'olivier pour une réclamation j'attend à ce jour une réponse </t>
  </si>
  <si>
    <t>11/09/2019</t>
  </si>
  <si>
    <t>moon-58246</t>
  </si>
  <si>
    <t>Assurée depuis plus de trente chez MAAF pour mes véhicules, bon conducteur à vie, lors d'un bilan sur mes contrats l'agent MAAF m'a convaincu de basculer mon assurance habitation chez eux. Suite à deux sinistres habitation dont je ne suis pas responsable pour un montant global de 1300 €, je reçois un appel du responsable de l'agence m'informant que mon contrat est résilié d'ici 2 mois car je leur coûte trop cher. Il précise que j'ai intérêt à partir avant de recevoir la lettre de résiliation, sinon j'aurai du mal à trouver une autre assurance ! Relation clientèle déplorable, pas la peine de faire des campagnes publicitaires à outrance, plus du tout d'esprit mutuelle dans cette entreprise. Elle nous a bien eu ...</t>
  </si>
  <si>
    <t>20/10/2017</t>
  </si>
  <si>
    <t>laetitia-p-121540</t>
  </si>
  <si>
    <t>Je suis très satisfaite du service..
Réponse très rapide
J'ai été très bien reçu par les administrateurs de mon dossier.
Merci beaucoup.
Ne changez rien</t>
  </si>
  <si>
    <t>michel-j-107695</t>
  </si>
  <si>
    <t>Très bon accueil téléphonique, facile de créer le contrat d'envoyer les documents. Bon rapport qualité prix. A voir dans le temps.
Merci pour votre réactivité.</t>
  </si>
  <si>
    <t>23/03/2021</t>
  </si>
  <si>
    <t>superruru-65747</t>
  </si>
  <si>
    <t>service déplorable , toujours une impression d'être le pigeon, prix en otage d'une assurance qui se moque du client.</t>
  </si>
  <si>
    <t>el-hassane-b-108734</t>
  </si>
  <si>
    <t>Je ne suis pas du tout satisfait du service.  plus d'une semaine pour répondre à une demande urgent.
Les questions d'assurance sont importants au quotidien. c'est pour cela que nous souscrivons à des formules de contrat " plus protectrice ". Mais il semblerait que ce qui est important pour deirect assurance c'est de prélever gracieusement les cotisations sans traiter les demandes importante des clients.
très  très déçu
.je ne recommande pas.</t>
  </si>
  <si>
    <t>bouiramane-r-115174</t>
  </si>
  <si>
    <t xml:space="preserve">Bonjour 
Je  suis  satisfait  mais  peut  mieux faire  je  trouve  que  les  prix restent  encore  un peu cher pour moi.
Merci de votre compréhension </t>
  </si>
  <si>
    <t>kaninou09500-78322</t>
  </si>
  <si>
    <t xml:space="preserve">Très satisfait de l'Olivier assurance pour les tarifs et le service client efficace et à l 'écoute ! J ' ai eu une panne de batterie récemment avec l' option 0 km le dépanneur est venu  sur RDV a l'heure dite exactement et m'a dépanné. 
Je recommande L' Olivier assurance sans problème. </t>
  </si>
  <si>
    <t>14/10/2020</t>
  </si>
  <si>
    <t>lucie-122546</t>
  </si>
  <si>
    <t>Je DECONSEILLE l'assurance DIRECT ASSURANCE.
LORS D'un sinistre non responsable du mois d'octobre à ce jour juillet, toujours
 en cours pour la prise en charge et réponde qu'il ont 1 ans, et que c'est normal.......
A FUIR</t>
  </si>
  <si>
    <t>frederic-l-110570</t>
  </si>
  <si>
    <t>je decouvre!! laisser moi le temps d avoir un s
inistre et je vous en dirais plus! cordialement frederic lajugie fait a boen sur lignon le 1504 2021 merci</t>
  </si>
  <si>
    <t>marie-madeleine-f-130103</t>
  </si>
  <si>
    <t xml:space="preserve">Pour le moment je suis satisfaite on verra bien par la suite si il ny aura pas de problème car en général c'est quand il ya un problème que l'on pourra juger  de la vraie efficacité de l'assurance </t>
  </si>
  <si>
    <t>anto-102209</t>
  </si>
  <si>
    <t xml:space="preserve">Ils proposent des tarifs compétitifs mais pas tant que ça et au final même pas un seul sinistre responsable mais 2 non responsables et ils me vire c’est une assurances qui se contente uniquement d’encaisser les cotisations mais qui se fiche de sa clientèle comme toutes les autres !!!
Fortement déconseillé </t>
  </si>
  <si>
    <t>05/01/2021</t>
  </si>
  <si>
    <t>di-donato-p-130293</t>
  </si>
  <si>
    <t xml:space="preserve">Je suis un nouveau client, j'ai trouvé cette offre d'assurance-auto sur lesfurets.com. Très bon rapport qualité-prix, je suis satisfait d'Olivier Assurance ! </t>
  </si>
  <si>
    <t>rita-b-127458</t>
  </si>
  <si>
    <t xml:space="preserve">Satisfait de votre accueil  et de vos prix  j’espère ne pas être  déçu dans les mois à venir  et que vous serez disponible pour y répondre.Merci de votre compréhension </t>
  </si>
  <si>
    <t>coco2609-98754</t>
  </si>
  <si>
    <t>tout simplement SCANDALEUX. j'ai du attendre plus de 4 mois pour le traitement de mon dossier de congé maternité, et quand enfin cela est fait, ils s'arrangent pour se tromper sur le virement et ne verser qu un tiers de la somme sensée être perçue !!! en 2 mots totalement incompetents et inefficaces. je veux bien que la crise sanitaire ait impacté tous les services, mais même la CPAM ET LA CAF qui ne sont pas fameux pour leur réactivité ont été largement plus rapides !!! si vous êtes dans le besoin ou en arrêt ne  comptez pas sur eux pour vous sortir du pétrin !! si vous êtes intérimaire faites votre possible pour les fuir et aller chez un autre assureur !</t>
  </si>
  <si>
    <t>loic-m-110595</t>
  </si>
  <si>
    <t xml:space="preserve">OUI je suis satisfait jusqu'à ce jour. Je fais confiance en votre compagnie en cas de sinistre. Aussi réputé bon chauffeur, j'espère ne pas avoir de déclaration d'accident à vous transmettre et ce pendant de nombreuses années.
Bien cordialement, Loic MARTIENNE
</t>
  </si>
  <si>
    <t>16/04/2021</t>
  </si>
  <si>
    <t>j-jakabriol65-64768</t>
  </si>
  <si>
    <t xml:space="preserve">La réactivité en cas d'accident est excellente, l’éventail des services proposés est très large et les tarifs justes  et stables. Cette mutuelle est de plus servie par des personnels dévoués et compétents qui ont à coeur de satisfaire les clients adhérents. </t>
  </si>
  <si>
    <t>19/06/2018</t>
  </si>
  <si>
    <t>mathys-b-124794</t>
  </si>
  <si>
    <t>Très satisfait du contact et des renseignements obtenus. Agent à l écoute et disponible. Je recommanderai April à mes amis. C'est donc pour moi un sans fautes</t>
  </si>
  <si>
    <t>salomel-122353</t>
  </si>
  <si>
    <t xml:space="preserve">J'ai cotisé en août 2020. 
Ma cotisation me coûte 63 euros par mois. Vendue par un conseiller qui se présente comme "conseiller personnel" et vous promet que vous pourrez le joindre n'importe quand. 
A un fort accent, vous dit qu'il s'appelle Benoît, vous dit qu'il a également un autre prénom mais qu'il ne peut pas vous le dire, vous propose d'aller voir votre Instagram et reste 1h30 au téléphone avec vous pour vous vendre le produit. 
Injoignable dès le lendemain de la fin du délai de rétractation, et ce, définitivement. 
J'ai engagé environ 720 euros de frais médicaux depuis le début de mon contrat : médecin généraliste, Scanner Covid et autres actes médicaux. 
Santiane m'a remboursé: 28,19 euros depuis le mois de septembre. 
Pas un centime de plus. 
J'ai pourtant transmis tous les documents. On m'a répondu qu'ils avaient été traités "en tiers payant" ce qui est tout à fait faux, j'ai avancé tout cet argent. Les débits apparaissent sur mon compte bancaire et les relevés de sécurité sociale le prouvent.
Je vais faire ce qu'il faut et saisir le médiateur pour obtenir l'intégralité de mes remboursements ; quant à vous, fuyez cette mutuelle d'amateurs, il y en a de beaucoup plus sérieuses, personnellement je partirai dès que possible. 
</t>
  </si>
  <si>
    <t>paupau4480-32444</t>
  </si>
  <si>
    <t>J'ai eu un accident Jeudi soir, j'ai appelé la MAIF pour savoir comment se passais la prise en charge ( 1er accident et jeunes conductrices) ils me donnent des informations erronés heureusement que les forces de l’ordre ont rectifié le tir, ensuite une dépanneuse vient chercher mon véhicule pour l'amener au garage choisi, je ne suis informer de rien du tout, j’appelle le lendemain pour savoir où sa en ai et la surprise ma voiture est amener dans un autre endroit sans me demander mon avis ni même m'avertir !! Étant victime d'un carambolage impliquant 4 voitures je n'estime pas être responsable vu que j'étais la 3 eme voiture et que j'ai fais mon maximum a 90km/h on peut pas faire de miracle ! Lors de mon appel a la MAIF ont me dit que j'aurais des frais étant responsables de 50% de l'accident ( excusez moi d'avoir été au mauvais endroit au mauvais moment), aucun délais quant au passage de l'expert ni même dans combien de temps approximativement je pourrais retrouver mon véhicule !! bref assurance a fuir parce que des qu'ils y a un pépins bah il y a plus personnes !!</t>
  </si>
  <si>
    <t>24/12/2017</t>
  </si>
  <si>
    <t>gperazio-97831</t>
  </si>
  <si>
    <t>Très satisfait par le service en ligne de mon assureur.
Répond à toutes mes demandes dans des délais très courts.
Rien a redire sur la qualité des équipes et du service.
Georges Perazio (85 ans)</t>
  </si>
  <si>
    <t>fannyri-91890</t>
  </si>
  <si>
    <t>Un sinistre qui date depuis bientôt 10 mois et aucune prise en charge. Des interlocuteurs différents à chaque fois et personne ne vous donne les mêmes informations.</t>
  </si>
  <si>
    <t>jean-christophe-g-132712</t>
  </si>
  <si>
    <t>Nos demandes sont pris en compte en temps et en heure. On est écouté.
Les prix sont satisfaisants. Le site internet est bien structuré et compréhensitf</t>
  </si>
  <si>
    <t>djodjo-81056</t>
  </si>
  <si>
    <t xml:space="preserve">31 ans  d assurance 
je suis en train de monter ma piscine enterré je n ais pas  pu  prendre l option piscine parce qu elle n est pas termineé et la sur la pose du liner en cours de montage une tuile de ma toiture a perforé ce derniersuite a la tempete du 3 octobre  .du coup il est mors .Comme j ai pas pris l option piscine c est pour ma pomme alors que je ne pouvais pas m assurer elle etait pas terminé D autres assurances auraient pris ma demande en consideration sachant que ce sont les tuiles de ma maison Du coup apres 31 ans de cotisation tout risque plusieurs assurances m offres des garantis meilleurs et moins chers </t>
  </si>
  <si>
    <t>16/11/2019</t>
  </si>
  <si>
    <t>leeuuss-72067</t>
  </si>
  <si>
    <t>je déconseille fortement , il ne traite  que la moitié des  documents envoyés , répondent au tel au bout que plusieurs longues dizaines de  minutes  , site inaccessible !!</t>
  </si>
  <si>
    <t>pierre-t-134324</t>
  </si>
  <si>
    <t>Les prix sont assez intéressants et assez compétitifs....
Le site est relativement simple et pratique...
C'est une première assurance automobile...
à voir sur la durée...</t>
  </si>
  <si>
    <t>dede-54915</t>
  </si>
  <si>
    <t>Assez déçu de mon assurance, le prix est correct cependant mais il y a aucun suivis lorsqu'on les appelles.
Le service client est déplorable, ils nous mettent en attente 5min puis raccroche au nez, tout cela afin que nous abandonnions notre démarche... 
Attention au paiement par CB via ligne téléphonique, il font des erreurs dans les chiffres... j'ai été prélevé d'un montant bien plus élevé de ce que je leurs devais.</t>
  </si>
  <si>
    <t>26/05/2017</t>
  </si>
  <si>
    <t>corinne-g-110240</t>
  </si>
  <si>
    <t>Facilité d'adhésion et prix super attractifs! Je suis très contente d'adhérer à cette assurance car celle que j'ai actuellement est excessivement chère!</t>
  </si>
  <si>
    <t>nicolas-b-117556</t>
  </si>
  <si>
    <t>Choix varié, options à la carte, pas la moins chère des assurances, mais la plus personnalisable. Assurance choisie sur les conseils de mon vendeur moto en concession.</t>
  </si>
  <si>
    <t>flora-k-112331</t>
  </si>
  <si>
    <t>Je n'ai jamais eu de litige avec Direct Assurance. 
Je n'ai par ailleurs jamais eu à faire intervenir mes assurances car aucun sinistre à déplorer à ce jour.</t>
  </si>
  <si>
    <t>audrenls-98772</t>
  </si>
  <si>
    <t>Dommage que l'on ne puisse pas mettre zéro ! 
Gestion lamentable en ce qui concerne une assurance perte d'emploi. Mon mari a eu le temps de retrouver un emploi qu'on a toujours rien touché. 3 mois pour envoyer un dossier, 5 jours pour lire un mail et jamais aucune réponse !  Impossible de joindre le service on tombe sur une plateforme. 
Nous avons dû nous débrouiller seuls pour payer notre prêt ! 
Assurance à fuire ! !!</t>
  </si>
  <si>
    <t>26/11/2020</t>
  </si>
  <si>
    <t>damizn-b-121387</t>
  </si>
  <si>
    <t>La protection juridique, ne fait pas son travail, des promesses de vente ne sont pas tenue. C est une honte.je suis très mécontent de cette assurance, elle est comme les autres. Mauvaise prise en charge.</t>
  </si>
  <si>
    <t>Mapa</t>
  </si>
  <si>
    <t>multirisque-professionnelle</t>
  </si>
  <si>
    <t>sylvain-r-117039</t>
  </si>
  <si>
    <t xml:space="preserve">Rapide pour souscrire , à voir dans le futur leur réactivité en cas de souci. Sinon au niveau des tarifs c est réglo par rapport à la concurrence , on verra pour le reste </t>
  </si>
  <si>
    <t>aline-59270</t>
  </si>
  <si>
    <t xml:space="preserve">Je suis très satisfaite d'avoir changé d'assurance. Je trouve chez l'Olivier une très bonne écoute et une réactivité qui me rassure. Réception rapide de ma carte verte par mail et courrier après avoir finalisé mon dossier en fournissant via l'espace perso les documents demandés. 
Côté tarifs, je divise par deux mes cotisations en ayant pourtant pris les prestations les plus "hautes". </t>
  </si>
  <si>
    <t>30/11/2017</t>
  </si>
  <si>
    <t>antonio--r-102853</t>
  </si>
  <si>
    <t>Après un sinistre rencontré avec un garagiste, cette assurance laisse traîner mon dossier et ne répond pas aux courriers recommandés.
Sa devise étant "être solidaire et être à nos côtés", n'est pour moi, pas respectée.
Par ailleurs, il n'y a aucune communication entre l'organisme et son service juridique, ce qui ne permet pas de régler mon litige et me laisse alors sans nouvelles, dans mon cas, depuis près de cinq mois.</t>
  </si>
  <si>
    <t>19/01/2021</t>
  </si>
  <si>
    <t>lpal-51234</t>
  </si>
  <si>
    <t>Une équipe téléphonique d'incompétents qui demande sans cesse des courriers recommandés qui ne sont jamais traités. Une honte de traiter ainsi ces assurés!</t>
  </si>
  <si>
    <t>12/01/2017</t>
  </si>
  <si>
    <t>william-l-122449</t>
  </si>
  <si>
    <t>Je suis très satisafait de cette assurance que je ne connaissais pas. Le prix est bien moins cher que ma précédente assurance et il est rapide de souscrire en ligne</t>
  </si>
  <si>
    <t>estelle-l-122156</t>
  </si>
  <si>
    <t xml:space="preserve">le prix est très intéressant et la souscription est rapide. Très pratique pour acheter une moto sur un coup de tête. A voir lors d'un sinistre si c'est aussi rapide </t>
  </si>
  <si>
    <t>blanchemain-m-130469</t>
  </si>
  <si>
    <t xml:space="preserve">Je suis satisfaite du service, le site est simple a consulter
Les prix me conviennent, plusieurs choix
Simple et pratique, très rapide, réactif, et efficace
</t>
  </si>
  <si>
    <t>sebiane-b-108674</t>
  </si>
  <si>
    <t xml:space="preserve">Je suis satisfait du service.
Le prix de l'assurance est meilleur que celui de la concurrence, de plus le premier conseillé qui m'a aidé à faire les démarches était très agréable. </t>
  </si>
  <si>
    <t>valerie-d-106966</t>
  </si>
  <si>
    <t>Augmentation importante de la ,prime d'assurance pour notre renault clio de 2009. 
Véhicule de plus de 11 ans et plus de 500 Euros d'assurance à l'année en tout risque !!!
Je ne comprends pas. Je cherche ailleurs.</t>
  </si>
  <si>
    <t>jamot-j-124197</t>
  </si>
  <si>
    <t>Je suis pour le moment satisfais du service rendu, mais c'est bien souvent en cas de problème que l'on apprécie les assurances à leurs juste valeur, en espérant ne jamais le savoir bien entendu !</t>
  </si>
  <si>
    <t>msl-60847</t>
  </si>
  <si>
    <t xml:space="preserve">ILS NE SONT PAS DU TOUT LES MOINS CHERS, ILS ONT VOULU PRELEVER SUR MON COMPTE DIRECTEMENT LA COTISATION ANNUELLE PLUS ELEVEE QUE L'ANNEE PRECEDENTE ALORS QUE J'AI UN BONUS ET AUCUN SINISTRE SUR 12 DERNIERS MOIS !!!! 80 EUROS PLUS CHER QUE L'ANNEE ECOULEE !!! ET JAMAIS DE REPONSE A MES QUESTIONS AUCUN RESPONSABLE A JOINDRE AU TELEPHONE (NUMERO VERT POUR CONTACTER LE SERVICE CLIENT !) ET QUE DES INCOMPETENTS (ILS VOUS RECITENT LEUR SCRIPT APPRIS PAR CHOEUR JAMAIS ILS NE SERONT EN MESURE DE VOUS REPONDRE). UN CONSEIL : NE VOUS FAITES PAS AVOIR CAR LEURS PRIX SONT LOIN D'ETRE LES PLUS COMPETITIFS ! POUR ACTIVE ASSURANCES LE CLIENT N'EST QU'UN NUMERO ET UN COMPTE BANCAIRE A PRELEVER QUAND ILS VEULENT ET DE LA SOMME QU'ILS VEULENT !!!! J'AI PLEINS DE CONTACTS SUR PRESQUE TOUS LES RESEAUX SOCIAUX ET ACTIVE ASSURANCE PEUT COMPTER SUR MOI POUR PARLER DE SON SERVICE PLUS QUE NUL ;) </t>
  </si>
  <si>
    <t>26/01/2018</t>
  </si>
  <si>
    <t>sergio63-107154</t>
  </si>
  <si>
    <t>Impossible à joindre au télephone, pourtant c'est un assureur à distance...
Après plusieurs tentatives avec des attentes de 10 min mini, la conseillère est très peu commerçante, les garanties ne sont pas claires. Je demande à parler à un responsable. Elle me rapelle mais n'a d'autre choix que de m'envoyer à la concurrence (je voulais ré-hausser les garanties de mon contrat, mais c'est impossible!).
J'ai depuis trouver un assureur en agence pour le même tarif, donc fuyez Eurofil!</t>
  </si>
  <si>
    <t>clemence-102159</t>
  </si>
  <si>
    <t>Mon véhicule a été accidenté par 2 fois le 08/07/2019 et le 03/03/2020, le premier non responsable occasionné par un conducteur qui a coupé la route 
le second en stationnement devant mon domicile lui aussi non responsable, la GMF a reconnue que ma responsabilité n'ètait pas engagée ,j'ai un courrier qui le confirme .Conclusion RESILIATION de mon contrat d'assurance !!! merci qui !!!</t>
  </si>
  <si>
    <t>04/01/2021</t>
  </si>
  <si>
    <t>nicole-40891</t>
  </si>
  <si>
    <t>J'ai changé d'assurance pour moins cher et je viens de m'inscrire chez eurofil aviva.
Mais je peine déjà à les avoir par téléphone ou sur leur Messenger et à me faire comprendre pour de simples explications sur mon contrat et l'échéance.
Donc je n'imagine même pas si j'ai un sinistre !
Je ne sais pas si je vais rester longtemps chez eux du coup !
Et au vu des commentaires ça me fait peur !</t>
  </si>
  <si>
    <t>alain11-2-62581</t>
  </si>
  <si>
    <t>J'ai été assuré chez eurofil pendant de nombreuses années sans probléme puis pendant 3 ans j'ai eu un accident avec 50% de responsabilité, un bris de pare brise puis undegat du à la gréle.
L'assurance a choisi de rompre une si belle relation.
j'ai donc changé d'assureur depuis 3 ans et maintenant donc aprés 3 ans sans probléme, j'espérais revenir chez eurofil, que nenni, visiblement une fois résilié c'est pour toujours.
J'ai l'impression de demander un crédit à un banquier aprés être guéri d'un cancer, celà me revolte</t>
  </si>
  <si>
    <t>22/03/2018</t>
  </si>
  <si>
    <t>trabelsi-t-109083</t>
  </si>
  <si>
    <t xml:space="preserve">je suis satisfait par rapport le service et accueil  ,mais le prix est un peu élevé par rapport une voiture électrique.
cordialement 
TRABELSI Teyssir 
  </t>
  </si>
  <si>
    <t>yann-96039</t>
  </si>
  <si>
    <t xml:space="preserve">Bonjour  Suite à un sinistre  sur mon véhicule  que j'ai acheté  en 1ere main
 (non responsable  l'expert automobile 2 passage  photo insuffisant   (que j'ai du contacter moi même   axa na rien fait  il  me dit qu'il veut bien prendre en compte les réparations  mais que d'après lui une mauvaise réparations  antérieures cause problème  600 euro à m a charge   j'ai donc contacté Axa  10 appelle   10 mails jamais la même personne    j'ai transmis les coordonnées  de l'ancien propriétaire ( nom ainsi que le ct  et sa compagnie assurance  Axa me dit qu'il va me rappeller mais rien bien sûr  la voiture et  hs   je suis à pied du coup  et bien sûr  à part vous dire oui Mr on comprend on s'occupe de tout  est ils s'occupe de rien   bravo  Axa   super service   professionnel   comme jamais   donc  ils faut se débrouiller  seul  alors que l'on paie chaque mois  vraiment   pas  pro   des que possible   je change   enfin  si un jour ce </t>
  </si>
  <si>
    <t>07/08/2020</t>
  </si>
  <si>
    <t>mcbb-55997</t>
  </si>
  <si>
    <t>une expérience sidérante. Axa a adressé ma demande de résiliation à l'assureur précédent à une adresse périmée depuis 2 ans, puis n'a pas réalisé qu'aucun accusé de réception n'était parvenu à AXA. Je paie donc deux assurances, des propositions me sont faites pour résoudre le problème, mais le service Gestion d'AXA dit ne pas pouvoir s'engager par écrit sur la procédure de remboursement des 3 mois qui me sont dus dans ce cadre...</t>
  </si>
  <si>
    <t>mecheri-a-138081</t>
  </si>
  <si>
    <t xml:space="preserve">Mes proches on cette assurance j’en ai entendu que du bien c’est pour ça que aujourd’hui je fais partie de cette assurance et j’en suis fier merci l’Olivier assurance </t>
  </si>
  <si>
    <t>22/10/2021</t>
  </si>
  <si>
    <t>gra-87265</t>
  </si>
  <si>
    <t xml:space="preserve">Très content de l' assurance pour mon chien les premières années malgré le prix de la formule choisie. Je voulais la sécurité. Mais chaque année le prime augmentait de 4 euros ! Au bout de 8 ans j'avais doublé la prime ! J'ai vite compris que ce rythme il valait mieux mettre de l'argent de côté plutôt que de l'investira prête dans une assurance. Mon chien a eu des problèmes de santé juste après mais je reste gagnant financièrement. A signaler effectivement qu'il faut en mène trois semaines pour être remboursé. La seule rapidité de Santevet c'est de vous promettre le remboursement dès qu'ils reçoivent votre demande. </t>
  </si>
  <si>
    <t>21/02/2020</t>
  </si>
  <si>
    <t>audehinfray-70858</t>
  </si>
  <si>
    <t xml:space="preserve">Mon mari et moi avons eu à faire a l'assistance dépannage le 31/01/2019 à 18H sur l'autoroute, après une dizaine d'appels nous avons enfin pu avoir un taxi qui vient nous chercher pour nous emmener récupérer une voiture de loc a 45min de route du lieu ou nous étions (dans le froid dans notre voiture car le garage qui est venu nous dépanner à fermé a 19h) à 20h40 le taxi se présente nous prenons notre voiture de loc à ORLY a 21h54, pour rentrés chez nous à Angers a 01h du matin. Heureusement que nous avons de la famille qui as pu dormir chez nous et s'occuper de notre fille de 13mois qui était garder ce jour la. 
Nous en sommes encore qu'au début car maintenant nous devons récupèrer notre voiture à 2h de route de chez nous. Nous pensons résilié notre contrat avec AXA dès que nous aurons récupérer notre voiture ! Effectivement avec notre témoignage nous ne recommandons pas cette assurance peu fiable. </t>
  </si>
  <si>
    <t>skandari-m-112490</t>
  </si>
  <si>
    <t xml:space="preserve">Je vois que cette est très bien ,ensuite moin cher,je vais conseiller à mes amis que faire cette assurance,je vous souhaitez une excellente journée. Merci </t>
  </si>
  <si>
    <t>03/05/2021</t>
  </si>
  <si>
    <t>marvyn-o-109915</t>
  </si>
  <si>
    <t>Je suis satisfait de l'option "YouDrive" qui me permet de soulager la note un peu salée en conduisant prudemment. Enfin les jeunes conducteurs ont la confiance d'une assurance.</t>
  </si>
  <si>
    <t>quiquempoix-f-112998</t>
  </si>
  <si>
    <t xml:space="preserve">Le conseiller est très agréable il m'as  bien expliqué la procédure et les prix sont très intéressants. 
Le délai d'attente n'est pas long.
Merci beaucoup. </t>
  </si>
  <si>
    <t>stephie34-62421</t>
  </si>
  <si>
    <t>Bonjour,
Une de plus à venir me plaindre des frais "d'avenant" de l'Olivier Assurance de 15€. J'ai fait mon devis avec mon relevé d'information qui mentionnait un taux à 0,63, j'ai souscris en ligne et maintenant on me facture 15€ parce que mon dernier relevé d'information de résiliation mentionne un coef à 0,60 (normal il a augmenté à la date anniversaire de mon contrat), taux que je ne pouvais pas anticiper ni inventer.. J'ai fait également une erreur de saisie sur la date d'achat de mon véhicule, j'ai saisie 11/2015 au lieu de 11/2014, ce qui ne devrait pas avoir d'incidence sur ma cotisation mais non chez L'Olivier Assurance on vous facture 15€, c'est prévu dans leurs conditions de vente donc ils ont le droit en effet. J'ai lu qu'ils facturaient également si vous changiez d'adresse enfin tout et n'importe quoi. Pour un début ça commence vraiment mal et quand on souscrit chez un assureur "pas cher" c'est pas pour se taper des frais bidons à peine le contrat souscrit.</t>
  </si>
  <si>
    <t>16/03/2018</t>
  </si>
  <si>
    <t>gwen-112102</t>
  </si>
  <si>
    <t>Je me fais démarcher téléphonique, je le temps de les écouter alors que je travaille... Lorsque j'explique que je souhaite voir les contrats avant de m'engager car je souhaite comparer avec mes contrats actuelles. La personne s'énerve me parle très mal en disant que j'ai qu'à payé des frais d'honoraires et raccroche. Lamentable !!! Et moins mon choix est vite vu!!! Jamais chez Neoliane</t>
  </si>
  <si>
    <t>fabrice-c-114968</t>
  </si>
  <si>
    <t>Bonjour 
Avec le confinement j ai peu roulé 
Est ce que appliquez une réduction des tarifs ?
Ca correspond à une situation globale
Merci à vous
Cordialement 
Fc</t>
  </si>
  <si>
    <t>jmzabaleta-69371</t>
  </si>
  <si>
    <t>Assureur qui vous vire pour des incidents NON RESPONSABLE et avec un bonus de 50% depuis 20 ans surtout sans prévenir et sans explication</t>
  </si>
  <si>
    <t>12/12/2018</t>
  </si>
  <si>
    <t>baberoncali-107805</t>
  </si>
  <si>
    <t xml:space="preserve">Service téléphonique compétent et agréable. De bons conseils. Maintenant à voir si les remboursements seront satisfaisants ou non par rapport à mon futur devis </t>
  </si>
  <si>
    <t>massenat-m-123604</t>
  </si>
  <si>
    <t>je suis satisfait du service
je recommanderais a d'autre personne 
niveau de prix formidable
service rapide efficace efficace efficace 
merci beaucoup</t>
  </si>
  <si>
    <t>nicogz-90236</t>
  </si>
  <si>
    <t>Fuyez !!!!! Suite à notre licenciement avec ma conjointe nous bénéficions de la portabilite ... à condition de leur envoyer les attestations pôle emploi ts les mois, donc jusqu'ici ok, sauf que il existe une carence du chômage et que pendant cette carence pas d attestations de règlement de pôle emploi et donc ..... ILS NOUS ONT RADIÉS !!!! EN PLEIN ÉPIDÉMIE DE CORONA NOTRE ORGANISME NOUS A RADIÉ POUR UN DOCUMENT QUE L'ON NE POUVAIT TRANSMETTRE ! !!! MAIS QUELLE HONTE !!!! FUYEZ CET ORGANISME INHUMAIN QUI VOUS LAISSERA TOMBER À LA 1ERE ÉPIDÉMIE !!!! Et bien entendu ils sont injoignables depuis plusieurs semaines bravo le bcac et la mgen GRAND BRAVO</t>
  </si>
  <si>
    <t>05/06/2020</t>
  </si>
  <si>
    <t>samain-e-107391</t>
  </si>
  <si>
    <t>Je suis satisfait du service
les prix me conviennent             
je ne suis pas très douée quand je vais sur le site mais les conseillers savent me renseigner</t>
  </si>
  <si>
    <t>ambigat-50375</t>
  </si>
  <si>
    <t>Auparavant j'étais assuré pour deux véhicules à la maaf avec 50% de bonus à vie : une voiture et un deux roues. Je viens de vendre ma voiture et me voilà avec une prime d'assurance qui augmente de 40% pour mon 2 roues . 
Motif : celui-ci devient mon véhicule principal .</t>
  </si>
  <si>
    <t>jomok-77628</t>
  </si>
  <si>
    <t>.Capables d encaisser l argent de l assurance d'un véhicule parti en destruction depuis 3 ans. Catalyseur volé non remboursé.Client depuis 35 ans ,je les quitte!!!</t>
  </si>
  <si>
    <t>15/07/2019</t>
  </si>
  <si>
    <t>amaxfiles-90279</t>
  </si>
  <si>
    <t xml:space="preserve">Fuire
Il vous présente  les services  comme etant au top. Je paye 2 fois plus chère que chez un autres assureur et réalité c'est  une mascarade.  Je suis un indépendant, je paye 190 euros/ mois une prévoyance  bidon. J'ai eu un petit accident de travail. Quelque point de suture aux urgences. 10 jours arrêt.   J'ai fait toutes les demarche le 1er jours. 3 semaines rien! Même une suivi du statu sur leur application. 50 minute pour avoir quelqu'un qui vous dit qu'ils attende l'expertise de leurs docteur, comme si les rapport des urgence sont douteuses. J'imagine pas si ca avait etait grave, si j'avait perdu un doigt. La prise en charge est calamiteuse.  Vous êtes  livré  avous même.  Il vous rassure pas. Vous n'êtes pas vraiment assuré.  Ils concentre leurs énergies a rechercher un possible opportunité a ne pas vous prendre en charge. 
Une quelconque assurance feras mieux que Allianz. Pour ma part je vais résilier au plus vite pour me diriger vers des vrais assurance. Du coup, je résilie ma epargne retraite , ma prevoyance santé 190€/mois, ma mutuel santé 70€/mois, mon assurance voiture 140€/mois. Heuresement que j'ai pas signé le reste chez eux. Un calamité. </t>
  </si>
  <si>
    <t>jeanne-r-107471</t>
  </si>
  <si>
    <t>Aucune infos possible par téléphone, impossible d'avoir le service sans patienter 48h. Les prix sont certes très attractifs mais si l'on veut un suivi et une assurance à l'écoute et efficace,  il vaut mieux aller vers des plus gros</t>
  </si>
  <si>
    <t>kjhkh-96016</t>
  </si>
  <si>
    <t>Après plusieurs demande de résiliation, l'assurance prend toujours une excuse de refuser mon assurance  a plusieurs reprise, même quand mon nouveau assureur a essayer de résilier cette assurance. 
Si vous voulez pas avoir des problèmes ne vous inscrit pas a cette assurance.</t>
  </si>
  <si>
    <t>06/08/2020</t>
  </si>
  <si>
    <t>chrco-69610</t>
  </si>
  <si>
    <t xml:space="preserve">Bonjour, viasanté ag2r est une mutuelle à éviter absolument ! En effet cette mutuelle ne rembourse pas correctement les frais d'orthodontie. Sur le contrat prise en charge à hauteur de 600euros par an hors remboursement sécu. Facture de 580 remboursement  sécu de 163 euros et via santé me rembourse que 300 euros soit 118 euros pur ma pomme. Je ne remercie pas viasanté qui fait l'autruche et ne me répond même plus. Franchement passez votre chemin ne prenez pas viasanté car si vous avez des problème de remboursement vous n'aurez que vos yeux pour pleurer.
</t>
  </si>
  <si>
    <t>mohammed-b-129055</t>
  </si>
  <si>
    <t>Devis très simple et rapide très bon qualiter prix et ce fait assez facilement très satisfait de votre site internet et de votre efficasiter ne rien changer</t>
  </si>
  <si>
    <t>salya-f-124382</t>
  </si>
  <si>
    <t xml:space="preserve">Je suis satisfait prix un peu élever mais je viens de m'assurer je suis jeune conductrice je verrais comment cela se passera sur la longueur 
Et sur les prestations </t>
  </si>
  <si>
    <t>christophe-g-105042</t>
  </si>
  <si>
    <t xml:space="preserve">Je suis tres satisfait de l entretient telephonique ainsi que des conseils donnée par la personne quii c'est occupé de mes contrats, je recommande vivement </t>
  </si>
  <si>
    <t>maryr-64594</t>
  </si>
  <si>
    <t>Prix abusée!</t>
  </si>
  <si>
    <t>07/06/2018</t>
  </si>
  <si>
    <t>johann-s-130314</t>
  </si>
  <si>
    <t xml:space="preserve">pas facile a ce comprendre au tel merci cdlt johann reglement par carte au tel impossible a revoir plus facile par internet ou facture ou a voir dur dur </t>
  </si>
  <si>
    <t>chris12-116589</t>
  </si>
  <si>
    <t>Les assurés Maif sont extrêmement bien assurés Un vrai service client, à l’écoute, solidaire ; c’est Parfait Les augmentations de cotisation sont raisonnables et votées en AG  Une vraie mutuelle ! Rare</t>
  </si>
  <si>
    <t>nousse-74623</t>
  </si>
  <si>
    <t>Prendre une assurance chez eux c est la garantie de devoir les traîner en justice pour récupérer votre dut</t>
  </si>
  <si>
    <t>31/03/2019</t>
  </si>
  <si>
    <t>nicolov-60139</t>
  </si>
  <si>
    <t xml:space="preserve">J'ai demandé la résiliation de mon assurance Emprunteur en juin et toujours rien. Lors du dernier contact avec mon conseiller le 03/12 il m'a indiqué très naturellement, je pensais que c'était fait.... Je ne parle même pas de la partie Assurance Vie ou j'ai l'impression d'avoir à faire à une personne totalement incompétente qui m'explique ne pas comprendre pourquoi mes placements ne rapporte pas plus mais sans jamais ne proposé aucune solution. 
Bref AXA pour moi c'est fini, je vais appeler ce pseudo conseiller pour résilier tous mes contrats. </t>
  </si>
  <si>
    <t>03/01/2018</t>
  </si>
  <si>
    <t>yahor-86763</t>
  </si>
  <si>
    <t>A fuir cet assureur, j y suis depuis 12 ans sans aucun sinistre 46% de bonus et 49% au  1èr mai 2020, en plus mon assurance habitation est chez eux. récemment j'ai souhaité assurer un deuxième véhicule et là commence le parcours du combattant, des interlocutrice incompétentes passé par un comparateur sur web, une fois arrivé sur le site de direct assurance le prix affiché sur le comparateur a grimpé de plus de 100 euros interlocutrice direct assurance fort désagréable à peine si elle comprends le français plate forme situé au Maghreb, mon devis à été annulé le 31 01 2020 car j'ai mis un conducteur secondaire pour prêt de volant ,lui même assuré principal chez eux et jamais de sinistre, le monde à l'envers opératrice avec excès de zelle annule purement et simplement mon contrat  Numéro 976471915 après avoir payé la totalité
je quitterai définitivement cet assureur avant la prochaine échéance car ils sont beaucoup plus cher que les autre et surtout aucune politesse et un manque de considération à l'égard de leur client.
Je déconseille fortement cet assureur qu'il faut fuir suis médecin et choqué par leur pratique ne pas vous fier à la publicité mensongère.</t>
  </si>
  <si>
    <t>05/02/2020</t>
  </si>
  <si>
    <t>burbosh--109689</t>
  </si>
  <si>
    <t xml:space="preserve">Lamentable 
Impossible de les avoir au téléphone même en souscrivant à l option rappel 
Ils prétendent n avoir jamais reçu mes feuilles de soin envoyées par e-mail alors que j en garde la trace
J attends l équivalent de plus de 400€ De remboursements depuis février 
Nous sommes le 8 avril
Je mets fin à mon contrat la semaine prochaine  </t>
  </si>
  <si>
    <t>hocine-k-125384</t>
  </si>
  <si>
    <t xml:space="preserve">le prix me convient, je reviens vers vous après un refus de négociation de prix il y a 3 ans, j'espère qu'ils seront toujours aussi compétitifs l'an prochain
</t>
  </si>
  <si>
    <t>nini59-86195</t>
  </si>
  <si>
    <t>Bonjour,je suis chez Néoliane depuis le début d'année j'ai envoyé un remboursement pour prothèse dentaire provisoire j'ai payé 534,00 remboursée 132 euros à la sécurité sociale et là on me dit que je serais remboursée de 65,03 euros c'est impensable quelqu'un as t'il un avis et bien sur quand vous appelez il ny a pas de réponse Merci</t>
  </si>
  <si>
    <t>22/01/2020</t>
  </si>
  <si>
    <t>crof-107458</t>
  </si>
  <si>
    <t>Dommages à une toiture à la suite d'un fort coup de vent.
Multiplication des obstacles pour ne pas ouvrir de dossier (demandes de témoignages, certificats... qui n'ont jamais servi), jeu de mot scandaleux pour ne pas me couvrir entre "événement climatique" dont parle cet assureur contre "catastrophe naturelle" dont parle la mairie et son certificat, pour finir par l'exigence de l'assureur d'une attestation que la mairie ne produit pas puisqu'elle attend un formulaire à remplir que les assureurs de toutes les autres victimes de la commune ont procuré, mais pas celui-là.
Bref, malgré des dizaines d'années sans sinistre mais avec cotisations pas spécialement bon marché, je n'étais pas assuré...</t>
  </si>
  <si>
    <t>dehous-d-138422</t>
  </si>
  <si>
    <t>Les prix me conviennent, satisfait de l'accueil par téléphone, le délai de mise en assurance est rapide , simple, je recommande celle-ci, devis et explications faites clairement.</t>
  </si>
  <si>
    <t>patricia-b-113980</t>
  </si>
  <si>
    <t>Lors de mon précédent sinistre, la prise en charge a été très efficace.
Je viens d'avoir un accrochage avec un tiers, j'ai saisi en ligne le constat, en espérant avoir fait ce qu'il fallait.</t>
  </si>
  <si>
    <t>sergio-106993</t>
  </si>
  <si>
    <t xml:space="preserve">Bonjour madame, monsieur,
Suite à mon contact téléphonique, je tiens à vous faire part de ma grande satisfaction pour le traitement de mon dossier auprès d'une de vos collaboratrices prénommée Lucie.
Qualité de l'accueil, courtoisie, écoute, disponibilité en un mot professionnalisme.
Je renouvelle mes remerciements à cette dame..
Bien cordialement.
Signé
Serge BEAUFILS
</t>
  </si>
  <si>
    <t>laura8624-53777</t>
  </si>
  <si>
    <t xml:space="preserve">je vis un cauchemar avec AG2R - suite au décès de mon père, impossible d'avoir un VRAI conseillé au téléphone, vous avez beau envoyer les pièces qu'on vous demande, et bien la liste ne fait que grandir, c'est un enfer ! et pour bien vous épuisez ils ont un centre d'appel je ne sais où géré par des incompétents qui vous disent à chaque question ''envoyez un courrier" c'est un vrai cauchemar </t>
  </si>
  <si>
    <t>02/04/2017</t>
  </si>
  <si>
    <t>chantal-65302</t>
  </si>
  <si>
    <t>HONTEUX, à fuir c'est inadmissible leur façon de procéder, impossible d'obtenir le rachat.</t>
  </si>
  <si>
    <t>marion-d-106274</t>
  </si>
  <si>
    <t>Les prix me conviennent ! Le fait de pouvoir économiser en roulant correctement aussi ! C'est une bonne idée pour donner envie aux gens de bien conduire.</t>
  </si>
  <si>
    <t>jabiche-80857</t>
  </si>
  <si>
    <t>J'ai adhéré à cette assurance il y a un an car elle était très compétitive. Il n'y a eu aucun sinistre durant cette période et j'ai un bonus de 50% depuis de nombreuses années. Mon appel à cotisation vient d'arriver et celle-ci a augmenté de 15% sans aucune explication. Je les ai appelé et il m'ont répondu que c'était du au nombre de sinistres en forte augmentation survenus dans le département depuis un an. Adieu DIRECT ASSURANCE !!!</t>
  </si>
  <si>
    <t>09/11/2019</t>
  </si>
  <si>
    <t>hampton74-115050</t>
  </si>
  <si>
    <t>Je confirme tous les avis des internautes . Lenteur des remboursements, impossible de les joindre . Pas de site pour faire tout en ligne comme la plupart des mutuelles . Une catastrophe ! J'ai hâte de changer maintenant que c'est plus facile avec la nouvelle loi</t>
  </si>
  <si>
    <t>aurelie-b-134022</t>
  </si>
  <si>
    <t>je suis bien satisfaite du service, cela a été assez simple et rapide. les prix sont tout a fait raisonnables. j espère que la suite sera aussi satisfaisante !</t>
  </si>
  <si>
    <t>oussama-g-139510</t>
  </si>
  <si>
    <t>J'ai trouvé le service parfait et je n'ai absolument rien à dire concernant le prix.
J'ai comparé avec d'autres assurances mais April m'a régalé de touts points de vue.
Merci</t>
  </si>
  <si>
    <t>12/11/2021</t>
  </si>
  <si>
    <t>nicolas-g-133557</t>
  </si>
  <si>
    <t xml:space="preserve">Je suis satisfait du prix par apport a mon ancienne assurance 
200euros de mois par an pour les mêmes garanties.
très simple a souscrire, parfait ...
</t>
  </si>
  <si>
    <t>theo-b-106661</t>
  </si>
  <si>
    <t xml:space="preserve">Très satisfait de direct assurance simple et rapide les téléconseiller sont très bien il explique bien car je ne savais pas comment changer mon ancienne assurance merci pour tout </t>
  </si>
  <si>
    <t>pierre-a-129722</t>
  </si>
  <si>
    <t>tres pratique , simple rapide et efficace, on n'est pas certan d'avoir les memes conditions que si l'on appelait un conseiller par contre, commet peut on etre sur d'avoir le meilleure tarif</t>
  </si>
  <si>
    <t>patrick-l-105743</t>
  </si>
  <si>
    <t xml:space="preserve">je suis satisfait de mon tarif  accueil la prise en charge et l écoute merci a direct assurance faite attention a vous protéger vous et n oublier pas les gestes barrière   </t>
  </si>
  <si>
    <t>07/03/2021</t>
  </si>
  <si>
    <t>nicolas-a-122356</t>
  </si>
  <si>
    <t xml:space="preserve">Super et efficace 
Satisfait de la simplicité d'utilisation du questionnaire pour établir le devis. 
Je recommande pour la gestion rapide du dossier. </t>
  </si>
  <si>
    <t>kalisz-d-122601</t>
  </si>
  <si>
    <t>parfait service très satisfaisant , très agrééable au téléphone et toujours la en qua de problème simple comme complexe service tous simplement parfait</t>
  </si>
  <si>
    <t>franck-60433</t>
  </si>
  <si>
    <t xml:space="preserve">Je viens de telephoner au service client de Eurofil pour un devis auto , après qq minutes passer avec l´operateur je lui pose une question sur les vtc et il decide de plus continue mon devis prétextant que les vtc ne les interressait pas . Je suis photographe de metier et non VTC !!! il m´a quasi racroché au nez . ALLUCINANT . Bon courage aux futuré assurés en cas de panne ou sinistre ça promet !!! </t>
  </si>
  <si>
    <t>12/01/2018</t>
  </si>
  <si>
    <t>nono-60216</t>
  </si>
  <si>
    <t>Assuré maaf depuis des années je ne sais plus voir vos pubs mensongères . Viré ou plutôt libéré par vos soins depuis un an. Pour l habitation avec 3 sinistres en 3 ans pour la somme de 2000€. Les seuls sinistres depuis 40 ans. Viré en même temps de mon assurance voiture pour 3 sinistres en 3 ans ( 1 accident responsable et deux bris de vitres), bonus 50 a vie mdr. Les seuls depuis 40 ans également. Je pense simplement que vous n assurez que les personnes qui n ont pas de problème sinon!!!!!! Je n encourage personne a venir chez vous . Combien coute cette nouvelle pub mensongère???</t>
  </si>
  <si>
    <t>rogliano2b-94306</t>
  </si>
  <si>
    <t>Un accident responsable il y a 3 ans font la geule veulent me jetter si je change de voiture ne m'assureront plus ,alors que j'ai ma mutuelle 0 frais plus assurance maison et assurance moto.
Je suis a l'agence de villeuneuve sur lot</t>
  </si>
  <si>
    <t>gege-75975</t>
  </si>
  <si>
    <t>Fuyez cette assurance
Il vous promette des prix allechants et une fois qu il encaisse l argent bien sure il ne vous envoie pas de carte verte mais une attestation papier valable 1 mois
Et par la suite surprise on vous envoie un second devis deux fois plus cher en vous disant vous etes resilier temporairement et si vous ne signer pas vous ne serez pas rembourser
Bref une grosse bip qui m as quand meme couter plus de 140 euros donc je vois rouge
D autant plus qu il faut appeler un 0800 qui coute 80 centimes par minutes pour avoir un interlocuteur implanter au 
Maroc et qui soit disant ne comprends rien a la demande et voila a force de delocaliser les entreprises françaises les français en ont marre car on se fait toujours avoir avec des interlocuteurs inconnu et au telephone</t>
  </si>
  <si>
    <t>16/05/2019</t>
  </si>
  <si>
    <t>jolilie-124793</t>
  </si>
  <si>
    <t>Après un sinistre sans aucune responsabilité engagée, en formule tous risques, nous sommes toujours dans l'attente (plus de 2ans) des réparations et pourtant le garage est leur partenaire. aucune gestion du sinistre.</t>
  </si>
  <si>
    <t>david57-49373</t>
  </si>
  <si>
    <t>Après avoir souscrit à cette assurance et transmis mon relevé d'information via l'espace perso, il a fallu une semaine pour qu'ils me répondent qu'il manque le relevé précédent (24 mois). Je leur envois alors le document  et il a alors fallu 10 jour pour qu'ils me disent qu'il manque encore ces relevés. Avec du mal et beaucoup de patience , j'arrive à joindre un service pouvant m'aider et là la conseillère me dit qu'ils ont bien reçu mes documents mais que le tarif augmente suite à un sinistre non responsable chez une précédente assurance. Je souhaite alors ne pas finaliser ma souscription mais là pas moyen de contacter un service résiliation, pas d' informations sur leur site internet, pas d'adresse mail, c' est le flou total pour savoir comment faire.  
Ps: pour encaisser un accompte de plus de 200€ sur une assurance à 350€  à l' année, ils n'ont eu aucun problème et ont réagis très rapidement ( j'espère que ma non souscription sera pris en compte assez rapidement pour qu'ils ne trouvent pas une excuse pour garder cet accompte.)</t>
  </si>
  <si>
    <t>19/11/2016</t>
  </si>
  <si>
    <t>motard-en-colere--106051</t>
  </si>
  <si>
    <t xml:space="preserve">Âpres plus de  10ans anciennetee sans sinistre  responsable voilà  qu amv me trahi !!!
Je retrouve  ma moto au sol sur un parking. Assure tout risque avec 50%de bonus d une moto de 18 mois et 6000 km d une valeur  de 20000 euros. Le devis a été établi  le 1 février  expertises  le 6 et 6 semaines après toujours pas de nouvelles !!!
L expert  refuserait  de changer le réservoir  et préfère le repeindre sauf que sur les ktm ils sont en plastique et que la peinture ne tient  pas vu les vibrations...et comble du sort l expert conseil affilié  a amv sans voir  le réservoir à valide la peinture. Ou Comment  être juge et partie !!!
Qui plus est  j apprend  que l expert est de confiance avec le carrossier engagé...
Amv l assurance  avec option  service au rabais.   Honteux </t>
  </si>
  <si>
    <t>ade75-89193</t>
  </si>
  <si>
    <t xml:space="preserve">Le niveau zéro de l'assurance! En cas de sinistre ce qui m'est arrivé, aucune prise en charge, aucun suivi, impossibilité d'avoir une information fiable et véridique. Les conseillers racontent n'importe quoi pour se débarrasser de vous.
Je n'ai jamais vu un tel niveau chez un assureur. J'ai résilié tous mes contrats.
Je ne recommande surtout pas cette soit-disante assurance!!
</t>
  </si>
  <si>
    <t>28/04/2020</t>
  </si>
  <si>
    <t>michel-a-106892</t>
  </si>
  <si>
    <t>Très satisfait de mes contrats auto et habitation. Personnel en ligne réactif, tarifs intéressants,rien à redire. Je n'hésiterais pas à conseiller direct assurance à mon entourage.</t>
  </si>
  <si>
    <t>jonathan-96948</t>
  </si>
  <si>
    <t>Faites très attention il prenne 60euros de dossier plus 1mois d'assurance sans le recours de 15 jours possible.nenvoi jamais la carte verte.le pire il font tous sa sans que personne ne fait rien en France en toute impunité.une honte</t>
  </si>
  <si>
    <t>nico78-51346</t>
  </si>
  <si>
    <t>Rien à redire, assurance au top.
J'ai souscrit hyper rapidement, avec toutes les explications demandées avec une conseillère charmante.
Au moment de mon accrochage, tout à été très simple aussi. Prise en charge rapide et remboursement comme c'était prévu.</t>
  </si>
  <si>
    <t>16/01/2017</t>
  </si>
  <si>
    <t>julien-d-107038</t>
  </si>
  <si>
    <t>Parfais
service client a l ecoutes et tres gentille
rien a redire
prix attractif
je recommande direct assurance a toute personne souhaitant faire des economie</t>
  </si>
  <si>
    <t>marine-m-131059</t>
  </si>
  <si>
    <t xml:space="preserve">Je suis satisfaite des garanties, hormis optique qui est cher pour la prise en charge qui correspond.
Je suis très satisfaite de mon agence de Martigues. </t>
  </si>
  <si>
    <t>lauraaa-124507</t>
  </si>
  <si>
    <t xml:space="preserve">Je voulais me faire mon propre avis sur cet assureur et je suis servie. 
Je déclare un sinistre : bris de glace sur ma plaque de cuisson qui vaut 300€. J’indique que je n’ai malheureusement plus ma facture d’achat. J’appelle plusieurs professionnels pour un devis, qui ne souhaitent pas se déplacer pour un tel montant. 
J’appelle Allianz qui me propose de mettre en place une entreprise (Darty) pour un devis. J’ai attendu 3 semaines pour avoir un appel et après avoir appelé 3 fois Allianz pour les relancer. 
Vient donc enfin l’appel de Darty qui me dit que si je n’ai pas la référence de ma plaque de cuisson, un devis n’est pas possible. 
C’est totalement inadmissible. Je sais que d’autres assurances peuvent vous indemniser rapidement lorsque c’est nécessaire !! Je ne peux plus me faire à manger mais pour eux, je peux toujours me faire prélever mes mensualités. Nous ferions de mauvaise pub pour Allianz comptez sur nous. </t>
  </si>
  <si>
    <t>mb-111051</t>
  </si>
  <si>
    <t>à l'occasion d'un changement de voiture, FILIA-MAIF commence par facturer des frais qui ne sont pas dans le contrat. Elle est OK pour les ristourner suite à une réclamation de ma part mais émet ses prélèvements sans tenir compte de la ristourne. Je refuse donc un prélèvement et FILIA-MAIF a résilié tous mes contrats. Assureur soi-disant militant à éviter absolument car de mauvaise foi.</t>
  </si>
  <si>
    <t>gilbert-64550</t>
  </si>
  <si>
    <t>Pour l'instant, n'ayant eut aucun sinistre pendant ces 3 années de souscription, mise à part une réparation d'impact, je ne peux donner aucun avis sur la qualité de service en cas de problème..</t>
  </si>
  <si>
    <t>theghost-125296</t>
  </si>
  <si>
    <t xml:space="preserve">Satisfait de la Mutuelle
La Conseillère téléphonique Mme. Widad est à l'écoute et efficace en un mot: Professionnelle
Sinon RAS.                   
</t>
  </si>
  <si>
    <t>issouf-m'sa-b-109585</t>
  </si>
  <si>
    <t xml:space="preserve">Je suis plutôt satisfait de la prestation. Je suis par contre déçu de l'augmentation drastique du prix 400€ du fait que j'étais conducteur principal de la voiture de ma société. Mais je comprends que c'est le processus normal. </t>
  </si>
  <si>
    <t>matthieu-m-123291</t>
  </si>
  <si>
    <t>Facilité pour établir un devis, rapidité pour assurer un véhicule et réponse au téléphone rapide en cas de besoin.
J'espère que la communication sera toujours aussi simple.</t>
  </si>
  <si>
    <t>philippe-105659</t>
  </si>
  <si>
    <t>Une catastrophe. Ils considèrent des couronnes provisoires comme des protheses a part entière et suite à cela, ne remboursent pas les couronnes definitives parce que cela va au dessus du forfait de trois protheses par année de cotisation. Scandaleux</t>
  </si>
  <si>
    <t>labim-75849</t>
  </si>
  <si>
    <t>Bonne assurance au contact de ses clients, notamment grâce aux agences implantés dans toutes les villes.Je n'ai pas encore eu de sinistre mais pour le moment tout ce passe pour le mieux en espérant que ça dure.</t>
  </si>
  <si>
    <t>13/05/2019</t>
  </si>
  <si>
    <t>yahia-y-116024</t>
  </si>
  <si>
    <t xml:space="preserve">Je suis satisfait  du  service client et de la rapidité  du  traitement  des  informations  et du service  ainsi que la facilité  du traitement  des  dossiers </t>
  </si>
  <si>
    <t>04/06/2021</t>
  </si>
  <si>
    <t>de-oliveira-l-125267</t>
  </si>
  <si>
    <t>Bonjour je suis très satisfait du conseiller avec qui j'ai eu au téléphone bien explique et très correct  désolé de ma part appel coupé a la fin. Merci cordialement Oliveira</t>
  </si>
  <si>
    <t>bob-27841</t>
  </si>
  <si>
    <t xml:space="preserve">Assurance macif à eviter, incompetents et tres long delais d'indemnisation voir pas d'indemnisation ....
Le dimanche 14 janvier 2018 à 18:31 j"avais posté un avis signalant la désorganisation compléte et/ou l'incompétence des services de la macif.
Francois de leur sav m'avait recontacté pour se proposer de faire avancer mes remboursements !!!
Or depuis situation toujours bloquée, macif n'arrive plus à rembourser les victimes </t>
  </si>
  <si>
    <t>14/03/2018</t>
  </si>
  <si>
    <t>emma-v-105978</t>
  </si>
  <si>
    <t>Satisfaite du service client et la compréhension 
Prix résonable 
efficacité au niveau du travail
Juste un soucis au niveau de la pose de ma nouvelle vitre : elle a été brisé au moment de la rparation.</t>
  </si>
  <si>
    <t>francoise--100766</t>
  </si>
  <si>
    <t xml:space="preserve">La conseillère "FAIROUZ" m'a bien accompagné elle a répondu a toute mes questions  et je suis très contente de Santiane bonne continuation Bravo à vous </t>
  </si>
  <si>
    <t>29/11/2020</t>
  </si>
  <si>
    <t>ce-cilou-102817</t>
  </si>
  <si>
    <t>Contact téléphonique rapide, prix des garanties très intéressants et bonne prise en charge. En un mot : efficacité au top. Je recommande vivement MGP en mutuelle santé.</t>
  </si>
  <si>
    <t>18/01/2021</t>
  </si>
  <si>
    <t>momo67-67892</t>
  </si>
  <si>
    <t>Bonus à vie : un leurre. Je suis client à la MAAF depuis de nombreuses années (voiture avec bonus à vie 50 et habitation) Ayant eu 2 accidents de carrosserie dans les 5 dernières années (pas de tiers en cause, responsabilité totale) ma franchise de l'assurance tous risques voiture est doublée (de 300 à 600). Bien que mon coefficient BONUS/MALUS soit de 0,62 la MAAF refuse de m'assurer en cas d'achat d'une nouvelle voiture. En conclusion "ce n'est pas la MAAF que je préfère"</t>
  </si>
  <si>
    <t>19/10/2018</t>
  </si>
  <si>
    <t>Le service ressemble à des marchands de tapis.
200 euros plus chers que la concurrence ... Une fois mon contrat resilié, on me rappelle pour baisser le tarifs.
Je suis pourtant un client fidele... enfin je l'étais....</t>
  </si>
  <si>
    <t>pascale-53072</t>
  </si>
  <si>
    <t>Assuré depuis plus de 30 ans à la MACIF, nous n'avions rien à redire jusqu'à maintenant : conseillers très compétents, remboursements rapides. Depuis un ou deux ans, le service client se dégrade : les conseillers nous donnent de fausses informations qui ont des conséquences désastreuses sur notre bonus. Aucune tolérance au niveau des sinistres : à partir de 2 sinistres responsables (petits accrochages sans gravités), la MACIF nous a résilié le contrat auto.</t>
  </si>
  <si>
    <t>08/03/2017</t>
  </si>
  <si>
    <t>courtioux-e-132716</t>
  </si>
  <si>
    <t xml:space="preserve">Je suis satisfait du service et des informations qui m'ont été apporté. À voir dans le temps si les choses reste identique ou empire. Dans tout les cas je suis content. </t>
  </si>
  <si>
    <t>patrick-p-123905</t>
  </si>
  <si>
    <t>J'attends de voir avec le temps.J'ai eu du mal à me connecter hier car le SMS ne m'envoyait pas une bonne adresse,donc je n'ai pas réussi à valider le dossier hier.</t>
  </si>
  <si>
    <t>mamadou-s-122905</t>
  </si>
  <si>
    <t>Je suis satisfait de vos tarifs
Je suis satisfait de vos services
Je suis satisfait de votre rapidité
Je suis satisfait de votre réactivité
Je suis satisfait de la facilité d'accès</t>
  </si>
  <si>
    <t>olivia-93383</t>
  </si>
  <si>
    <t xml:space="preserve">Je suis satisfaite, premièrement un devis fait rapidement et en plus de ça, les prix sont plus que corrects! Je recommande et regrette même de ne pas m’y être intéressée plus tôt. </t>
  </si>
  <si>
    <t>07/07/2020</t>
  </si>
  <si>
    <t>jessica-98758</t>
  </si>
  <si>
    <t xml:space="preserve">Tout est fait pour ne pas payer...incompetence, pas de réactivité, de la mauvaise foi
Des cotisations payées dans le vide...
Carton rouge à Covea pour la protection juridique, interlocutrice junior qui ne comprend pas le dossier, frais d huissier pour constat urgent engagés car assurance pas réactive du tout, perte de temps a expliquer et réexpliquer et pas de remboursement des frais car serait considéré comme geste commercial par l assureur au mépris de l article 127-2-2 du code des Assurances qui stipule que l on peut engager des frais si urgence justifiée(justifié dans mon cas dans le constat d huissier)
</t>
  </si>
  <si>
    <t>asa59-66117</t>
  </si>
  <si>
    <t>Suite à une panne avec un véhicule d'occasion de moins de deux moins en octobre 2017, j'ai dû faire appel à la protection juridique de la matmut pour régler le litige avec le garagiste. Résultat,expertise faite en janvier 2018, rapport de l'expert dénonçant le garagiste (en faute) début février 2018. La protection juridique a renvoyé un courrier au garagiste lui réclamant un remboursement fin juin 2018 (pas avant). Entre temps, aucune nouvelle de leur part sur la tournure de l'affaire, les délais juridiques nécessaires. dans le flou total et de l'argent qui dort depuis près d'un an. A quoi ça sert de payer une assurance tous les mois si on se retrouve en difficulté quand il y a un problème</t>
  </si>
  <si>
    <t>10/08/2018</t>
  </si>
  <si>
    <t>laban-a-111187</t>
  </si>
  <si>
    <t xml:space="preserve">Le prix me convient mais malheureusement le bris de glace ne couvre pas le toit panoramique. Sinon satisfait du service en générale. Je recommande.   </t>
  </si>
  <si>
    <t>julie--d-131845</t>
  </si>
  <si>
    <t>Satisfait du service. Il est rapide, simple et efficace. Les pris sont bas. Je recommande. 
Direct assurance nous permet de ne pas avoir à passer en agence.</t>
  </si>
  <si>
    <t>cris-126991</t>
  </si>
  <si>
    <t xml:space="preserve">Suite à l'éboulement puis  l'effondrement d'un mur de soutènement, ma maison est en danger, je ne peux plus l'habiter, malgré un arrêté de catastrophe naturelle, cet assureur n'a rien fait... La banque qui m'a vendu cette assurance à résilier mon contrat à échéance pour sinistralité et Pacifica n'a rien voulu prendre en charge, je suis en procès.... C'est très long. Assurance Pacifica à fuir absolument. </t>
  </si>
  <si>
    <t>bebel-113930</t>
  </si>
  <si>
    <t>J'ai échangé avec Lamia qui a été super, et a répondu à mes demandes de façon efficace et professionnelle, c'est un plaisir d'avoir des interlocuteurs à l'écoute!</t>
  </si>
  <si>
    <t>muriel-c-126862</t>
  </si>
  <si>
    <t>JE suis satisfaite du service. Merci beaucoup . Pas facile de trouver une assurance , avec des mensualités . Je vais vous faire des recommandation , vers mes amis .</t>
  </si>
  <si>
    <t>nguyen-s-107824</t>
  </si>
  <si>
    <t>Il serait bienvenu de mettre en place des tarifs pour fidéliser vos clients plutôt que d'augmenter chaque année les cotisations sans motif pertinent.
Votre service client quant à lui est des plus efficace et sympathique.</t>
  </si>
  <si>
    <t>mazni-m-134634</t>
  </si>
  <si>
    <t xml:space="preserve">Je suis satisfait de se service et des prix je recommanderais cette assurance à mes amis , j'espère que notre collaboration durera pendant quelques années. </t>
  </si>
  <si>
    <t>27/09/2021</t>
  </si>
  <si>
    <t>situazola-g-121249</t>
  </si>
  <si>
    <t xml:space="preserve">Les prix me conviennent ainsi que les prestations proposées. 
Le conseiller par téléphone a été fort aimable.                                                                                                    </t>
  </si>
  <si>
    <t>parisko-71974</t>
  </si>
  <si>
    <t>Intervention supprimée à la demande de l'internaute.</t>
  </si>
  <si>
    <t>09/03/2019</t>
  </si>
  <si>
    <t>titi74-71520</t>
  </si>
  <si>
    <t>Ne rembourse pas sans facture mais n a jamais demander de facture, 2 sans être rembourser totalement et vu que mon dentiste et en retraite impossible davoir les facture. Réponde avec dédain au téléphone. Mutuelle obligatoire trop cher pour des remboursements minime et manque de serieux</t>
  </si>
  <si>
    <t>ph-r-105099</t>
  </si>
  <si>
    <t>Augmentations injustifiés malgré le bonus croissant.
Obligation d'utiliser le téléphone pour relevé de situation, les clients sont pris pour des imbéciles!</t>
  </si>
  <si>
    <t>maeva-93581</t>
  </si>
  <si>
    <t xml:space="preserve">Au secours la mauvaise foi !!!!
Nous sommes clients depuis toujours : voitures, moto. Il suffit d'une galère pour tout remettre en cause. Comme on le dit souvent, c'est dans l'adversité qu'on reconnaît ses vrais amis.
LA MATMUT N'EST CLAIREMENT PAS UN AMI.
Notre véhicule a été incendié volontairement par une personne non identifiable sur la caméra de surveillance d'un voisin et nous sommes traités comme  si cela était de notre faute alors que nous sommes les victimes.
La voiture est morte, nous n'avons plus de véhicule, nous continuons de payer le crédit, nous sommes toujours prélevés du montant de l'assurance, et nous devons partir en vacances dans trois semaines. Nous allons également devoir racheté un voiture cela va de soit…Aucun effort n'est fait !!! 
Premier compte rendu, l'expert valide un montant de remboursement.
Puis plus de nouvelles.
Inquiets nous appelons régulièrement pour qu'on nous annonce qu'il revient sur son expertise  à cause d'une mauvaise interprétation de la déclaration de votre voisin. 
Personne n'a pris contact avec nous, il a fallu aller à la pêche aux informations comme demander à nos voisins la copie de leur déclaration pour essayer de comprendre et eux même restent dans l'incompréhension totale de ce revirement de situation.
On nous demande d'envoyer la vidéo de surveillance par clé USB : 
1/ l'assurance n'est pas en droit de faire cette demande, elle a été fournie à la police mais nous sommes coopératifs
2/ j'ai dû me fâcher pour pouvoir envoyer un lien Wetransfert afin d'éviter des frais inutiles ainsi que la perte pendant le transport du support USB
D'un côté nous voulons faire avancer les choses, de l'autre, on cherche encore des excuses.
Notre voisin a indiqué dans sa déposition  « Mon voisin m'a informé que la porte conducteur de son véhicule n'était pas fermée car elle avait été forcée auparavant »
Explication :
Quand j'ai été réveillée par l'explosion du klaxonne, j'ai vu par la fenêtre que notre voiture était en feu et que la portière conducteur était grande ouverte et la vitre ne semblait pas cassée, mon mari s'en empressé de réveiller nos voisins pour qu'ils déplacent leur voiture garée à côté.
Donc oui la porte de la voiture était ouverte, cela ne veut pas dire qu'elle n'avait pas été verrouillée la veille.
L'incendiaire a :
-	soit crocheté la porte pour pénétrer dans la voiture 
-	ou peut-être avait-il une balise pour voiture a fermeture électronique, 
-	ou peut être que j'ai mal vu la vitre, il était 4h20, le réveil n'était pas des plus agréables, nous n'en savons rien.
Si la voiture avait déjà été forcée avant cette nuit-là, comme veut bien le faire croire l'expert, nous aurions déjà déposé plainte et fais les réparations. On ne laisse pas une voiture ouverte dans la rue !!!!!
De plus, nous sommes très perplexes sur les qualités d'expertises car comme indiqué  à la Matmut, la voiture se ferme automatiquement lorsque nous nous éloignions d'elle, les retros se rabattent les feux clignotent et un bip sonore se fait entendre,  impossible que la voiture soit restée ouverte !!!
Au même titre, il est impossible qu'une portière soit déverrouillée de façon isolée puisque l'ouverture est centralisée.
Si la porte était déjà endommagée, nous n'aurions pas pu fermer les autres portes alors qu'elles l'étaient, l'expert l'a confirmé.
En trois semaines, il y a eu une voiture incendiée par semaine dans la nuit de samedi a dimanche toujours entre 4h et 5h….
L'expert peut également demander à notre fils de 5 ans qui est complétement traumatisé, de lui expliquer la scène car dans la cohue, il a été réveillé. 
En somme, la Matmut est très à l'écoute quand il s'agit de souscrire une assurance, en cas de sinistre, prévoyez du prozac pour les crises de nerfs
Matmut, ma valeur sure qu'ils disent M D R
Beaucoup de courage aux opératrices </t>
  </si>
  <si>
    <t>09/07/2020</t>
  </si>
  <si>
    <t>cloup-l-113749</t>
  </si>
  <si>
    <t xml:space="preserve">Je suis très satisfaite du service client pour l'ouverture de mon contrat, service à l'écoute, simple, de très bon conseil et des prix intéressants. Je recommande </t>
  </si>
  <si>
    <t>ciborg-82088</t>
  </si>
  <si>
    <t xml:space="preserve">Bonjour,
Je voudrais savoir pourquoi les client sont-ils responsable des erreurs commis par les employés. Une simple erreur dans le numéro de dossier et plus de bonus vie </t>
  </si>
  <si>
    <t>19/12/2019</t>
  </si>
  <si>
    <t>diaviluka-j-124137</t>
  </si>
  <si>
    <t xml:space="preserve">Très satisfait pour l'ensemble des services, merci.
Je manquerai pas en parler au tour de moi des vos services. 
Continuez toujours dans ces procédures pour le meilleur. </t>
  </si>
  <si>
    <t>val45-122141</t>
  </si>
  <si>
    <t>Cette Multi risque habitation PACIFICA est un peu plus chère que les autres assureurs mais les garanties sont de loin TRES supérieures.
J'ai eu deux sinistres en une année glissante et je ne peux que dire PARFAIT : accueil, SAV, prise en charge... etc ....</t>
  </si>
  <si>
    <t>houda-a-116478</t>
  </si>
  <si>
    <t xml:space="preserve">Je suis très contente de la rapidité de la prise en charge des demandes ainsi de l accueil .
Je suis très contente des tarifs qui nous ont été proposés
Je vous recommanderais à mon entourage avec grand plaisir.
Merci beaucoup et Bravo
</t>
  </si>
  <si>
    <t>avion-lj-100046</t>
  </si>
  <si>
    <t>Après plusieurs années passées chez Eurofil, 2 sinistres non responsables, je leur ai communiqué récemment un changement d'adresse dans la même ville et la surprise! 40% d'augmentation, juste incompréhensible!
Chez Eurofil, on mutualise les pertes et prend les gens pour des cons!
A quoi bon avoir 50% de bonus?
A fuir!</t>
  </si>
  <si>
    <t>easyshopping2020-89676</t>
  </si>
  <si>
    <t>une assurance de pire en pire , qualite de service mediocre , des prix en hausse d'une annee a l'autre , bref , je ne souscrirais plus a direct assurance</t>
  </si>
  <si>
    <t>kaiwhai-60521</t>
  </si>
  <si>
    <t>Assurance peut fiable 1 sinistre pour un Dégât des eaux suite à une canalisation qui a sauter 3 mois pour faire passer un expert ect et 2 semaine plus tard je reçois une lettre qui nous dise qui mette un terme au contrat en date anniversaire ..</t>
  </si>
  <si>
    <t>15/01/2018</t>
  </si>
  <si>
    <t>patte-k-121898</t>
  </si>
  <si>
    <t>Je suis ravie pour le moment de vos services. Personnel à l’écoute de mes demandes et patient pour me répondre.
Merci pour cela.
Cordialement,
Madame Patté</t>
  </si>
  <si>
    <t>vanessa-l-126549</t>
  </si>
  <si>
    <t xml:space="preserve">Simple et efficace, c'est la seule assurance qui a su me proposer une assurance pas chère en tant que jeune permis. Je recommande Direct Assurance sans soucis </t>
  </si>
  <si>
    <t>nothing33-62106</t>
  </si>
  <si>
    <t>Assuré pendant 2 ans pour mon véhicule secondaire, j'ai vendu le véhicule en novembre 2017, et résilié le contrat d'assurance dans la foulée, résiliation confirmée par mail. Mais l'olivier n'a pas arrêté les prélèvements, et fait aujourd'hui la sourde oreille, que ce soit par mail ou par téléphone. Je crains de devoir lancer des poursuites pour obtenir la résiliation et les remboursements.
Extrêmement dommage que cela se termine ainsi, j'ai été plutôt satisfait avant cette histoire de résiliation.</t>
  </si>
  <si>
    <t>07/03/2018</t>
  </si>
  <si>
    <t>marie-117702</t>
  </si>
  <si>
    <t>Très bonne interlocutrice, pour la citer, Dora, explications très claire et opérationnelles. Cette personne m à aider à connecter sur mon espace client alors que je n y arrivais pas, merci Dora</t>
  </si>
  <si>
    <t>jeremy-88448</t>
  </si>
  <si>
    <t>En  ses temps de coronavirus, confiné a la maison avec 2 enfants a charge donc en arrêt maladie pour la sécurité sociale  pour les garder mes 2 enfants  (ma femme fait partie des personnes  soignanttous ces  malades ). Swisslife m'apprend que ce type d'arrêt maladie , n'est pas couverte par mon assurance prévoyance que j'ai souscrit en cas d'arrêt maladie ! on marche sur la tête chez SwissLife ! une seul chose a dire vous êtes des vendeur de vent !</t>
  </si>
  <si>
    <t>20/03/2020</t>
  </si>
  <si>
    <t>fad-80363</t>
  </si>
  <si>
    <t>Mon interlocuteur a été très clair et respectueux. il a été précis. La mutuelle m'a l'air convenable et le service client a réponse à  chaque demande.</t>
  </si>
  <si>
    <t>francois--102548</t>
  </si>
  <si>
    <t xml:space="preserve">Bonjour assuré chez eux suite à un changement de véhicule je demande un devis pour une seat ibiza 150 CV neuve celui-ci me convient donc je ne m'en préoccupe plus sachant que je travaille de nuit l'après-midi même de l'achat il me dise pas pouvoir  assurer ce type de véhicule alors que j'ai reçu le devis par mail et courrier Et en plus ils ont le culo de me dire que si je prends une deuxième assurance ça pourrait débloquer la chose extraordinaire !!!! Assurance MAFF Comptez sur moi pour vous faire de la publicité Sur vos méthodes de chantage </t>
  </si>
  <si>
    <t>christophe-c-106224</t>
  </si>
  <si>
    <t>Globalement satisfait. Par contre je n'arrive pas à accéder aux Conditions Spéciales sur le site internet, notamment sur les conditions pour l'Assistance; Elles ne s'y trouvent pas</t>
  </si>
  <si>
    <t>marie-116638</t>
  </si>
  <si>
    <t xml:space="preserve">Horrible!! Je travaille chez lidl et j'ai aucun remboursement mais il mon prélevée 100 mais toujours aucun remboursement en 4 mois d'attente et je ne peux pas partir de la bah sauf si je quitte mon travaille </t>
  </si>
  <si>
    <t>comique-110927</t>
  </si>
  <si>
    <t>Bon forfait médecine douce mais il faudrait pouvoir l'augmenter car les dépenses sont de plus en plus importantes en médecine douce.
Forfait optique insuffisant: correction très très importante = hors "grilles" pour les verres chez les opticiens</t>
  </si>
  <si>
    <t>tommy--98579</t>
  </si>
  <si>
    <t xml:space="preserve">Méfiez vous, des incompétents,  envoie de email ils ne répondent jamais,  ni au téléphone, quand  j'ai réussi à avoir quelqu'un au bout d'une semaine ( je n'exagère en rien) et après plusieurs minutes passées à attendre qu'on me réponde, la conseillère me met en attente durant 20 min et ce qui devait arriver  arriva, tous nos conseillers  sont en ligne et paf on te raccroche  au nez, pitié  fuyez tant qu'il est encore temps. </t>
  </si>
  <si>
    <t>10/10/2020</t>
  </si>
  <si>
    <t>raddadi-50635</t>
  </si>
  <si>
    <t>le courtier a transférer mon dossier à un autre courtier sans que je signe avec lui aucun engagement et en plus il à diminué le bonus et continuait à faire des prélèvements malgré que j'ai protesté au début mais après j'étais obligé de résilier le contrat et faire opposition aux prélèvements mensuels.
Avant, il y avait le renouvellement automatique. Puis la loi Chatel, véritable bénédiction pour les assurés, a obligé les assureurs à prévenir ces derniers de leur droit annuel à la résiliation d'un contrat.
La loi Hamon va apporter encore plus de liberté pour l'assuré : au bout d'un an de souscription d'une assurance auto, moto ou habitation, il sera libre de résilier son contrat quand il le souhaite.</t>
  </si>
  <si>
    <t>24/12/2016</t>
  </si>
  <si>
    <t>poupy49-99024</t>
  </si>
  <si>
    <t xml:space="preserve">J'ai accouché le 27 juillet, nous sommes le 21 octobre et mon enfant n'est toujours pas couverte par harmonie... Je paie le reste a charge pour les soins courant et prie pour qu'elle n'est pas de problème de santé nécessitant une hospitalisation.  La personne qui s'occupe de mon dossier ne me donne plus signe de vie et ne me rappelle plus... Je déconseille fortement ! Tant que vous ne demandez rien de trop compliqué cela ira. </t>
  </si>
  <si>
    <t>petitreib-64312</t>
  </si>
  <si>
    <t xml:space="preserve">je suis depuis longtemps cliente néoliane et très satisfaite je ne changerais pas et j'ai toujours été bien accueillie et j'ai eu une réponse à mes sollicitations </t>
  </si>
  <si>
    <t>30/05/2018</t>
  </si>
  <si>
    <t>simsim-78363</t>
  </si>
  <si>
    <t xml:space="preserve">contrat fait le 18/09/2018 paiement 2 mois d'avance preleve len septembre debut des prelevement octobre a juillet cela fait 10 prelevements soit au total 12 mois normalement il ne doit avoir de prelevement au mois d'aout mais vous faites le prelevement du nouveau contrat qui normalement doit etre au mois de septembre,a ce jpur vous me devez la somme de 53.10,sans reponse de votre part je transmets tous les documents a 50 millions de consommeteurs dont je suis membre.
Deplus je vous est fait un mail le 22 juillet et le 08 aout toujours sans reponse </t>
  </si>
  <si>
    <t>sabine-a-123592</t>
  </si>
  <si>
    <t>parfait je suis très satisfaite des services de direct assurance les personnes que nous avons au téléphone sont toujours très réactives et efficaces merci</t>
  </si>
  <si>
    <t>babe-107525</t>
  </si>
  <si>
    <t xml:space="preserve">Si je pouvais mettre O étoile !!!! 
J'ai fait une demande de retrait partiel le 16 mars au soir - En cours de traitement seulement le 18 mars, et toujours en cours le 22 mars !!!! Il s'agit non seulement de MON pognon mais aussi d'une urgence !!! Pour info, mon contrat Actifonds est en support euro, donc pas de prétexte de "revente" de parts. Une fois le traitement fait, il faudra encore attendre le virement !!!!!!!! Aucune possibilité pour les joindre (que ce soit par téléphone ou tchat). Je prévois donc de faire un retrait partiel chaque année jusqu'à un solde à 0€.......
</t>
  </si>
  <si>
    <t>tine-139627</t>
  </si>
  <si>
    <t>Très mécontente
4 numéros de 4 services, jamais la même personne. Pas sérieux. Te disent avoir fait alors que ce n est pas fait. Je dois donc payer des frais de gardiennage pour mon véhicule alors que j ai appeler le lendemain du sinistre.
Disent rappeler le samedi mais ne le font pas(évidemment. ils ne bossent pas le samedi)
Et si tu veux connaître le passage de l expert, je pensais que l on me tiendrait informer et bien non,c est à moi de téléphoner et au bon numéro bien sûr....
Donc assurance qui ne sert à rien. 
Je n y resterai qu'une année</t>
  </si>
  <si>
    <t>gobath-69956</t>
  </si>
  <si>
    <t>La GMF va résilier mon contrat auto à échéance. On me reproche d'avoir déclaré trop de sinistres: 3 au total depuis que je suis sociétaire (2016), dont UN SEUL RESPONSABLE !!! C'est à mourir de rire.</t>
  </si>
  <si>
    <t>06/01/2019</t>
  </si>
  <si>
    <t>esther-139348</t>
  </si>
  <si>
    <t xml:space="preserve">Très bon agent qui a su répondre à mes questions et attente personne très réactive et a l écoute merci de votre gentillesse 
Cordialement 
Mme SImoens Esther </t>
  </si>
  <si>
    <t>10/11/2021</t>
  </si>
  <si>
    <t>catherine-d-126347</t>
  </si>
  <si>
    <t>Très bien. Tarifs très compétitifs, Interface client bien fait et très clair. Je reste un client attaché à votre compagnie et j'espère que vous avez prévu des avantages pour les bons clients!</t>
  </si>
  <si>
    <t>francois-xavier-122753</t>
  </si>
  <si>
    <t>Bris de glace avec assurance tout risque.
On attend le remboursement de notre bris de glace depuis presque un mois. L'olivier ne rembourse toujours pas car PORSCHE ne communique pas de bon de livraison du pare-brise, c'est vrai que c'est de la responsabilité du client. Ils ont été prévenu du sinistre dans les règles, ils ont la facture acquittée, le ticket de paiement de carte bleue (obligatoire pour eux en plus de la facture acquittée sinon pas de remboursement). Vous demandez des documents inutiles et que tout assurance auto autre ne demande jamais pour décourager le remboursement soit. Je dépense plus de 5000 euros d'assurance auto chez vous chaque année à travers deux contrats. La souscription est aisée mais pour le remboursement, on sent que cette assurance ne semble pas très encline à vous dédommager de votre sinistre, tout les prétextes sont bons en tout cas... c'est pas sérieux.</t>
  </si>
  <si>
    <t>jonathan-d-116885</t>
  </si>
  <si>
    <t>Dommage que cela ait été racheté par Direct Assurance, le service client est beaucoup moins facilement joignable depuis. Les prix restent très corrects cependant, en revanche la franchise en cas de bris de glace est exorbitante.</t>
  </si>
  <si>
    <t>13/06/2021</t>
  </si>
  <si>
    <t>feden-135666</t>
  </si>
  <si>
    <t>Catastrophique de mon inscription à mes tentatives de résiliations. Que ça soit pour enregistrer mon adresse postale (qu'ils ont carrément inventée), a ma tentative d'affiliation de mon enfant (moult courriels, zéros réponses) jusqu'à mes tentatives de départs. Entreprise fantôme. Personne n'est là pour assurer un quelconque suivi ou répondre à vos questions. Et toujours la sempiternelle "réponse" : un conseiller va rapidement prendre contact avec vous. Quel conseiller ? Y'a PERSONNE chez Harmonie. D'autre  part c'est la seule mutuelle qui me laissait systématiquement avec un "reste à payer" à la pharmacie. Fuyez !</t>
  </si>
  <si>
    <t>fredlrx-50459</t>
  </si>
  <si>
    <t>Très mauvaise considération du client ! c'est honteux !</t>
  </si>
  <si>
    <t>19/12/2016</t>
  </si>
  <si>
    <t>katia-a-111958</t>
  </si>
  <si>
    <t>première adhésion on verra bien la suite..................Pas d'autres avis pour l'instant! on verra dans un an si une nouvelle négociation est possible</t>
  </si>
  <si>
    <t>assuranceinutile54-59452</t>
  </si>
  <si>
    <t xml:space="preserve">Je vais être très clair c’est une assurance nulle car je vois qu’en demandant une aide juridique suite à une assignation au tribunal par un tiers ils recherchent la petite bête ou la faille pour dire que vous avez tort c’est à dire qu’ils jugent avant la décision judiciaire ceci afin de ne pas vous assurer de protection. C’est aberrant et honteux, si on obtient gain de cause au tribunal on devrait pouvoir les attaquer pour incompétences et défaut d’aide ce pourquoi on s’etait assuré et payé des cotisations </t>
  </si>
  <si>
    <t>06/12/2017</t>
  </si>
  <si>
    <t>cyril-a-122596</t>
  </si>
  <si>
    <t xml:space="preserve">Parfait échange avec le service client au top.
Devis refait à plusieurs reprise, avec le service client et toujours à l'écoute de nos demande je recommande tarif juste au prix du marché </t>
  </si>
  <si>
    <t>mensawer-77300</t>
  </si>
  <si>
    <t xml:space="preserve">Pour un sinistre non responsable il suffit que la parti responsable de l'accident nie les faits et vous ne serez pas indemnisé. J'avais pourtant envoyé un tas de photo mais le service client m'a bien fait comprendre que sans témoins on je pouvait rien faire. J'ai juste bien compris qu'ils voulaient clore le dossier.(1906989)
Deuxième sinistre. Une voiture me rentre dedans, constat à l'amiable fait. Le responsable est identifié et reconnaît les faits. Réponse de l'assurance ? Pas d'indemnisation (1918973).
Low cost mais également low service. A fuir </t>
  </si>
  <si>
    <t>03/07/2019</t>
  </si>
  <si>
    <t>maxime-l-133799</t>
  </si>
  <si>
    <t>Je n'ai pas trouvé mieux niveau tarif, les franchises sont quasi identiques que celles des concurrents.
L'inscription est simple et rapide.
la seule appréhension sera de vérifier le service client en cas de sinistre (ce que je ne me souhaiter pas  )</t>
  </si>
  <si>
    <t>madie-64991</t>
  </si>
  <si>
    <t>L'efficacité et l'amabilité des conseillers. Si vous n'arrivez pas à les joindre ils vous rappellent dans les plus brefs délais.</t>
  </si>
  <si>
    <t>22/06/2018</t>
  </si>
  <si>
    <t>eddy-l-129303</t>
  </si>
  <si>
    <t>TARIF BIEN PLUS RAISONNABLE QUE MA PRECEDENTE ASSURANCE . tarif presque 2 fois moins cher pour les mêmes garanties , souscription simple en ligne. site agréable et claire.</t>
  </si>
  <si>
    <t>emilie-v-117131</t>
  </si>
  <si>
    <t>Je suis chez direct assurance depuis plus de 3ans et je peux dire que je suis très satisfaite du service client, réponses claires et rapides, conseillers à l'écoute.</t>
  </si>
  <si>
    <t>cyrille-p-107449</t>
  </si>
  <si>
    <t>je suis satisfait les prix me conviennent la loi Hamon c'est très bien
nous avons 2 véhicules assurés chez direct assurance
nous verrons comment cela se passe en cas de sinistre</t>
  </si>
  <si>
    <t>abdelaziz-f-132820</t>
  </si>
  <si>
    <t>Je suis satisfait de direct assurance... les prix le conviennent. Le service client est irréprochable ....je recommande direct assurance Pour ses qualités d’assureur</t>
  </si>
  <si>
    <t>thibault-d-117784</t>
  </si>
  <si>
    <t>Si, intérieurement nous ne sommes pas en plénitude, éternel insatisfait
exigeant toujours plus, comment imaginer être heureux ?
Il manquera toujours une pierre à l'édifice.
le bonheur ne peut être soumis aux aléas matériels.
Il doit être libre de tout désir.</t>
  </si>
  <si>
    <t>sylvie-m-112767</t>
  </si>
  <si>
    <t>je trouve les franchises trop importantes mais globalement le prix est convenable. Je ne vois rien d'autre à dire sinon le fait que la gestion sinistre est bonne.</t>
  </si>
  <si>
    <t>louciole-139474</t>
  </si>
  <si>
    <t xml:space="preserve">Très bonne mutuelle, j'y suis fidèle depuis 1991. Les contacts téléphoniques sont toujours parfaits et les réponses aux questions sont fluides.  Les conseillères sont toujours trés aimables et professionnelles. Je conseille cette mutuelle. </t>
  </si>
  <si>
    <t>marie59620-76554</t>
  </si>
  <si>
    <t>On m'a rentré dans le véhicule, un impact et une griffe : indemnisation 15 euros
J'ai changé de formule de garantie et de paiement  ... le nécessaire n'a pas été fait. résiliée pour défaut de paiement de 667.35 . avec la lettre de résiliation un chèque de trop perçu de 633.84 . Il me restait donc à la date du 2 mai 34 euros à payer pour la période allant du 2 mai au 31/12/2019. La conseillère, qui avait oublié de couper le combiné, a dit à sa collègue je cite " on a rien à foutre que ce soit 20 ou 400 euros . Pour nous c'est pareil. Et après d'une voix douce et compréhensive , vous comprenez madame, ... blablabla . Je lui ai dit de ne pas se fatiguer, que j'avais entendu sa conversation avec sa collègue. Après 30 ans de fidélité ... Bravo !</t>
  </si>
  <si>
    <t>06/06/2019</t>
  </si>
  <si>
    <t>patrick-z-104979</t>
  </si>
  <si>
    <t xml:space="preserve">Bonjour
Continuer comme cela pour moi c est parfait.
 Bonne réactivité. Support internet très bien fait .   Contact par tph très rapide.
Contact au téléphone, personnel aimable et compétent. 
Cordialement   </t>
  </si>
  <si>
    <t>vincent-l-113495</t>
  </si>
  <si>
    <t>Les tarifs ne sont plus intéressants pour les anciens clients. Seuls les tarifs pour les nouveaux clients sont compétitifs! Mais attention vous perdez du terrain par rapport à vos concurrents  qui présentent des garanties plus attractives!</t>
  </si>
  <si>
    <t>mds-78253</t>
  </si>
  <si>
    <t xml:space="preserve">A éviter !!! Besoin d aide !!!! 
Voilà bientôt 3 ans j ai subis un grave accident de la route. Depuis cette date aucun paiement, malgré mes nombreux envoi de document. Le gestionnaire de généralie qui est multi impact m annonce dès delai de traitement de 2 à 3 mois. Pour me dire qu'il me manque des documents. On me demande toujours d'autres document! Mais jamais aucun paiement. Je suis dans une détresse financière et j ai besoin que l'assurance fasse Sont travail.
C est une honte de traité ses assurée ainsi. 
Si moi j'arrête De payer mes cotisations, on saura me le faire savoir! Mais de l'autre coter aucun recourt.
Peut ton me dire comment faire pour avancer mon dossier ?????? De façon très urgente </t>
  </si>
  <si>
    <t>ab38-102021</t>
  </si>
  <si>
    <t>Des interlocuteurs qui parlent mal le français, qui comprennent les questions une fois sur deux...
Un prélèvement n'a pas été présenté à ma banque, ils me certifient le contraire et affirment que ce prélèvement a été rejeté: FRAIS DE RECOUVREMENT 18 euros?!?!?!
Axa assurances en ligne, c'est à éviter à tout prix!!!
Un assuré AXA qui ne le restera pas longtemps.</t>
  </si>
  <si>
    <t>30/12/2020</t>
  </si>
  <si>
    <t>fabien-f-131099</t>
  </si>
  <si>
    <t>Bonjour en étant nouveau client pour l'instant je suis satisfait des prix pour le service client je verrai par la suite toutes mes salutations distinguées bonne journée au revoir et caractère</t>
  </si>
  <si>
    <t>quentin-r-122033</t>
  </si>
  <si>
    <t xml:space="preserve">Je suis  satisfaite pour l instant et le prix n'est pas trop cher avoir si après sa sera toujours comme ça  sans problème et  que l on peut vous contacter sans problème 
Merci  cordialement 
</t>
  </si>
  <si>
    <t>nad-85583</t>
  </si>
  <si>
    <t>surtout ne pas avoir plus d'un sinistre!!!!!!!car au bout du deuxième l'accueil n'est plus du tout le même</t>
  </si>
  <si>
    <t>07/01/2020</t>
  </si>
  <si>
    <t>assureabuse-108284</t>
  </si>
  <si>
    <t>Quand subir le choix d'une mutuelle santé imposé par son employeur s'avère être une galère !
Mercer est à fuir ! Ils ne traitent pas les remboursements de frais de santé malgré les transmissions Noémie de la CPAM. Il faut leur envoyer des messages avec copies de factures. 
Vous attendez un temps fou au téléphone avant d'avoir un conseiller. Vous lui exposez le problème, il dit qu'il va traiter mais il ne se passe rien des semaines après l'appel.
J'ai souscrit une sur-complémentaire auprès de Mercer. Ils vous envoient un échéancier avec solde débiteur sans explication. En vérité, le solde débiteur correspond à une augmentation de leurs tarifs qu'ils ont décidé à effet rétroactif sur 14 mois ! Et pour le comprendre il faut les avoir au téléphone car l'échéancier ne précise rien !
Mercer fait apparemment partie du GAN. Si le GAN traite par dessus la jambe ses clients assurance comme le fait sa filiale santé alors c'est le groupe qui est à fuir. Pour ma part je ne souscrirai jamais de contrat d'assurance auprès de ce groupe ! Et si mon employeur pouvait choisir une autre mutuelle ce ne serait que du bonheur car pire que Mercer j'espère qu'il n'y a pas !</t>
  </si>
  <si>
    <t>marc-a-132514</t>
  </si>
  <si>
    <t>J'ai un contrat auto que je n'ai pas pu résilier car je l'ai rendu à sa propriétaire. Je n'ai jamais été le titulaire de la carte grise et pourtant, il a fallu que j'assure ce véhicule jusqu'à la date anniversaire du contrat. C'est très moyen de mon point de vue.</t>
  </si>
  <si>
    <t>ginger-87108</t>
  </si>
  <si>
    <t>Le véhicule de ma mère assuré tous risques a été percuté durant la nuit en stationnement dans la rue. Dépôt de plainte au commissariat du quartier et contact avec l'expert de la macif. Réponse de celui ci : suite a ma visite j'estime que votre véhicule  était en train de rouler pour recevoir un tel choc. Nous ne pouvons pas donner suite a votre demande, faire une fausse déclaration peut vous conduire devant la justice. Donc vu le prix de la réparation, ma mère ne peux pas la faire réparer. En résumé, MACIF assurance pas chère, mais il ne faut pas avoir de sinistre.</t>
  </si>
  <si>
    <t>13/02/2020</t>
  </si>
  <si>
    <t>delfyn59-49711</t>
  </si>
  <si>
    <t xml:space="preserve">Assuré  depuis 4 ans à direct assurance et s apercevoir que c'est pas le bon véhicule! !Merci direct assurance </t>
  </si>
  <si>
    <t>29/11/2016</t>
  </si>
  <si>
    <t>nonoflo2-96523</t>
  </si>
  <si>
    <t>Très bon assureur, personnel aimable, remboursement rapide', coût très correct. Donc  aucune raison de changer pour le moment.  Toutes nos assurances sont chez à la GMF</t>
  </si>
  <si>
    <t>20/08/2020</t>
  </si>
  <si>
    <t>bibi-81533</t>
  </si>
  <si>
    <t>impossible de se connecter avec mes identifiants. Le telephone du correspondant toujours occupé. Communication nulle. 200 caractères obligés ? Le logiciel devrait afficher le nombre de caracteres, c'est n'importe quoi.</t>
  </si>
  <si>
    <t>02/12/2019</t>
  </si>
  <si>
    <t>even56-53655</t>
  </si>
  <si>
    <t>Très déçu de cette mutuelle aucune communication sauf pour réclamer justificatifs et autres documents pour retarder les remboursements. Service client nul et contrairement au autres mutuel payant</t>
  </si>
  <si>
    <t>28/03/2017</t>
  </si>
  <si>
    <t>aucoin-v-137734</t>
  </si>
  <si>
    <t>tout est correct pour la mise en service.
la personne au telephone etait tres aimable et m'a bien rensigné. 
j,espere que la suite sera aussi professionnelle.</t>
  </si>
  <si>
    <t>afef-54050</t>
  </si>
  <si>
    <t xml:space="preserve">UN CONSEIL FUYEZ LES COURTIERS ET LIRE ATTENTIVEMENT LES PETITES LIGNES!!
j'espère donc une résiliation et l'annulation de ma mutuelle ...en tous cas j'irai jusqu'au bout, je ne lâche rien
</t>
  </si>
  <si>
    <t>13/04/2017</t>
  </si>
  <si>
    <t>patrice-63215</t>
  </si>
  <si>
    <t>POUR LE MOMENT JE SUIS SATISFAIT DE CETTE MUTUELLE</t>
  </si>
  <si>
    <t>12/04/2018</t>
  </si>
  <si>
    <t>benjamin-d-111262</t>
  </si>
  <si>
    <t>Le service et l'accompagnement sont de très bonne qualité : simple, efficace et clair. Les garanties proposées sont en accord avec les équivalences imposées par les organismes bancaires</t>
  </si>
  <si>
    <t>geal-136804</t>
  </si>
  <si>
    <t>La pire assurance dans laquelle j'ai été.
Doublement du prix au bout d'un an ans préavis et sans raison. 
Non prise en compte des documents de résiliation pour faire payer plus longtemps.
Service téléphonique pitoyable, il faut expliquer 40 fois aux personnes au téléphone le problème pour qu'au final ils ne comprennent rien.
Un seul conseil, fuyez cette assurance !!!</t>
  </si>
  <si>
    <t>09/10/2021</t>
  </si>
  <si>
    <t>castanho-p-108077</t>
  </si>
  <si>
    <t>Je suis satisfe. Le prix ça me convien. Pas cher. Le sisteme il et trez bon. J' espere continue ici avec cette terif et voir pour la assurance maison.</t>
  </si>
  <si>
    <t>kathalina--p-135739</t>
  </si>
  <si>
    <t>Très bien, bonne rapidité je recommande vivement, efficace et réactivité très bonne très facile à utiliser pour les utilisateurs non aguerris merci à vous</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</si>
</sst>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sz val="11.0"/>
      <color theme="1"/>
      <name val="Calibri"/>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24.43"/>
    <col customWidth="1" min="4" max="26" width="8.71"/>
  </cols>
  <sheetData>
    <row r="1">
      <c r="A1" s="1" t="s">
        <v>0</v>
      </c>
      <c r="B1" s="1" t="s">
        <v>1</v>
      </c>
      <c r="C1" s="1" t="s">
        <v>2</v>
      </c>
      <c r="D1" s="1" t="s">
        <v>3</v>
      </c>
      <c r="E1" s="1" t="s">
        <v>4</v>
      </c>
      <c r="F1" s="1" t="s">
        <v>5</v>
      </c>
      <c r="G1" s="1" t="s">
        <v>6</v>
      </c>
      <c r="H1" s="1" t="s">
        <v>7</v>
      </c>
      <c r="I1" s="2" t="s">
        <v>8</v>
      </c>
      <c r="J1" s="1" t="s">
        <v>9</v>
      </c>
      <c r="K1" s="1" t="s">
        <v>10</v>
      </c>
    </row>
    <row r="2">
      <c r="A2" s="3">
        <v>4.0</v>
      </c>
      <c r="B2" s="3" t="s">
        <v>11</v>
      </c>
      <c r="C2" s="3" t="s">
        <v>12</v>
      </c>
      <c r="D2" s="3" t="s">
        <v>13</v>
      </c>
      <c r="E2" s="3" t="s">
        <v>14</v>
      </c>
      <c r="F2" s="3" t="s">
        <v>15</v>
      </c>
      <c r="G2" s="3" t="s">
        <v>16</v>
      </c>
      <c r="H2" s="3" t="s">
        <v>17</v>
      </c>
      <c r="I2" s="3" t="str">
        <f>IFERROR(__xludf.DUMMYFUNCTION("GOOGLETRANSLATE(C2,""fr"",""en"")"),"New member and having been in contact with Pope, I am completely satisfied with the answers provided, his listening and her patience. Aline Louvet.")</f>
        <v>New member and having been in contact with Pope, I am completely satisfied with the answers provided, his listening and her patience. Aline Louvet.</v>
      </c>
    </row>
    <row r="3">
      <c r="A3" s="3">
        <v>1.0</v>
      </c>
      <c r="B3" s="3" t="s">
        <v>18</v>
      </c>
      <c r="C3" s="3" t="s">
        <v>19</v>
      </c>
      <c r="D3" s="3" t="s">
        <v>20</v>
      </c>
      <c r="E3" s="3" t="s">
        <v>21</v>
      </c>
      <c r="F3" s="3" t="s">
        <v>15</v>
      </c>
      <c r="G3" s="3" t="s">
        <v>22</v>
      </c>
      <c r="H3" s="3" t="s">
        <v>23</v>
      </c>
      <c r="I3" s="3" t="str">
        <f>IFERROR(__xludf.DUMMYFUNCTION("GOOGLETRANSLATE(C3,""fr"",""en"")"),"Latable telephone service, impossibility of having an answer on career updating for more than 8 months, and the only response to the phone refers to ""a transmission to the competent services"", without taking into account the request, and without commitm"&amp;"ent on a response time.
Refusal to transmit or give the contact details of a manager, no indication of the complaint service.
It is scandalous in 2021 that this type of operation can still exist.")</f>
        <v>Latable telephone service, impossibility of having an answer on career updating for more than 8 months, and the only response to the phone refers to "a transmission to the competent services", without taking into account the request, and without commitment on a response time.
Refusal to transmit or give the contact details of a manager, no indication of the complaint service.
It is scandalous in 2021 that this type of operation can still exist.</v>
      </c>
    </row>
    <row r="4">
      <c r="A4" s="3">
        <v>5.0</v>
      </c>
      <c r="B4" s="3" t="s">
        <v>24</v>
      </c>
      <c r="C4" s="3" t="s">
        <v>25</v>
      </c>
      <c r="D4" s="3" t="s">
        <v>26</v>
      </c>
      <c r="E4" s="3" t="s">
        <v>27</v>
      </c>
      <c r="F4" s="3" t="s">
        <v>15</v>
      </c>
      <c r="G4" s="3" t="s">
        <v>28</v>
      </c>
      <c r="H4" s="3" t="s">
        <v>29</v>
      </c>
      <c r="I4" s="3" t="str">
        <f>IFERROR(__xludf.DUMMYFUNCTION("GOOGLETRANSLATE(C4,""fr"",""en"")"),"I am very satisfied with all the services offered by the GMF. I have been a customer for many years and have never had to complain.")</f>
        <v>I am very satisfied with all the services offered by the GMF. I have been a customer for many years and have never had to complain.</v>
      </c>
    </row>
    <row r="5">
      <c r="A5" s="3">
        <v>4.0</v>
      </c>
      <c r="B5" s="3" t="s">
        <v>30</v>
      </c>
      <c r="C5" s="3" t="s">
        <v>31</v>
      </c>
      <c r="D5" s="3" t="s">
        <v>32</v>
      </c>
      <c r="E5" s="3" t="s">
        <v>14</v>
      </c>
      <c r="F5" s="3" t="s">
        <v>15</v>
      </c>
      <c r="G5" s="3" t="s">
        <v>33</v>
      </c>
      <c r="H5" s="3" t="s">
        <v>34</v>
      </c>
      <c r="I5" s="3" t="str">
        <f>IFERROR(__xludf.DUMMYFUNCTION("GOOGLETRANSLATE(C5,""fr"",""en"")"),"I am satisfied the price suits me very well I knew April thanks to my work colleagues and their thanks very much have to be registered with you me it suits me very well")</f>
        <v>I am satisfied the price suits me very well I knew April thanks to my work colleagues and their thanks very much have to be registered with you me it suits me very well</v>
      </c>
    </row>
    <row r="6">
      <c r="A6" s="3">
        <v>4.0</v>
      </c>
      <c r="B6" s="3" t="s">
        <v>35</v>
      </c>
      <c r="C6" s="3" t="s">
        <v>36</v>
      </c>
      <c r="D6" s="3" t="s">
        <v>37</v>
      </c>
      <c r="E6" s="3" t="s">
        <v>27</v>
      </c>
      <c r="F6" s="3" t="s">
        <v>15</v>
      </c>
      <c r="G6" s="3" t="s">
        <v>38</v>
      </c>
      <c r="H6" s="3" t="s">
        <v>39</v>
      </c>
      <c r="I6" s="3" t="str">
        <f>IFERROR(__xludf.DUMMYFUNCTION("GOOGLETRANSLATE(C6,""fr"",""en"")"),"..I.... . Nickel for the moment, no sinister we will see in use..L Home and reactivity ok Personal rather nice. And listening price well place ..........; ... ....")</f>
        <v>..I.... . Nickel for the moment, no sinister we will see in use..L Home and reactivity ok Personal rather nice. And listening price well place ..........; ... ....</v>
      </c>
    </row>
    <row r="7">
      <c r="A7" s="3">
        <v>1.0</v>
      </c>
      <c r="B7" s="3" t="s">
        <v>40</v>
      </c>
      <c r="C7" s="3" t="s">
        <v>41</v>
      </c>
      <c r="D7" s="3" t="s">
        <v>42</v>
      </c>
      <c r="E7" s="3" t="s">
        <v>14</v>
      </c>
      <c r="F7" s="3" t="s">
        <v>15</v>
      </c>
      <c r="G7" s="3" t="s">
        <v>43</v>
      </c>
      <c r="H7" s="3" t="s">
        <v>44</v>
      </c>
      <c r="I7" s="3" t="str">
        <f>IFERROR(__xludf.DUMMYFUNCTION("GOOGLETRANSLATE(C7,""fr"",""en"")"),"Still no answers to emails sent no refund never take this mutual. They are unable to manage anything and even claim to manage your placements so beware you are not honest go your way")</f>
        <v>Still no answers to emails sent no refund never take this mutual. They are unable to manage anything and even claim to manage your placements so beware you are not honest go your way</v>
      </c>
    </row>
    <row r="8">
      <c r="A8" s="3">
        <v>1.0</v>
      </c>
      <c r="B8" s="3" t="s">
        <v>45</v>
      </c>
      <c r="C8" s="3" t="s">
        <v>46</v>
      </c>
      <c r="D8" s="3" t="s">
        <v>47</v>
      </c>
      <c r="E8" s="3" t="s">
        <v>48</v>
      </c>
      <c r="F8" s="3" t="s">
        <v>15</v>
      </c>
      <c r="G8" s="3" t="s">
        <v>49</v>
      </c>
      <c r="H8" s="3" t="s">
        <v>50</v>
      </c>
      <c r="I8" s="3" t="str">
        <f>IFERROR(__xludf.DUMMYFUNCTION("GOOGLETRANSLATE(C8,""fr"",""en"")"),"Attention !!! This insurance does not industrialize the victims. She exhaust you to ask you for supporting documents, while putting you at ease on a payment.
I paid for more than 12 years with an exclusion for the back and yet pay more. To date I have be"&amp;"en refused compensation for my judgment, while the pathology main is the shoulder ...
I will of course mediatize this case, and will keep you informed of the consequences ...
Many people victims of this insurance will be able to join me to continue this"&amp;" case in court.")</f>
        <v>Attention !!! This insurance does not industrialize the victims. She exhaust you to ask you for supporting documents, while putting you at ease on a payment.
I paid for more than 12 years with an exclusion for the back and yet pay more. To date I have been refused compensation for my judgment, while the pathology main is the shoulder ...
I will of course mediatize this case, and will keep you informed of the consequences ...
Many people victims of this insurance will be able to join me to continue this case in court.</v>
      </c>
    </row>
    <row r="9">
      <c r="A9" s="3">
        <v>1.0</v>
      </c>
      <c r="B9" s="3" t="s">
        <v>51</v>
      </c>
      <c r="C9" s="3" t="s">
        <v>52</v>
      </c>
      <c r="D9" s="3" t="s">
        <v>53</v>
      </c>
      <c r="E9" s="3" t="s">
        <v>27</v>
      </c>
      <c r="F9" s="3" t="s">
        <v>15</v>
      </c>
      <c r="G9" s="3" t="s">
        <v>54</v>
      </c>
      <c r="H9" s="3" t="s">
        <v>23</v>
      </c>
      <c r="I9" s="3" t="str">
        <f>IFERROR(__xludf.DUMMYFUNCTION("GOOGLETRANSLATE(C9,""fr"",""en"")"),"They more wanted to make sure after years without any concern either because Glass or accident ...
Nothing to return it to permit suspension 5 months requested suspected my insurance 5 months he fired me.
Bravoooo ... It can happen to everyone after a b"&amp;"irthday party.")</f>
        <v>They more wanted to make sure after years without any concern either because Glass or accident ...
Nothing to return it to permit suspension 5 months requested suspected my insurance 5 months he fired me.
Bravoooo ... It can happen to everyone after a birthday party.</v>
      </c>
    </row>
    <row r="10">
      <c r="A10" s="3">
        <v>3.0</v>
      </c>
      <c r="B10" s="3" t="s">
        <v>55</v>
      </c>
      <c r="C10" s="3" t="s">
        <v>56</v>
      </c>
      <c r="D10" s="3" t="s">
        <v>57</v>
      </c>
      <c r="E10" s="3" t="s">
        <v>14</v>
      </c>
      <c r="F10" s="3" t="s">
        <v>15</v>
      </c>
      <c r="G10" s="3" t="s">
        <v>58</v>
      </c>
      <c r="H10" s="3" t="s">
        <v>58</v>
      </c>
      <c r="I10" s="3" t="str">
        <f>IFERROR(__xludf.DUMMYFUNCTION("GOOGLETRANSLATE(C10,""fr"",""en"")"),"I am completely satisfied with telephone reception: listening, patience, capacity for understanding, professionalism and problem solving.
This day, I had an interview with ""Lucie"" from the MGP which has all these qualities.
Cordially")</f>
        <v>I am completely satisfied with telephone reception: listening, patience, capacity for understanding, professionalism and problem solving.
This day, I had an interview with "Lucie" from the MGP which has all these qualities.
Cordially</v>
      </c>
    </row>
    <row r="11">
      <c r="A11" s="3">
        <v>5.0</v>
      </c>
      <c r="B11" s="3" t="s">
        <v>59</v>
      </c>
      <c r="C11" s="3" t="s">
        <v>60</v>
      </c>
      <c r="D11" s="3" t="s">
        <v>61</v>
      </c>
      <c r="E11" s="3" t="s">
        <v>14</v>
      </c>
      <c r="F11" s="3" t="s">
        <v>15</v>
      </c>
      <c r="G11" s="3" t="s">
        <v>62</v>
      </c>
      <c r="H11" s="3" t="s">
        <v>23</v>
      </c>
      <c r="I11" s="3" t="str">
        <f>IFERROR(__xludf.DUMMYFUNCTION("GOOGLETRANSLATE(C11,""fr"",""en"")"),"I thank Saliha who, with great kindness and professionalism, has updated my request for reimbursement. She made sure of the reception of the attachments and reminded me shortly after, in order to tell me that the finalized file was starting at the managem"&amp;"ent center.
A top follow -up, well done!")</f>
        <v>I thank Saliha who, with great kindness and professionalism, has updated my request for reimbursement. She made sure of the reception of the attachments and reminded me shortly after, in order to tell me that the finalized file was starting at the management center.
A top follow -up, well done!</v>
      </c>
    </row>
    <row r="12">
      <c r="A12" s="3">
        <v>1.0</v>
      </c>
      <c r="B12" s="3" t="s">
        <v>63</v>
      </c>
      <c r="C12" s="3" t="s">
        <v>64</v>
      </c>
      <c r="D12" s="3" t="s">
        <v>65</v>
      </c>
      <c r="E12" s="3" t="s">
        <v>14</v>
      </c>
      <c r="F12" s="3" t="s">
        <v>15</v>
      </c>
      <c r="G12" s="3" t="s">
        <v>50</v>
      </c>
      <c r="H12" s="3" t="s">
        <v>50</v>
      </c>
      <c r="I12" s="3" t="str">
        <f>IFERROR(__xludf.DUMMYFUNCTION("GOOGLETRANSLATE(C12,""fr"",""en"")"),"unreachable site impossible to create an account or access it
Undo -ustlessly draft and utility website
I wanted to create an account and consult my refunds
impossible!!!
Cordially
Breuil Daniel")</f>
        <v>unreachable site impossible to create an account or access it
Undo -ustlessly draft and utility website
I wanted to create an account and consult my refunds
impossible!!!
Cordially
Breuil Daniel</v>
      </c>
    </row>
    <row r="13">
      <c r="A13" s="3">
        <v>5.0</v>
      </c>
      <c r="B13" s="3" t="s">
        <v>66</v>
      </c>
      <c r="C13" s="3" t="s">
        <v>67</v>
      </c>
      <c r="D13" s="3" t="s">
        <v>53</v>
      </c>
      <c r="E13" s="3" t="s">
        <v>27</v>
      </c>
      <c r="F13" s="3" t="s">
        <v>15</v>
      </c>
      <c r="G13" s="3" t="s">
        <v>68</v>
      </c>
      <c r="H13" s="3" t="s">
        <v>69</v>
      </c>
      <c r="I13" s="3" t="str">
        <f>IFERROR(__xludf.DUMMYFUNCTION("GOOGLETRANSLATE(C13,""fr"",""en"")"),"I am very satisfied with direct insurance services! The value for money, customer service is impeccable! I highly recommend them")</f>
        <v>I am very satisfied with direct insurance services! The value for money, customer service is impeccable! I highly recommend them</v>
      </c>
    </row>
    <row r="14">
      <c r="A14" s="3">
        <v>3.0</v>
      </c>
      <c r="B14" s="3" t="s">
        <v>70</v>
      </c>
      <c r="C14" s="3" t="s">
        <v>71</v>
      </c>
      <c r="D14" s="3" t="s">
        <v>37</v>
      </c>
      <c r="E14" s="3" t="s">
        <v>27</v>
      </c>
      <c r="F14" s="3" t="s">
        <v>15</v>
      </c>
      <c r="G14" s="3" t="s">
        <v>72</v>
      </c>
      <c r="H14" s="3" t="s">
        <v>72</v>
      </c>
      <c r="I14" s="3" t="str">
        <f>IFERROR(__xludf.DUMMYFUNCTION("GOOGLETRANSLATE(C14,""fr"",""en"")"),"I had asked yesterday that I was reminded by phone ... Not done it's a shame. I hope not to regret my change of insurance policy.")</f>
        <v>I had asked yesterday that I was reminded by phone ... Not done it's a shame. I hope not to regret my change of insurance policy.</v>
      </c>
    </row>
    <row r="15">
      <c r="A15" s="3">
        <v>1.0</v>
      </c>
      <c r="B15" s="3" t="s">
        <v>73</v>
      </c>
      <c r="C15" s="3" t="s">
        <v>74</v>
      </c>
      <c r="D15" s="3" t="s">
        <v>75</v>
      </c>
      <c r="E15" s="3" t="s">
        <v>76</v>
      </c>
      <c r="F15" s="3" t="s">
        <v>15</v>
      </c>
      <c r="G15" s="3" t="s">
        <v>77</v>
      </c>
      <c r="H15" s="3" t="s">
        <v>72</v>
      </c>
      <c r="I15" s="3" t="str">
        <f>IFERROR(__xludf.DUMMYFUNCTION("GOOGLETRANSLATE(C15,""fr"",""en"")"),"Sinister electrical damage on new computer. Paid 2 months before 980 euros at a small merchant in Ile Rousse in Corsica. Reimbursement to new: 620 euros on the grounds that this is the price at Darty. For information Darty is not represented in Haute Cors"&amp;"e and the contract does not provide for a refund according to the prices charged by Darty and for this it is still necessary to deduct the deductible of around 200 euros. If I had to initiate a procedure, I am sure to win but it would cost me a hundred ti"&amp;"mes more and the insurance company knows. Conclusion is a ........ by abuse of dominant position.")</f>
        <v>Sinister electrical damage on new computer. Paid 2 months before 980 euros at a small merchant in Ile Rousse in Corsica. Reimbursement to new: 620 euros on the grounds that this is the price at Darty. For information Darty is not represented in Haute Corse and the contract does not provide for a refund according to the prices charged by Darty and for this it is still necessary to deduct the deductible of around 200 euros. If I had to initiate a procedure, I am sure to win but it would cost me a hundred times more and the insurance company knows. Conclusion is a ........ by abuse of dominant position.</v>
      </c>
    </row>
    <row r="16">
      <c r="A16" s="3">
        <v>5.0</v>
      </c>
      <c r="B16" s="3" t="s">
        <v>78</v>
      </c>
      <c r="C16" s="3" t="s">
        <v>79</v>
      </c>
      <c r="D16" s="3" t="s">
        <v>80</v>
      </c>
      <c r="E16" s="3" t="s">
        <v>81</v>
      </c>
      <c r="F16" s="3" t="s">
        <v>15</v>
      </c>
      <c r="G16" s="3" t="s">
        <v>82</v>
      </c>
      <c r="H16" s="3" t="s">
        <v>34</v>
      </c>
      <c r="I16" s="3" t="str">
        <f>IFERROR(__xludf.DUMMYFUNCTION("GOOGLETRANSLATE(C16,""fr"",""en"")"),"Hello,
The choice of options is intuitive and very practical to build the tailor -made offer that suits us best.
The explanations are clear and precise")</f>
        <v>Hello,
The choice of options is intuitive and very practical to build the tailor -made offer that suits us best.
The explanations are clear and precise</v>
      </c>
    </row>
    <row r="17">
      <c r="A17" s="3">
        <v>1.0</v>
      </c>
      <c r="B17" s="3" t="s">
        <v>83</v>
      </c>
      <c r="C17" s="3" t="s">
        <v>84</v>
      </c>
      <c r="D17" s="3" t="s">
        <v>85</v>
      </c>
      <c r="E17" s="3" t="s">
        <v>27</v>
      </c>
      <c r="F17" s="3" t="s">
        <v>15</v>
      </c>
      <c r="G17" s="3" t="s">
        <v>86</v>
      </c>
      <c r="H17" s="3" t="s">
        <v>69</v>
      </c>
      <c r="I17" s="3" t="str">
        <f>IFERROR(__xludf.DUMMYFUNCTION("GOOGLETRANSLATE(C17,""fr"",""en"")"),"hello
I am not a customer at Active Assurances. I wanted to ensure a vehicle at home but when I see all the negative comments ..... I do not understand why ""Les Furets.com"" direct us to professionals of this poor quality (apparently). Should we also tr"&amp;"ust this site?")</f>
        <v>hello
I am not a customer at Active Assurances. I wanted to ensure a vehicle at home but when I see all the negative comments ..... I do not understand why "Les Furets.com" direct us to professionals of this poor quality (apparently). Should we also trust this site?</v>
      </c>
    </row>
    <row r="18">
      <c r="A18" s="3">
        <v>1.0</v>
      </c>
      <c r="B18" s="3" t="s">
        <v>87</v>
      </c>
      <c r="C18" s="3" t="s">
        <v>88</v>
      </c>
      <c r="D18" s="3" t="s">
        <v>75</v>
      </c>
      <c r="E18" s="3" t="s">
        <v>21</v>
      </c>
      <c r="F18" s="3" t="s">
        <v>15</v>
      </c>
      <c r="G18" s="3" t="s">
        <v>89</v>
      </c>
      <c r="H18" s="3" t="s">
        <v>90</v>
      </c>
      <c r="I18" s="3" t="str">
        <f>IFERROR(__xludf.DUMMYFUNCTION("GOOGLETRANSLATE(C18,""fr"",""en"")"),"After sick leave taken care of by Allianz with 7 months of waiting for the payment of IG Sociét.mon Mari has been in disability since June 1, 2017 Category 2. of it impossible to be adjusted the complement of the annuity to which he has the right .We call"&amp;" every 15 days and nothing happens. We can no longer. The invoices accumulate. It is very hard financially. And however it was collective and compulsory provident.")</f>
        <v>After sick leave taken care of by Allianz with 7 months of waiting for the payment of IG Sociét.mon Mari has been in disability since June 1, 2017 Category 2. of it impossible to be adjusted the complement of the annuity to which he has the right .We call every 15 days and nothing happens. We can no longer. The invoices accumulate. It is very hard financially. And however it was collective and compulsory provident.</v>
      </c>
    </row>
    <row r="19">
      <c r="A19" s="3">
        <v>1.0</v>
      </c>
      <c r="B19" s="3" t="s">
        <v>91</v>
      </c>
      <c r="C19" s="3" t="s">
        <v>92</v>
      </c>
      <c r="D19" s="3" t="s">
        <v>75</v>
      </c>
      <c r="E19" s="3" t="s">
        <v>76</v>
      </c>
      <c r="F19" s="3" t="s">
        <v>15</v>
      </c>
      <c r="G19" s="3" t="s">
        <v>93</v>
      </c>
      <c r="H19" s="3" t="s">
        <v>94</v>
      </c>
      <c r="I19" s="3" t="str">
        <f>IFERROR(__xludf.DUMMYFUNCTION("GOOGLETRANSLATE(C19,""fr"",""en"")"),"Following water inflict in the walls I told me that it had condensation and no waters I lost all my furniture I must live without furniture and not to use the walls and moreover it has been 10 years that I am at They and it is now that he says that I made"&amp;" a false statement when I took out my contract I do not understand")</f>
        <v>Following water inflict in the walls I told me that it had condensation and no waters I lost all my furniture I must live without furniture and not to use the walls and moreover it has been 10 years that I am at They and it is now that he says that I made a false statement when I took out my contract I do not understand</v>
      </c>
    </row>
    <row r="20">
      <c r="A20" s="3">
        <v>4.0</v>
      </c>
      <c r="B20" s="3" t="s">
        <v>95</v>
      </c>
      <c r="C20" s="3" t="s">
        <v>96</v>
      </c>
      <c r="D20" s="3" t="s">
        <v>97</v>
      </c>
      <c r="E20" s="3" t="s">
        <v>81</v>
      </c>
      <c r="F20" s="3" t="s">
        <v>15</v>
      </c>
      <c r="G20" s="3" t="s">
        <v>98</v>
      </c>
      <c r="H20" s="3" t="s">
        <v>99</v>
      </c>
      <c r="I20" s="3" t="str">
        <f>IFERROR(__xludf.DUMMYFUNCTION("GOOGLETRANSLATE(C20,""fr"",""en"")"),"I am satisfied with the customer service, responsive and kind on the phone, they helped me make my subscription online +1
The prices are rather competitive.
 ")</f>
        <v>I am satisfied with the customer service, responsive and kind on the phone, they helped me make my subscription online +1
The prices are rather competitive.
 </v>
      </c>
    </row>
    <row r="21" ht="15.75" customHeight="1">
      <c r="A21" s="3">
        <v>5.0</v>
      </c>
      <c r="B21" s="3" t="s">
        <v>100</v>
      </c>
      <c r="C21" s="3" t="s">
        <v>101</v>
      </c>
      <c r="D21" s="3" t="s">
        <v>80</v>
      </c>
      <c r="E21" s="3" t="s">
        <v>81</v>
      </c>
      <c r="F21" s="3" t="s">
        <v>15</v>
      </c>
      <c r="G21" s="3" t="s">
        <v>102</v>
      </c>
      <c r="H21" s="3" t="s">
        <v>34</v>
      </c>
      <c r="I21" s="3" t="str">
        <f>IFERROR(__xludf.DUMMYFUNCTION("GOOGLETRANSLATE(C21,""fr"",""en"")"),"I am super happy even if I didn't want to leave an opinion and I have to have the price and good and fast thank you I am very happy it's great great")</f>
        <v>I am super happy even if I didn't want to leave an opinion and I have to have the price and good and fast thank you I am very happy it's great great</v>
      </c>
    </row>
    <row r="22" ht="15.75" customHeight="1">
      <c r="A22" s="3">
        <v>5.0</v>
      </c>
      <c r="B22" s="3" t="s">
        <v>103</v>
      </c>
      <c r="C22" s="3" t="s">
        <v>104</v>
      </c>
      <c r="D22" s="3" t="s">
        <v>53</v>
      </c>
      <c r="E22" s="3" t="s">
        <v>27</v>
      </c>
      <c r="F22" s="3" t="s">
        <v>15</v>
      </c>
      <c r="G22" s="3" t="s">
        <v>105</v>
      </c>
      <c r="H22" s="3" t="s">
        <v>17</v>
      </c>
      <c r="I22" s="3" t="str">
        <f>IFERROR(__xludf.DUMMYFUNCTION("GOOGLETRANSLATE(C22,""fr"",""en"")"),"Direct Insurance offers a good service for a very correct price; The staff are competent and attentive both to the interests of his company and that of the insured")</f>
        <v>Direct Insurance offers a good service for a very correct price; The staff are competent and attentive both to the interests of his company and that of the insured</v>
      </c>
    </row>
    <row r="23" ht="15.75" customHeight="1">
      <c r="A23" s="3">
        <v>1.0</v>
      </c>
      <c r="B23" s="3" t="s">
        <v>106</v>
      </c>
      <c r="C23" s="3" t="s">
        <v>107</v>
      </c>
      <c r="D23" s="3" t="s">
        <v>108</v>
      </c>
      <c r="E23" s="3" t="s">
        <v>109</v>
      </c>
      <c r="F23" s="3" t="s">
        <v>15</v>
      </c>
      <c r="G23" s="3" t="s">
        <v>110</v>
      </c>
      <c r="H23" s="3" t="s">
        <v>111</v>
      </c>
      <c r="I23" s="3" t="str">
        <f>IFERROR(__xludf.DUMMYFUNCTION("GOOGLETRANSLATE(C23,""fr"",""en"")"),"Holding my wife and I of Odyssiel contracts, we can express our disappointment. Admittedly the investments are correct (Euros funds; Selectivimmo) but the ""banking"" management of these accounts (purchase payments) is very bad: elevated payments (??), bu"&amp;"ying times excluding very long bank transfer; Updating very long accounts; registration of very late interests (mid February); Creations of very complex accounts; difficult and sometimes random computer management. Information provided by the dedicated sa"&amp;"les sometimes insufficient and returns to the AXA site, paying moreover !!")</f>
        <v>Holding my wife and I of Odyssiel contracts, we can express our disappointment. Admittedly the investments are correct (Euros funds; Selectivimmo) but the "banking" management of these accounts (purchase payments) is very bad: elevated payments (??), buying times excluding very long bank transfer; Updating very long accounts; registration of very late interests (mid February); Creations of very complex accounts; difficult and sometimes random computer management. Information provided by the dedicated sales sometimes insufficient and returns to the AXA site, paying moreover !!</v>
      </c>
    </row>
    <row r="24" ht="15.75" customHeight="1">
      <c r="A24" s="3">
        <v>4.0</v>
      </c>
      <c r="B24" s="3" t="s">
        <v>112</v>
      </c>
      <c r="C24" s="3" t="s">
        <v>113</v>
      </c>
      <c r="D24" s="3" t="s">
        <v>53</v>
      </c>
      <c r="E24" s="3" t="s">
        <v>27</v>
      </c>
      <c r="F24" s="3" t="s">
        <v>15</v>
      </c>
      <c r="G24" s="3" t="s">
        <v>114</v>
      </c>
      <c r="H24" s="3" t="s">
        <v>29</v>
      </c>
      <c r="I24" s="3" t="str">
        <f>IFERROR(__xludf.DUMMYFUNCTION("GOOGLETRANSLATE(C24,""fr"",""en"")"),"Long wait on the phone and sometimes incompetent people. Do not know what an auto siege for children is ... not able to detail the methods of taking charge of an accident car seat ...")</f>
        <v>Long wait on the phone and sometimes incompetent people. Do not know what an auto siege for children is ... not able to detail the methods of taking charge of an accident car seat ...</v>
      </c>
    </row>
    <row r="25" ht="15.75" customHeight="1">
      <c r="A25" s="3">
        <v>5.0</v>
      </c>
      <c r="B25" s="3" t="s">
        <v>115</v>
      </c>
      <c r="C25" s="3" t="s">
        <v>116</v>
      </c>
      <c r="D25" s="3" t="s">
        <v>53</v>
      </c>
      <c r="E25" s="3" t="s">
        <v>27</v>
      </c>
      <c r="F25" s="3" t="s">
        <v>15</v>
      </c>
      <c r="G25" s="3" t="s">
        <v>117</v>
      </c>
      <c r="H25" s="3" t="s">
        <v>99</v>
      </c>
      <c r="I25" s="3" t="str">
        <f>IFERROR(__xludf.DUMMYFUNCTION("GOOGLETRANSLATE(C25,""fr"",""en"")"),"Hello,
The online subscription has been well and the price is very correct for the services announced, so for the moment satisfied with the Diressurance Service")</f>
        <v>Hello,
The online subscription has been well and the price is very correct for the services announced, so for the moment satisfied with the Diressurance Service</v>
      </c>
    </row>
    <row r="26" ht="15.75" customHeight="1">
      <c r="A26" s="3">
        <v>4.0</v>
      </c>
      <c r="B26" s="3" t="s">
        <v>118</v>
      </c>
      <c r="C26" s="3" t="s">
        <v>119</v>
      </c>
      <c r="D26" s="3" t="s">
        <v>13</v>
      </c>
      <c r="E26" s="3" t="s">
        <v>14</v>
      </c>
      <c r="F26" s="3" t="s">
        <v>15</v>
      </c>
      <c r="G26" s="3" t="s">
        <v>120</v>
      </c>
      <c r="H26" s="3" t="s">
        <v>34</v>
      </c>
      <c r="I26" s="3" t="str">
        <f>IFERROR(__xludf.DUMMYFUNCTION("GOOGLETRANSLATE(C26,""fr"",""en"")"),"I was very well received by Mariama who took the time to answer all of my questions and to reseminate myself. She was very responsive.")</f>
        <v>I was very well received by Mariama who took the time to answer all of my questions and to reseminate myself. She was very responsive.</v>
      </c>
    </row>
    <row r="27" ht="15.75" customHeight="1">
      <c r="A27" s="3">
        <v>2.0</v>
      </c>
      <c r="B27" s="3" t="s">
        <v>121</v>
      </c>
      <c r="C27" s="3" t="s">
        <v>122</v>
      </c>
      <c r="D27" s="3" t="s">
        <v>123</v>
      </c>
      <c r="E27" s="3" t="s">
        <v>76</v>
      </c>
      <c r="F27" s="3" t="s">
        <v>15</v>
      </c>
      <c r="G27" s="3" t="s">
        <v>124</v>
      </c>
      <c r="H27" s="3" t="s">
        <v>125</v>
      </c>
      <c r="I27" s="3" t="str">
        <f>IFERROR(__xludf.DUMMYFUNCTION("GOOGLETRANSLATE(C27,""fr"",""en"")"),"Well forced to put a star on satisfaction, when I have put any.
Insured for all of my goods (a house, an apartment, 2 cars) for a long time at home. I had been satisfied so far: good responsiveness, super customer relationships. Must say that I did not n"&amp;"eed them: the 2 cars and the 2 drivers are at the minimum penalty, no accident for more than 3 years, zero worries.
Until last year when I had a 1st sinister housing ...
Except that there I am informed that I have too much sinister home: an electric dam"&amp;"age following an impact of Foude in 2017 (387 euros of costs for the maaf) and a problem of root of a neighbor in an external pipe ( An expert went, following what, I took care at my expense the withdrawal of trees because the expert did not want to judge"&amp;" that the weeping willow of my neighbor was in question ...). So I am fired from home insurance for that!
Ridiculous and lamentable.")</f>
        <v>Well forced to put a star on satisfaction, when I have put any.
Insured for all of my goods (a house, an apartment, 2 cars) for a long time at home. I had been satisfied so far: good responsiveness, super customer relationships. Must say that I did not need them: the 2 cars and the 2 drivers are at the minimum penalty, no accident for more than 3 years, zero worries.
Until last year when I had a 1st sinister housing ...
Except that there I am informed that I have too much sinister home: an electric damage following an impact of Foude in 2017 (387 euros of costs for the maaf) and a problem of root of a neighbor in an external pipe ( An expert went, following what, I took care at my expense the withdrawal of trees because the expert did not want to judge that the weeping willow of my neighbor was in question ...). So I am fired from home insurance for that!
Ridiculous and lamentable.</v>
      </c>
    </row>
    <row r="28" ht="15.75" customHeight="1">
      <c r="A28" s="3">
        <v>5.0</v>
      </c>
      <c r="B28" s="3" t="s">
        <v>126</v>
      </c>
      <c r="C28" s="3" t="s">
        <v>127</v>
      </c>
      <c r="D28" s="3" t="s">
        <v>53</v>
      </c>
      <c r="E28" s="3" t="s">
        <v>27</v>
      </c>
      <c r="F28" s="3" t="s">
        <v>15</v>
      </c>
      <c r="G28" s="3" t="s">
        <v>128</v>
      </c>
      <c r="H28" s="3" t="s">
        <v>111</v>
      </c>
      <c r="I28" s="3" t="str">
        <f>IFERROR(__xludf.DUMMYFUNCTION("GOOGLETRANSLATE(C28,""fr"",""en"")"),"Very happy with customer service, even managed to obtain a little discount thanks to the proof of having been insured abroad")</f>
        <v>Very happy with customer service, even managed to obtain a little discount thanks to the proof of having been insured abroad</v>
      </c>
    </row>
    <row r="29" ht="15.75" customHeight="1">
      <c r="A29" s="3">
        <v>1.0</v>
      </c>
      <c r="B29" s="3" t="s">
        <v>129</v>
      </c>
      <c r="C29" s="3" t="s">
        <v>130</v>
      </c>
      <c r="D29" s="3" t="s">
        <v>131</v>
      </c>
      <c r="E29" s="3" t="s">
        <v>76</v>
      </c>
      <c r="F29" s="3" t="s">
        <v>15</v>
      </c>
      <c r="G29" s="3" t="s">
        <v>69</v>
      </c>
      <c r="H29" s="3" t="s">
        <v>69</v>
      </c>
      <c r="I29" s="3" t="str">
        <f>IFERROR(__xludf.DUMMYFUNCTION("GOOGLETRANSLATE(C29,""fr"",""en"")"),"Served Protection Juridique incompetes, does not take in Chrge a default by Fabricat Pool Intalée Coque or the Defect appeared after 1 year of installation, their argument, DEFAUT only aesthetical")</f>
        <v>Served Protection Juridique incompetes, does not take in Chrge a default by Fabricat Pool Intalée Coque or the Defect appeared after 1 year of installation, their argument, DEFAUT only aesthetical</v>
      </c>
    </row>
    <row r="30" ht="15.75" customHeight="1">
      <c r="A30" s="3">
        <v>5.0</v>
      </c>
      <c r="B30" s="3" t="s">
        <v>132</v>
      </c>
      <c r="C30" s="3" t="s">
        <v>133</v>
      </c>
      <c r="D30" s="3" t="s">
        <v>53</v>
      </c>
      <c r="E30" s="3" t="s">
        <v>27</v>
      </c>
      <c r="F30" s="3" t="s">
        <v>15</v>
      </c>
      <c r="G30" s="3" t="s">
        <v>134</v>
      </c>
      <c r="H30" s="3" t="s">
        <v>17</v>
      </c>
      <c r="I30" s="3" t="str">
        <f>IFERROR(__xludf.DUMMYFUNCTION("GOOGLETRANSLATE(C30,""fr"",""en"")"),"Perfect everything is clear and the prices are correct. Perfect and friendly customer service, well directed and clear explanation and follow -up is also perfect")</f>
        <v>Perfect everything is clear and the prices are correct. Perfect and friendly customer service, well directed and clear explanation and follow -up is also perfect</v>
      </c>
    </row>
    <row r="31" ht="15.75" customHeight="1">
      <c r="A31" s="3">
        <v>1.0</v>
      </c>
      <c r="B31" s="3" t="s">
        <v>135</v>
      </c>
      <c r="C31" s="3" t="s">
        <v>136</v>
      </c>
      <c r="D31" s="3" t="s">
        <v>137</v>
      </c>
      <c r="E31" s="3" t="s">
        <v>27</v>
      </c>
      <c r="F31" s="3" t="s">
        <v>15</v>
      </c>
      <c r="G31" s="3" t="s">
        <v>138</v>
      </c>
      <c r="H31" s="3" t="s">
        <v>139</v>
      </c>
      <c r="I31" s="3" t="str">
        <f>IFERROR(__xludf.DUMMYFUNCTION("GOOGLETRANSLATE(C31,""fr"",""en"")"),"The prices and quality of the guarantees are correct but the MAIF staff are condescending and very unpleasant. and does not do your job when requesting information statements")</f>
        <v>The prices and quality of the guarantees are correct but the MAIF staff are condescending and very unpleasant. and does not do your job when requesting information statements</v>
      </c>
    </row>
    <row r="32" ht="15.75" customHeight="1">
      <c r="A32" s="3">
        <v>4.0</v>
      </c>
      <c r="B32" s="3" t="s">
        <v>140</v>
      </c>
      <c r="C32" s="3" t="s">
        <v>141</v>
      </c>
      <c r="D32" s="3" t="s">
        <v>37</v>
      </c>
      <c r="E32" s="3" t="s">
        <v>27</v>
      </c>
      <c r="F32" s="3" t="s">
        <v>15</v>
      </c>
      <c r="G32" s="3" t="s">
        <v>142</v>
      </c>
      <c r="H32" s="3" t="s">
        <v>99</v>
      </c>
      <c r="I32" s="3" t="str">
        <f>IFERROR(__xludf.DUMMYFUNCTION("GOOGLETRANSLATE(C32,""fr"",""en"")"),"Ras for the moment everything seems clear to me, we will see your efficiency in future use, I wish you good reception of my message. J. Lesert")</f>
        <v>Ras for the moment everything seems clear to me, we will see your efficiency in future use, I wish you good reception of my message. J. Lesert</v>
      </c>
    </row>
    <row r="33" ht="15.75" customHeight="1">
      <c r="A33" s="3">
        <v>4.0</v>
      </c>
      <c r="B33" s="3" t="s">
        <v>143</v>
      </c>
      <c r="C33" s="3" t="s">
        <v>144</v>
      </c>
      <c r="D33" s="3" t="s">
        <v>97</v>
      </c>
      <c r="E33" s="3" t="s">
        <v>81</v>
      </c>
      <c r="F33" s="3" t="s">
        <v>15</v>
      </c>
      <c r="G33" s="3" t="s">
        <v>145</v>
      </c>
      <c r="H33" s="3" t="s">
        <v>99</v>
      </c>
      <c r="I33" s="3" t="str">
        <f>IFERROR(__xludf.DUMMYFUNCTION("GOOGLETRANSLATE(C33,""fr"",""en"")"),"I am a little more reassured, because I am a young license
I prepare my first road trip.
But I still had no worries, we will see in time, if Amv holds his promises")</f>
        <v>I am a little more reassured, because I am a young license
I prepare my first road trip.
But I still had no worries, we will see in time, if Amv holds his promises</v>
      </c>
    </row>
    <row r="34" ht="15.75" customHeight="1">
      <c r="A34" s="3">
        <v>5.0</v>
      </c>
      <c r="B34" s="3" t="s">
        <v>146</v>
      </c>
      <c r="C34" s="3" t="s">
        <v>147</v>
      </c>
      <c r="D34" s="3" t="s">
        <v>37</v>
      </c>
      <c r="E34" s="3" t="s">
        <v>27</v>
      </c>
      <c r="F34" s="3" t="s">
        <v>15</v>
      </c>
      <c r="G34" s="3" t="s">
        <v>148</v>
      </c>
      <c r="H34" s="3" t="s">
        <v>72</v>
      </c>
      <c r="I34" s="3" t="str">
        <f>IFERROR(__xludf.DUMMYFUNCTION("GOOGLETRANSLATE(C34,""fr"",""en"")"),"Reactive, very attractive price
Quote done quickly and contract also I would advise it to my loved ones. Listening and super pleasant interlocutor")</f>
        <v>Reactive, very attractive price
Quote done quickly and contract also I would advise it to my loved ones. Listening and super pleasant interlocutor</v>
      </c>
    </row>
    <row r="35" ht="15.75" customHeight="1">
      <c r="A35" s="3">
        <v>5.0</v>
      </c>
      <c r="B35" s="3" t="s">
        <v>149</v>
      </c>
      <c r="C35" s="3" t="s">
        <v>150</v>
      </c>
      <c r="D35" s="3" t="s">
        <v>53</v>
      </c>
      <c r="E35" s="3" t="s">
        <v>27</v>
      </c>
      <c r="F35" s="3" t="s">
        <v>15</v>
      </c>
      <c r="G35" s="3" t="s">
        <v>98</v>
      </c>
      <c r="H35" s="3" t="s">
        <v>99</v>
      </c>
      <c r="I35" s="3" t="str">
        <f>IFERROR(__xludf.DUMMYFUNCTION("GOOGLETRANSLATE(C35,""fr"",""en"")"),"Satisfied with the speed and simplicity of the site and the services implemented good ratio price level and the efficiency implemented simple effective effective")</f>
        <v>Satisfied with the speed and simplicity of the site and the services implemented good ratio price level and the efficiency implemented simple effective effective</v>
      </c>
    </row>
    <row r="36" ht="15.75" customHeight="1">
      <c r="A36" s="3">
        <v>1.0</v>
      </c>
      <c r="B36" s="3" t="s">
        <v>151</v>
      </c>
      <c r="C36" s="3" t="s">
        <v>152</v>
      </c>
      <c r="D36" s="3" t="s">
        <v>153</v>
      </c>
      <c r="E36" s="3" t="s">
        <v>81</v>
      </c>
      <c r="F36" s="3" t="s">
        <v>15</v>
      </c>
      <c r="G36" s="3" t="s">
        <v>154</v>
      </c>
      <c r="H36" s="3" t="s">
        <v>139</v>
      </c>
      <c r="I36" s="3" t="str">
        <f>IFERROR(__xludf.DUMMYFUNCTION("GOOGLETRANSLATE(C36,""fr"",""en"")"),"I have just realized that it is impossible to reach my insurer, that my personal space does not offer the basic and essential possibility of sending an email, only to obtain my information statement the link sends me back to a number which does not Do not"&amp;" answer ... and that, moreover, the prices are higher than elsewhere. More expensive with fewer services ...")</f>
        <v>I have just realized that it is impossible to reach my insurer, that my personal space does not offer the basic and essential possibility of sending an email, only to obtain my information statement the link sends me back to a number which does not Do not answer ... and that, moreover, the prices are higher than elsewhere. More expensive with fewer services ...</v>
      </c>
    </row>
    <row r="37" ht="15.75" customHeight="1">
      <c r="A37" s="3">
        <v>4.0</v>
      </c>
      <c r="B37" s="3" t="s">
        <v>155</v>
      </c>
      <c r="C37" s="3" t="s">
        <v>156</v>
      </c>
      <c r="D37" s="3" t="s">
        <v>157</v>
      </c>
      <c r="E37" s="3" t="s">
        <v>14</v>
      </c>
      <c r="F37" s="3" t="s">
        <v>15</v>
      </c>
      <c r="G37" s="3" t="s">
        <v>158</v>
      </c>
      <c r="H37" s="3" t="s">
        <v>159</v>
      </c>
      <c r="I37" s="3" t="str">
        <f>IFERROR(__xludf.DUMMYFUNCTION("GOOGLETRANSLATE(C37,""fr"",""en"")"),"I joined this mutual insurance company with my employer, the procedures were very fluid, third-party payment in a few days. Very good value for money and fast, friendly and attentive customer service!")</f>
        <v>I joined this mutual insurance company with my employer, the procedures were very fluid, third-party payment in a few days. Very good value for money and fast, friendly and attentive customer service!</v>
      </c>
    </row>
    <row r="38" ht="15.75" customHeight="1">
      <c r="A38" s="3">
        <v>5.0</v>
      </c>
      <c r="B38" s="3" t="s">
        <v>160</v>
      </c>
      <c r="C38" s="3" t="s">
        <v>161</v>
      </c>
      <c r="D38" s="3" t="s">
        <v>37</v>
      </c>
      <c r="E38" s="3" t="s">
        <v>27</v>
      </c>
      <c r="F38" s="3" t="s">
        <v>15</v>
      </c>
      <c r="G38" s="3" t="s">
        <v>162</v>
      </c>
      <c r="H38" s="3" t="s">
        <v>90</v>
      </c>
      <c r="I38" s="3" t="str">
        <f>IFERROR(__xludf.DUMMYFUNCTION("GOOGLETRANSLATE(C38,""fr"",""en"")"),"Good insurer. Car insurance prices are more than correct.")</f>
        <v>Good insurer. Car insurance prices are more than correct.</v>
      </c>
    </row>
    <row r="39" ht="15.75" customHeight="1">
      <c r="A39" s="3">
        <v>1.0</v>
      </c>
      <c r="B39" s="3" t="s">
        <v>163</v>
      </c>
      <c r="C39" s="3" t="s">
        <v>164</v>
      </c>
      <c r="D39" s="3" t="s">
        <v>42</v>
      </c>
      <c r="E39" s="3" t="s">
        <v>14</v>
      </c>
      <c r="F39" s="3" t="s">
        <v>15</v>
      </c>
      <c r="G39" s="3" t="s">
        <v>165</v>
      </c>
      <c r="H39" s="3" t="s">
        <v>17</v>
      </c>
      <c r="I39" s="3" t="str">
        <f>IFERROR(__xludf.DUMMYFUNCTION("GOOGLETRANSLATE(C39,""fr"",""en"")"),"To flee! Not competent at all and the reimbursement will not speak, if you have the choice do not go there, mutuals compulsory unfortunately but to flee!")</f>
        <v>To flee! Not competent at all and the reimbursement will not speak, if you have the choice do not go there, mutuals compulsory unfortunately but to flee!</v>
      </c>
    </row>
    <row r="40" ht="15.75" customHeight="1">
      <c r="A40" s="3">
        <v>1.0</v>
      </c>
      <c r="B40" s="3" t="s">
        <v>166</v>
      </c>
      <c r="C40" s="3" t="s">
        <v>167</v>
      </c>
      <c r="D40" s="3" t="s">
        <v>123</v>
      </c>
      <c r="E40" s="3" t="s">
        <v>27</v>
      </c>
      <c r="F40" s="3" t="s">
        <v>15</v>
      </c>
      <c r="G40" s="3" t="s">
        <v>168</v>
      </c>
      <c r="H40" s="3" t="s">
        <v>169</v>
      </c>
      <c r="I40" s="3" t="str">
        <f>IFERROR(__xludf.DUMMYFUNCTION("GOOGLETRANSLATE(C40,""fr"",""en"")"),"I have been insured at home for 20 years with bonus 50% for life. It took an accident caused by a third party and considered not responsible in 2017, a break in ice and an accident caused by a lack of maintenance of the roads (obviously I lost to the town"&amp;" hall of Nice!) And am So considered responsible in 2019 to receive an opinion that my franchise will be doubled and that if I do not accept the contract I will be terminated.
A little easy ... it's the maaf.
Finally, it would take a law that does not a"&amp;"llow insurers to do what they want.
All the same")</f>
        <v>I have been insured at home for 20 years with bonus 50% for life. It took an accident caused by a third party and considered not responsible in 2017, a break in ice and an accident caused by a lack of maintenance of the roads (obviously I lost to the town hall of Nice!) And am So considered responsible in 2019 to receive an opinion that my franchise will be doubled and that if I do not accept the contract I will be terminated.
A little easy ... it's the maaf.
Finally, it would take a law that does not allow insurers to do what they want.
All the same</v>
      </c>
    </row>
    <row r="41" ht="15.75" customHeight="1">
      <c r="A41" s="3">
        <v>5.0</v>
      </c>
      <c r="B41" s="3" t="s">
        <v>170</v>
      </c>
      <c r="C41" s="3" t="s">
        <v>171</v>
      </c>
      <c r="D41" s="3" t="s">
        <v>37</v>
      </c>
      <c r="E41" s="3" t="s">
        <v>27</v>
      </c>
      <c r="F41" s="3" t="s">
        <v>15</v>
      </c>
      <c r="G41" s="3" t="s">
        <v>172</v>
      </c>
      <c r="H41" s="3" t="s">
        <v>23</v>
      </c>
      <c r="I41" s="3" t="str">
        <f>IFERROR(__xludf.DUMMYFUNCTION("GOOGLETRANSLATE(C41,""fr"",""en"")"),"Very good insurance, I have just taken out a car contract. Listening person and clear explanations.
To see over time.
Unbeatable price. I recommend it to everyone")</f>
        <v>Very good insurance, I have just taken out a car contract. Listening person and clear explanations.
To see over time.
Unbeatable price. I recommend it to everyone</v>
      </c>
    </row>
    <row r="42" ht="15.75" customHeight="1">
      <c r="A42" s="3">
        <v>4.0</v>
      </c>
      <c r="B42" s="3" t="s">
        <v>173</v>
      </c>
      <c r="C42" s="3" t="s">
        <v>174</v>
      </c>
      <c r="D42" s="3" t="s">
        <v>37</v>
      </c>
      <c r="E42" s="3" t="s">
        <v>27</v>
      </c>
      <c r="F42" s="3" t="s">
        <v>15</v>
      </c>
      <c r="G42" s="3" t="s">
        <v>175</v>
      </c>
      <c r="H42" s="3" t="s">
        <v>23</v>
      </c>
      <c r="I42" s="3" t="str">
        <f>IFERROR(__xludf.DUMMYFUNCTION("GOOGLETRANSLATE(C42,""fr"",""en"")"),"Satisfied with your services and the speed with which you work the prices are reasonable
Thank you to all your advisers for the care
Cordially")</f>
        <v>Satisfied with your services and the speed with which you work the prices are reasonable
Thank you to all your advisers for the care
Cordially</v>
      </c>
    </row>
    <row r="43" ht="15.75" customHeight="1">
      <c r="A43" s="3">
        <v>5.0</v>
      </c>
      <c r="B43" s="3" t="s">
        <v>176</v>
      </c>
      <c r="C43" s="3" t="s">
        <v>177</v>
      </c>
      <c r="D43" s="3" t="s">
        <v>53</v>
      </c>
      <c r="E43" s="3" t="s">
        <v>27</v>
      </c>
      <c r="F43" s="3" t="s">
        <v>15</v>
      </c>
      <c r="G43" s="3" t="s">
        <v>34</v>
      </c>
      <c r="H43" s="3" t="s">
        <v>34</v>
      </c>
      <c r="I43" s="3" t="str">
        <f>IFERROR(__xludf.DUMMYFUNCTION("GOOGLETRANSLATE(C43,""fr"",""en"")"),"I am satisfied with the service ... Satisfied with the price and the insurance offered as well as the clarity of the procedures. I count on you to ensure my car as it should be")</f>
        <v>I am satisfied with the service ... Satisfied with the price and the insurance offered as well as the clarity of the procedures. I count on you to ensure my car as it should be</v>
      </c>
    </row>
    <row r="44" ht="15.75" customHeight="1">
      <c r="A44" s="3">
        <v>5.0</v>
      </c>
      <c r="B44" s="3" t="s">
        <v>178</v>
      </c>
      <c r="C44" s="3" t="s">
        <v>179</v>
      </c>
      <c r="D44" s="3" t="s">
        <v>97</v>
      </c>
      <c r="E44" s="3" t="s">
        <v>81</v>
      </c>
      <c r="F44" s="3" t="s">
        <v>15</v>
      </c>
      <c r="G44" s="3" t="s">
        <v>28</v>
      </c>
      <c r="H44" s="3" t="s">
        <v>29</v>
      </c>
      <c r="I44" s="3" t="str">
        <f>IFERROR(__xludf.DUMMYFUNCTION("GOOGLETRANSLATE(C44,""fr"",""en"")"),"I thank Amv the two -wheel insurance of the family doubly thank you for all this (provided that it lasts) not to change anything the best.")</f>
        <v>I thank Amv the two -wheel insurance of the family doubly thank you for all this (provided that it lasts) not to change anything the best.</v>
      </c>
    </row>
    <row r="45" ht="15.75" customHeight="1">
      <c r="A45" s="3">
        <v>5.0</v>
      </c>
      <c r="B45" s="3" t="s">
        <v>180</v>
      </c>
      <c r="C45" s="3" t="s">
        <v>181</v>
      </c>
      <c r="D45" s="3" t="s">
        <v>97</v>
      </c>
      <c r="E45" s="3" t="s">
        <v>81</v>
      </c>
      <c r="F45" s="3" t="s">
        <v>15</v>
      </c>
      <c r="G45" s="3" t="s">
        <v>182</v>
      </c>
      <c r="H45" s="3" t="s">
        <v>183</v>
      </c>
      <c r="I45" s="3" t="str">
        <f>IFERROR(__xludf.DUMMYFUNCTION("GOOGLETRANSLATE(C45,""fr"",""en"")"),"Price attractiveness, team responsiveness, transparency clarity in advice, explanations ... A clear difference unlike my previous motorcycle insurance, he advises 0 km on motorbikes is practical.")</f>
        <v>Price attractiveness, team responsiveness, transparency clarity in advice, explanations ... A clear difference unlike my previous motorcycle insurance, he advises 0 km on motorbikes is practical.</v>
      </c>
    </row>
    <row r="46" ht="15.75" customHeight="1">
      <c r="A46" s="3">
        <v>1.0</v>
      </c>
      <c r="B46" s="3" t="s">
        <v>184</v>
      </c>
      <c r="C46" s="3" t="s">
        <v>185</v>
      </c>
      <c r="D46" s="3" t="s">
        <v>157</v>
      </c>
      <c r="E46" s="3" t="s">
        <v>14</v>
      </c>
      <c r="F46" s="3" t="s">
        <v>15</v>
      </c>
      <c r="G46" s="3" t="s">
        <v>39</v>
      </c>
      <c r="H46" s="3" t="s">
        <v>39</v>
      </c>
      <c r="I46" s="3" t="str">
        <f>IFERROR(__xludf.DUMMYFUNCTION("GOOGLETRANSLATE(C46,""fr"",""en"")"),"If I could it would be 0 star ... Service on the phone unable to respond to the follow -up of the file. But what are you used for? 3 weeks that I sent my refund requests ... it's still on hold ... why? A priori there is a ""technical"" problem. THE JOKE. "&amp;"Ok there is a problem, I call to ask what is the problem and especially to try to solve it ... No one knows !!! I repeat the joke. There is a problem but we cannot tell you what the problem is. OK, thanks.")</f>
        <v>If I could it would be 0 star ... Service on the phone unable to respond to the follow -up of the file. But what are you used for? 3 weeks that I sent my refund requests ... it's still on hold ... why? A priori there is a "technical" problem. THE JOKE. Ok there is a problem, I call to ask what is the problem and especially to try to solve it ... No one knows !!! I repeat the joke. There is a problem but we cannot tell you what the problem is. OK, thanks.</v>
      </c>
    </row>
    <row r="47" ht="15.75" customHeight="1">
      <c r="A47" s="3">
        <v>1.0</v>
      </c>
      <c r="B47" s="3" t="s">
        <v>186</v>
      </c>
      <c r="C47" s="3" t="s">
        <v>187</v>
      </c>
      <c r="D47" s="3" t="s">
        <v>188</v>
      </c>
      <c r="E47" s="3" t="s">
        <v>48</v>
      </c>
      <c r="F47" s="3" t="s">
        <v>15</v>
      </c>
      <c r="G47" s="3" t="s">
        <v>189</v>
      </c>
      <c r="H47" s="3" t="s">
        <v>190</v>
      </c>
      <c r="I47" s="3" t="str">
        <f>IFERROR(__xludf.DUMMYFUNCTION("GOOGLETRANSLATE(C47,""fr"",""en"")"),"request information from them your effective change as a result without signature and necessarily more advantageous for them")</f>
        <v>request information from them your effective change as a result without signature and necessarily more advantageous for them</v>
      </c>
    </row>
    <row r="48" ht="15.75" customHeight="1">
      <c r="A48" s="3">
        <v>5.0</v>
      </c>
      <c r="B48" s="3" t="s">
        <v>191</v>
      </c>
      <c r="C48" s="3" t="s">
        <v>192</v>
      </c>
      <c r="D48" s="3" t="s">
        <v>193</v>
      </c>
      <c r="E48" s="3" t="s">
        <v>14</v>
      </c>
      <c r="F48" s="3" t="s">
        <v>15</v>
      </c>
      <c r="G48" s="3" t="s">
        <v>194</v>
      </c>
      <c r="H48" s="3" t="s">
        <v>195</v>
      </c>
      <c r="I48" s="3" t="str">
        <f>IFERROR(__xludf.DUMMYFUNCTION("GOOGLETRANSLATE(C48,""fr"",""en"")"),"True mutual with real values ​​applied to everyday life: solidarity, peer -to -peer report, global offer, social action support all the way of life")</f>
        <v>True mutual with real values ​​applied to everyday life: solidarity, peer -to -peer report, global offer, social action support all the way of life</v>
      </c>
    </row>
    <row r="49" ht="15.75" customHeight="1">
      <c r="A49" s="3">
        <v>1.0</v>
      </c>
      <c r="B49" s="3" t="s">
        <v>196</v>
      </c>
      <c r="C49" s="3" t="s">
        <v>197</v>
      </c>
      <c r="D49" s="3" t="s">
        <v>75</v>
      </c>
      <c r="E49" s="3" t="s">
        <v>27</v>
      </c>
      <c r="F49" s="3" t="s">
        <v>15</v>
      </c>
      <c r="G49" s="3" t="s">
        <v>198</v>
      </c>
      <c r="H49" s="3" t="s">
        <v>23</v>
      </c>
      <c r="I49" s="3" t="str">
        <f>IFERROR(__xludf.DUMMYFUNCTION("GOOGLETRANSLATE(C49,""fr"",""en"")"),"The insurer did not send me my information statement that he had promised me by phone.
This poses me problems for my new insurance.
Marlgrés several reminders no way of having someone.
Customer service is nonexistent.")</f>
        <v>The insurer did not send me my information statement that he had promised me by phone.
This poses me problems for my new insurance.
Marlgrés several reminders no way of having someone.
Customer service is nonexistent.</v>
      </c>
    </row>
    <row r="50" ht="15.75" customHeight="1">
      <c r="A50" s="3">
        <v>5.0</v>
      </c>
      <c r="B50" s="3" t="s">
        <v>199</v>
      </c>
      <c r="C50" s="3" t="s">
        <v>200</v>
      </c>
      <c r="D50" s="3" t="s">
        <v>80</v>
      </c>
      <c r="E50" s="3" t="s">
        <v>81</v>
      </c>
      <c r="F50" s="3" t="s">
        <v>15</v>
      </c>
      <c r="G50" s="3" t="s">
        <v>201</v>
      </c>
      <c r="H50" s="3" t="s">
        <v>99</v>
      </c>
      <c r="I50" s="3" t="str">
        <f>IFERROR(__xludf.DUMMYFUNCTION("GOOGLETRANSLATE(C50,""fr"",""en"")"),"I am satisfied very simple and easy I was able to do my motorcycle insurance online very quickly and simply thank you April for your commercial sense")</f>
        <v>I am satisfied very simple and easy I was able to do my motorcycle insurance online very quickly and simply thank you April for your commercial sense</v>
      </c>
    </row>
    <row r="51" ht="15.75" customHeight="1">
      <c r="A51" s="3">
        <v>1.0</v>
      </c>
      <c r="B51" s="3" t="s">
        <v>202</v>
      </c>
      <c r="C51" s="3" t="s">
        <v>203</v>
      </c>
      <c r="D51" s="3" t="s">
        <v>157</v>
      </c>
      <c r="E51" s="3" t="s">
        <v>14</v>
      </c>
      <c r="F51" s="3" t="s">
        <v>15</v>
      </c>
      <c r="G51" s="3" t="s">
        <v>204</v>
      </c>
      <c r="H51" s="3" t="s">
        <v>205</v>
      </c>
      <c r="I51" s="3" t="str">
        <f>IFERROR(__xludf.DUMMYFUNCTION("GOOGLETRANSLATE(C51,""fr"",""en"")"),"I am really disappointed and pissed off, I am a customer currently and I want to share my experience, already for 2 months that I am waiting for a refund that I promised me and still not, I am also waiting for the call of a manager And nobody does it, the"&amp;" contract that promised me has nothing to do with what I asked for")</f>
        <v>I am really disappointed and pissed off, I am a customer currently and I want to share my experience, already for 2 months that I am waiting for a refund that I promised me and still not, I am also waiting for the call of a manager And nobody does it, the contract that promised me has nothing to do with what I asked for</v>
      </c>
    </row>
    <row r="52" ht="15.75" customHeight="1">
      <c r="A52" s="3">
        <v>4.0</v>
      </c>
      <c r="B52" s="3" t="s">
        <v>206</v>
      </c>
      <c r="C52" s="3" t="s">
        <v>207</v>
      </c>
      <c r="D52" s="3" t="s">
        <v>37</v>
      </c>
      <c r="E52" s="3" t="s">
        <v>27</v>
      </c>
      <c r="F52" s="3" t="s">
        <v>15</v>
      </c>
      <c r="G52" s="3" t="s">
        <v>208</v>
      </c>
      <c r="H52" s="3" t="s">
        <v>29</v>
      </c>
      <c r="I52" s="3" t="str">
        <f>IFERROR(__xludf.DUMMYFUNCTION("GOOGLETRANSLATE(C52,""fr"",""en"")"),"Satisfied with the service, reasonable insurance in terms of price, respond quickly, I recommend, seriously, take care of the termination, very practical.")</f>
        <v>Satisfied with the service, reasonable insurance in terms of price, respond quickly, I recommend, seriously, take care of the termination, very practical.</v>
      </c>
    </row>
    <row r="53" ht="15.75" customHeight="1">
      <c r="A53" s="3">
        <v>5.0</v>
      </c>
      <c r="B53" s="3" t="s">
        <v>209</v>
      </c>
      <c r="C53" s="3" t="s">
        <v>210</v>
      </c>
      <c r="D53" s="3" t="s">
        <v>37</v>
      </c>
      <c r="E53" s="3" t="s">
        <v>27</v>
      </c>
      <c r="F53" s="3" t="s">
        <v>15</v>
      </c>
      <c r="G53" s="3" t="s">
        <v>98</v>
      </c>
      <c r="H53" s="3" t="s">
        <v>99</v>
      </c>
      <c r="I53" s="3" t="str">
        <f>IFERROR(__xludf.DUMMYFUNCTION("GOOGLETRANSLATE(C53,""fr"",""en"")"),"I am satisfied with the product, and of the price, simple a without headache simple and easy contact to use rapiditer efficiency good quality price.")</f>
        <v>I am satisfied with the product, and of the price, simple a without headache simple and easy contact to use rapiditer efficiency good quality price.</v>
      </c>
    </row>
    <row r="54" ht="15.75" customHeight="1">
      <c r="A54" s="3">
        <v>4.0</v>
      </c>
      <c r="B54" s="3" t="s">
        <v>211</v>
      </c>
      <c r="C54" s="3" t="s">
        <v>212</v>
      </c>
      <c r="D54" s="3" t="s">
        <v>37</v>
      </c>
      <c r="E54" s="3" t="s">
        <v>27</v>
      </c>
      <c r="F54" s="3" t="s">
        <v>15</v>
      </c>
      <c r="G54" s="3" t="s">
        <v>213</v>
      </c>
      <c r="H54" s="3" t="s">
        <v>17</v>
      </c>
      <c r="I54" s="3" t="str">
        <f>IFERROR(__xludf.DUMMYFUNCTION("GOOGLETRANSLATE(C54,""fr"",""en"")"),"We are satisfied.
Fast and effective. The information statement should be automatic for a subscriber already in your database.
Cordially")</f>
        <v>We are satisfied.
Fast and effective. The information statement should be automatic for a subscriber already in your database.
Cordially</v>
      </c>
    </row>
    <row r="55" ht="15.75" customHeight="1">
      <c r="A55" s="3">
        <v>2.0</v>
      </c>
      <c r="B55" s="3" t="s">
        <v>214</v>
      </c>
      <c r="C55" s="3" t="s">
        <v>215</v>
      </c>
      <c r="D55" s="3" t="s">
        <v>26</v>
      </c>
      <c r="E55" s="3" t="s">
        <v>27</v>
      </c>
      <c r="F55" s="3" t="s">
        <v>15</v>
      </c>
      <c r="G55" s="3" t="s">
        <v>216</v>
      </c>
      <c r="H55" s="3" t="s">
        <v>34</v>
      </c>
      <c r="I55" s="3" t="str">
        <f>IFERROR(__xludf.DUMMYFUNCTION("GOOGLETRANSLATE(C55,""fr"",""en"")"),"Victim of a fire of the house and the car parked in the garage on 10/16/21 The expert intervenes on 21/10. He tells us that he grants an advance of € 10,000 in order to deal with the most urgent (rehousing, furniture etc ...) with regard to the car The ex"&amp;"pert indicates to us on 10/22 that he grants us 17,000 € for the market value of the vehicle. Insurance tells me that they need the gray card to be paid. I had asked for a duplicate because the latter was also burned. I send them on 10/22 and then it is s"&amp;"aid that it was necessary to give it to the expert. From this gray card is sometimes sent to the expert sometimes to me by registered mail. But in short, since not a single penny received while we are without a roof in a car. GMF certainly human. Lol")</f>
        <v>Victim of a fire of the house and the car parked in the garage on 10/16/21 The expert intervenes on 21/10. He tells us that he grants an advance of € 10,000 in order to deal with the most urgent (rehousing, furniture etc ...) with regard to the car The expert indicates to us on 10/22 that he grants us 17,000 € for the market value of the vehicle. Insurance tells me that they need the gray card to be paid. I had asked for a duplicate because the latter was also burned. I send them on 10/22 and then it is said that it was necessary to give it to the expert. From this gray card is sometimes sent to the expert sometimes to me by registered mail. But in short, since not a single penny received while we are without a roof in a car. GMF certainly human. Lol</v>
      </c>
    </row>
    <row r="56" ht="15.75" customHeight="1">
      <c r="A56" s="3">
        <v>4.0</v>
      </c>
      <c r="B56" s="3" t="s">
        <v>217</v>
      </c>
      <c r="C56" s="3" t="s">
        <v>218</v>
      </c>
      <c r="D56" s="3" t="s">
        <v>53</v>
      </c>
      <c r="E56" s="3" t="s">
        <v>27</v>
      </c>
      <c r="F56" s="3" t="s">
        <v>15</v>
      </c>
      <c r="G56" s="3" t="s">
        <v>219</v>
      </c>
      <c r="H56" s="3" t="s">
        <v>99</v>
      </c>
      <c r="I56" s="3" t="str">
        <f>IFERROR(__xludf.DUMMYFUNCTION("GOOGLETRANSLATE(C56,""fr"",""en"")"),"Change of insurance to reduce the cost, without reducing the guarantees
I am satisfied with the service: ease of subscription and attractive price.")</f>
        <v>Change of insurance to reduce the cost, without reducing the guarantees
I am satisfied with the service: ease of subscription and attractive price.</v>
      </c>
    </row>
    <row r="57" ht="15.75" customHeight="1">
      <c r="A57" s="3">
        <v>3.0</v>
      </c>
      <c r="B57" s="3" t="s">
        <v>220</v>
      </c>
      <c r="C57" s="3" t="s">
        <v>221</v>
      </c>
      <c r="D57" s="3" t="s">
        <v>57</v>
      </c>
      <c r="E57" s="3" t="s">
        <v>14</v>
      </c>
      <c r="F57" s="3" t="s">
        <v>15</v>
      </c>
      <c r="G57" s="3" t="s">
        <v>222</v>
      </c>
      <c r="H57" s="3" t="s">
        <v>159</v>
      </c>
      <c r="I57" s="3" t="str">
        <f>IFERROR(__xludf.DUMMYFUNCTION("GOOGLETRANSLATE(C57,""fr"",""en"")"),"Moderately Satisfied. The telephone expectation is sometimes long. Not very responsive on certificate requests or RIB change ... Regarding reimbursements or quotes, rather satisfied with deadlines.")</f>
        <v>Moderately Satisfied. The telephone expectation is sometimes long. Not very responsive on certificate requests or RIB change ... Regarding reimbursements or quotes, rather satisfied with deadlines.</v>
      </c>
    </row>
    <row r="58" ht="15.75" customHeight="1">
      <c r="A58" s="3">
        <v>2.0</v>
      </c>
      <c r="B58" s="3" t="s">
        <v>223</v>
      </c>
      <c r="C58" s="3" t="s">
        <v>224</v>
      </c>
      <c r="D58" s="3" t="s">
        <v>53</v>
      </c>
      <c r="E58" s="3" t="s">
        <v>27</v>
      </c>
      <c r="F58" s="3" t="s">
        <v>15</v>
      </c>
      <c r="G58" s="3" t="s">
        <v>225</v>
      </c>
      <c r="H58" s="3" t="s">
        <v>72</v>
      </c>
      <c r="I58" s="3" t="str">
        <f>IFERROR(__xludf.DUMMYFUNCTION("GOOGLETRANSLATE(C58,""fr"",""en"")"),"unsatisfied. Impossible to have an interlocutor who understands what I want. Different information completely contrary. Impossible to make a change by internet ...")</f>
        <v>unsatisfied. Impossible to have an interlocutor who understands what I want. Different information completely contrary. Impossible to make a change by internet ...</v>
      </c>
    </row>
    <row r="59" ht="15.75" customHeight="1">
      <c r="A59" s="3">
        <v>2.0</v>
      </c>
      <c r="B59" s="3" t="s">
        <v>226</v>
      </c>
      <c r="C59" s="3" t="s">
        <v>227</v>
      </c>
      <c r="D59" s="3" t="s">
        <v>228</v>
      </c>
      <c r="E59" s="3" t="s">
        <v>14</v>
      </c>
      <c r="F59" s="3" t="s">
        <v>15</v>
      </c>
      <c r="G59" s="3" t="s">
        <v>229</v>
      </c>
      <c r="H59" s="3" t="s">
        <v>230</v>
      </c>
      <c r="I59" s="3" t="str">
        <f>IFERROR(__xludf.DUMMYFUNCTION("GOOGLETRANSLATE(C59,""fr"",""en"")"),"Big problem with the email refund every day Call He sends you an email
Your file has been processed ok we are refunded when lol")</f>
        <v>Big problem with the email refund every day Call He sends you an email
Your file has been processed ok we are refunded when lol</v>
      </c>
    </row>
    <row r="60" ht="15.75" customHeight="1">
      <c r="A60" s="3">
        <v>4.0</v>
      </c>
      <c r="B60" s="3" t="s">
        <v>231</v>
      </c>
      <c r="C60" s="3" t="s">
        <v>232</v>
      </c>
      <c r="D60" s="3" t="s">
        <v>80</v>
      </c>
      <c r="E60" s="3" t="s">
        <v>81</v>
      </c>
      <c r="F60" s="3" t="s">
        <v>15</v>
      </c>
      <c r="G60" s="3" t="s">
        <v>233</v>
      </c>
      <c r="H60" s="3" t="s">
        <v>17</v>
      </c>
      <c r="I60" s="3" t="str">
        <f>IFERROR(__xludf.DUMMYFUNCTION("GOOGLETRANSLATE(C60,""fr"",""en"")"),"Interesting prices and service we will see in the event of an accident the reaction of the insurance. Indeed having interesting rates is one thing, reimburse without making history to extend another.")</f>
        <v>Interesting prices and service we will see in the event of an accident the reaction of the insurance. Indeed having interesting rates is one thing, reimburse without making history to extend another.</v>
      </c>
    </row>
    <row r="61" ht="15.75" customHeight="1">
      <c r="A61" s="3">
        <v>1.0</v>
      </c>
      <c r="B61" s="3" t="s">
        <v>234</v>
      </c>
      <c r="C61" s="3" t="s">
        <v>235</v>
      </c>
      <c r="D61" s="3" t="s">
        <v>123</v>
      </c>
      <c r="E61" s="3" t="s">
        <v>27</v>
      </c>
      <c r="F61" s="3" t="s">
        <v>15</v>
      </c>
      <c r="G61" s="3" t="s">
        <v>236</v>
      </c>
      <c r="H61" s="3" t="s">
        <v>237</v>
      </c>
      <c r="I61" s="3" t="str">
        <f>IFERROR(__xludf.DUMMYFUNCTION("GOOGLETRANSLATE(C61,""fr"",""en"")"),"The slogan (it's the maaf that I prefer)
Make me laugh very slowly, being a customer at Maaf for over 25 years for the home as well as Auto without ever having had a disaster, in the last August I was stolen my vehicle on vacation and the 14/06 /2018 is "&amp;"10 months later and with the visit of a private detective in the meantime which has passed home because when you have to compensate the victims it is limited to you for the culprit to call them. A story without end.
I am very very disappointed with this "&amp;"insurance so I advise you to beware of this totally false slogan.
I will keep Internet users informed of the suite of the @+ file")</f>
        <v>The slogan (it's the maaf that I prefer)
Make me laugh very slowly, being a customer at Maaf for over 25 years for the home as well as Auto without ever having had a disaster, in the last August I was stolen my vehicle on vacation and the 14/06 /2018 is 10 months later and with the visit of a private detective in the meantime which has passed home because when you have to compensate the victims it is limited to you for the culprit to call them. A story without end.
I am very very disappointed with this insurance so I advise you to beware of this totally false slogan.
I will keep Internet users informed of the suite of the @+ file</v>
      </c>
    </row>
    <row r="62" ht="15.75" customHeight="1">
      <c r="A62" s="3">
        <v>3.0</v>
      </c>
      <c r="B62" s="3" t="s">
        <v>238</v>
      </c>
      <c r="C62" s="3" t="s">
        <v>239</v>
      </c>
      <c r="D62" s="3" t="s">
        <v>53</v>
      </c>
      <c r="E62" s="3" t="s">
        <v>27</v>
      </c>
      <c r="F62" s="3" t="s">
        <v>15</v>
      </c>
      <c r="G62" s="3" t="s">
        <v>240</v>
      </c>
      <c r="H62" s="3" t="s">
        <v>69</v>
      </c>
      <c r="I62" s="3" t="str">
        <f>IFERROR(__xludf.DUMMYFUNCTION("GOOGLETRANSLATE(C62,""fr"",""en"")"),"For the moment I compare the offers of tenders but the price that Direct Insurance offers is not the most low. But I recognize that the content of the offer remains interesting.")</f>
        <v>For the moment I compare the offers of tenders but the price that Direct Insurance offers is not the most low. But I recognize that the content of the offer remains interesting.</v>
      </c>
    </row>
    <row r="63" ht="15.75" customHeight="1">
      <c r="A63" s="3">
        <v>1.0</v>
      </c>
      <c r="B63" s="3" t="s">
        <v>241</v>
      </c>
      <c r="C63" s="3" t="s">
        <v>242</v>
      </c>
      <c r="D63" s="3" t="s">
        <v>243</v>
      </c>
      <c r="E63" s="3" t="s">
        <v>48</v>
      </c>
      <c r="F63" s="3" t="s">
        <v>15</v>
      </c>
      <c r="G63" s="3" t="s">
        <v>244</v>
      </c>
      <c r="H63" s="3" t="s">
        <v>139</v>
      </c>
      <c r="I63" s="3" t="str">
        <f>IFERROR(__xludf.DUMMYFUNCTION("GOOGLETRANSLATE(C63,""fr"",""en"")"),"To flee. Please note, lack of transparency !!! They make you very interesting prices on quote so that you sign the contract but once the final tables are transmitted the prices explode (with the answer that the quotes are non -contractual !!!)
In additio"&amp;"n, when they are contacted they make the dead until you recall (surely hoping that you forget ...)
Very attractive but ultimately much more expensive than the others")</f>
        <v>To flee. Please note, lack of transparency !!! They make you very interesting prices on quote so that you sign the contract but once the final tables are transmitted the prices explode (with the answer that the quotes are non -contractual !!!)
In addition, when they are contacted they make the dead until you recall (surely hoping that you forget ...)
Very attractive but ultimately much more expensive than the others</v>
      </c>
    </row>
    <row r="64" ht="15.75" customHeight="1">
      <c r="A64" s="3">
        <v>1.0</v>
      </c>
      <c r="B64" s="3" t="s">
        <v>245</v>
      </c>
      <c r="C64" s="3" t="s">
        <v>246</v>
      </c>
      <c r="D64" s="3" t="s">
        <v>247</v>
      </c>
      <c r="E64" s="3" t="s">
        <v>27</v>
      </c>
      <c r="F64" s="3" t="s">
        <v>15</v>
      </c>
      <c r="G64" s="3" t="s">
        <v>204</v>
      </c>
      <c r="H64" s="3" t="s">
        <v>205</v>
      </c>
      <c r="I64" s="3" t="str">
        <f>IFERROR(__xludf.DUMMYFUNCTION("GOOGLETRANSLATE(C64,""fr"",""en"")"),"Hello,
The Macif has well -placed comedian offers but as soon as you have an SO = inist the processing time is long about 2 months to have a negative response when this response could have given me after 10 days.
I am not talking about calls and passa"&amp;"ge in agency which does not manage the claims, I made a complaint letter or I never had an answer.
In summary, not having a claim because in this case be careful.")</f>
        <v>Hello,
The Macif has well -placed comedian offers but as soon as you have an SO = inist the processing time is long about 2 months to have a negative response when this response could have given me after 10 days.
I am not talking about calls and passage in agency which does not manage the claims, I made a complaint letter or I never had an answer.
In summary, not having a claim because in this case be careful.</v>
      </c>
    </row>
    <row r="65" ht="15.75" customHeight="1">
      <c r="A65" s="3">
        <v>2.0</v>
      </c>
      <c r="B65" s="3" t="s">
        <v>248</v>
      </c>
      <c r="C65" s="3" t="s">
        <v>249</v>
      </c>
      <c r="D65" s="3" t="s">
        <v>123</v>
      </c>
      <c r="E65" s="3" t="s">
        <v>27</v>
      </c>
      <c r="F65" s="3" t="s">
        <v>15</v>
      </c>
      <c r="G65" s="3" t="s">
        <v>205</v>
      </c>
      <c r="H65" s="3" t="s">
        <v>205</v>
      </c>
      <c r="I65" s="3" t="str">
        <f>IFERROR(__xludf.DUMMYFUNCTION("GOOGLETRANSLATE(C65,""fr"",""en"")"),"Very very disappointed with the advice of the Maaf sinister service !!!!!!
Victim of insurance fraud I call this service to advise me and result I have the right to 25% penalty
Recall of facts
I called the MAAF to obtain advice to cover myself agains"&amp;"t a false statement.
This is what I described by phone ""in a parking lot, I parked and I forgot my hand brake. The owner of the other vehicle took advantage of this opportunity to declare a disaster in order to be paid for damage repairs already present"&amp;" on his vehicle. On which I refused to fill out an amicable observation »
To cover the MAAF advised me to send him an observation to L.Amable in order to give our version on the opposing false statement.
The MAAF M.A specified that it was not necessary "&amp;"to worry that experts will be able to do the share of things and prove my veracity since my vehicle has no damage, not even a scratch.
J.AI Don sent following their advice an amicable observation specifying the facts described above and re specifying tha"&amp;"t there was no damage; nor any responsibility on our part since the declaration of the party was false.
In response to the latter, the MAAF tells me by letter of 10/20/20 that my responsibility in this accident was total and that a 25% penalty would be a"&amp;"pplied to me !!!!! even if no damage n. was noted !!!!")</f>
        <v>Very very disappointed with the advice of the Maaf sinister service !!!!!!
Victim of insurance fraud I call this service to advise me and result I have the right to 25% penalty
Recall of facts
I called the MAAF to obtain advice to cover myself against a false statement.
This is what I described by phone "in a parking lot, I parked and I forgot my hand brake. The owner of the other vehicle took advantage of this opportunity to declare a disaster in order to be paid for damage repairs already present on his vehicle. On which I refused to fill out an amicable observation »
To cover the MAAF advised me to send him an observation to L.Amable in order to give our version on the opposing false statement.
The MAAF M.A specified that it was not necessary to worry that experts will be able to do the share of things and prove my veracity since my vehicle has no damage, not even a scratch.
J.AI Don sent following their advice an amicable observation specifying the facts described above and re specifying that there was no damage; nor any responsibility on our part since the declaration of the party was false.
In response to the latter, the MAAF tells me by letter of 10/20/20 that my responsibility in this accident was total and that a 25% penalty would be applied to me !!!!! even if no damage n. was noted !!!!</v>
      </c>
    </row>
    <row r="66" ht="15.75" customHeight="1">
      <c r="A66" s="3">
        <v>2.0</v>
      </c>
      <c r="B66" s="3" t="s">
        <v>250</v>
      </c>
      <c r="C66" s="3" t="s">
        <v>251</v>
      </c>
      <c r="D66" s="3" t="s">
        <v>53</v>
      </c>
      <c r="E66" s="3" t="s">
        <v>27</v>
      </c>
      <c r="F66" s="3" t="s">
        <v>15</v>
      </c>
      <c r="G66" s="3" t="s">
        <v>252</v>
      </c>
      <c r="H66" s="3" t="s">
        <v>50</v>
      </c>
      <c r="I66" s="3" t="str">
        <f>IFERROR(__xludf.DUMMYFUNCTION("GOOGLETRANSLATE(C66,""fr"",""en"")"),"I am not sattisfit because my price to increase by more than 150 euros in a month .... and I do not understand why. The salesperson on the phone could not answer me")</f>
        <v>I am not sattisfit because my price to increase by more than 150 euros in a month .... and I do not understand why. The salesperson on the phone could not answer me</v>
      </c>
    </row>
    <row r="67" ht="15.75" customHeight="1">
      <c r="A67" s="3">
        <v>1.0</v>
      </c>
      <c r="B67" s="3" t="s">
        <v>253</v>
      </c>
      <c r="C67" s="3" t="s">
        <v>254</v>
      </c>
      <c r="D67" s="3" t="s">
        <v>37</v>
      </c>
      <c r="E67" s="3" t="s">
        <v>27</v>
      </c>
      <c r="F67" s="3" t="s">
        <v>15</v>
      </c>
      <c r="G67" s="3" t="s">
        <v>255</v>
      </c>
      <c r="H67" s="3" t="s">
        <v>29</v>
      </c>
      <c r="I67" s="3" t="str">
        <f>IFERROR(__xludf.DUMMYFUNCTION("GOOGLETRANSLATE(C67,""fr"",""en"")"),"Satisfied aside that I have to advance the costs of the current incident since the garage is not approved I hope that the reimbursement will be done within a relatively fast time ... Thank you in advance for this request")</f>
        <v>Satisfied aside that I have to advance the costs of the current incident since the garage is not approved I hope that the reimbursement will be done within a relatively fast time ... Thank you in advance for this request</v>
      </c>
    </row>
    <row r="68" ht="15.75" customHeight="1">
      <c r="A68" s="3">
        <v>1.0</v>
      </c>
      <c r="B68" s="3" t="s">
        <v>256</v>
      </c>
      <c r="C68" s="3" t="s">
        <v>257</v>
      </c>
      <c r="D68" s="3" t="s">
        <v>37</v>
      </c>
      <c r="E68" s="3" t="s">
        <v>27</v>
      </c>
      <c r="F68" s="3" t="s">
        <v>15</v>
      </c>
      <c r="G68" s="3" t="s">
        <v>258</v>
      </c>
      <c r="H68" s="3" t="s">
        <v>50</v>
      </c>
      <c r="I68" s="3" t="str">
        <f>IFERROR(__xludf.DUMMYFUNCTION("GOOGLETRANSLATE(C68,""fr"",""en"")"),"I had an accident on May 24, 2021 and to date my car is still not repaired !!!!
They are missing supposedly elements of the opposing party when I am all risks and not responsible for insurance we are on July 2 and still nothing !!!!
In addition no c"&amp;"ar loan because my car could ride in large I demerd to go to work zero insurance !!!!
Melle Ditte Pauline")</f>
        <v>I had an accident on May 24, 2021 and to date my car is still not repaired !!!!
They are missing supposedly elements of the opposing party when I am all risks and not responsible for insurance we are on July 2 and still nothing !!!!
In addition no car loan because my car could ride in large I demerd to go to work zero insurance !!!!
Melle Ditte Pauline</v>
      </c>
    </row>
    <row r="69" ht="15.75" customHeight="1">
      <c r="A69" s="3">
        <v>5.0</v>
      </c>
      <c r="B69" s="3" t="s">
        <v>259</v>
      </c>
      <c r="C69" s="3" t="s">
        <v>260</v>
      </c>
      <c r="D69" s="3" t="s">
        <v>137</v>
      </c>
      <c r="E69" s="3" t="s">
        <v>76</v>
      </c>
      <c r="F69" s="3" t="s">
        <v>15</v>
      </c>
      <c r="G69" s="3" t="s">
        <v>261</v>
      </c>
      <c r="H69" s="3" t="s">
        <v>262</v>
      </c>
      <c r="I69" s="3" t="str">
        <f>IFERROR(__xludf.DUMMYFUNCTION("GOOGLETRANSLATE(C69,""fr"",""en"")"),"20 years with them !!! And very satisfied !!
I had the misfortune to have to face 3 claims in 2 years (two water degates) and criminals necessary to appeal to legal protection.
I am for the time being fully satisfied with the management of these claims:"&amp;" very reactive and effective advisers, always the same interlocutor and rapidity of intervention .... I have nothing to complain about .... everything recently I have just opened Another loss file: let us hope that it is despite this whole file be deals w"&amp;"ith a way such efficzce and that the maif continues to insure !!!")</f>
        <v>20 years with them !!! And very satisfied !!
I had the misfortune to have to face 3 claims in 2 years (two water degates) and criminals necessary to appeal to legal protection.
I am for the time being fully satisfied with the management of these claims: very reactive and effective advisers, always the same interlocutor and rapidity of intervention .... I have nothing to complain about .... everything recently I have just opened Another loss file: let us hope that it is despite this whole file be deals with a way such efficzce and that the maif continues to insure !!!</v>
      </c>
    </row>
    <row r="70" ht="15.75" customHeight="1">
      <c r="A70" s="3">
        <v>3.0</v>
      </c>
      <c r="B70" s="3" t="s">
        <v>263</v>
      </c>
      <c r="C70" s="3" t="s">
        <v>264</v>
      </c>
      <c r="D70" s="3" t="s">
        <v>247</v>
      </c>
      <c r="E70" s="3" t="s">
        <v>76</v>
      </c>
      <c r="F70" s="3" t="s">
        <v>15</v>
      </c>
      <c r="G70" s="3" t="s">
        <v>265</v>
      </c>
      <c r="H70" s="3" t="s">
        <v>266</v>
      </c>
      <c r="I70" s="3" t="str">
        <f>IFERROR(__xludf.DUMMYFUNCTION("GOOGLETRANSLATE(C70,""fr"",""en"")"),"Very happy with my home insurance but not had a claim .., auto some setbacks but without regulations pb I hesitate to take out home insurance for a parent in view of the crowd of reproaches and criticisms !! In addition, their web quality service is not i"&amp;"n its answers ?? Still the same sentence asking to contact the service in receipt. It really makes ""client contempt""
Said Mr. Qualite ... We tell you that nobody answers ....")</f>
        <v>Very happy with my home insurance but not had a claim .., auto some setbacks but without regulations pb I hesitate to take out home insurance for a parent in view of the crowd of reproaches and criticisms !! In addition, their web quality service is not in its answers ?? Still the same sentence asking to contact the service in receipt. It really makes "client contempt"
Said Mr. Qualite ... We tell you that nobody answers ....</v>
      </c>
    </row>
    <row r="71" ht="15.75" customHeight="1">
      <c r="A71" s="3">
        <v>2.0</v>
      </c>
      <c r="B71" s="3" t="s">
        <v>267</v>
      </c>
      <c r="C71" s="3" t="s">
        <v>268</v>
      </c>
      <c r="D71" s="3" t="s">
        <v>53</v>
      </c>
      <c r="E71" s="3" t="s">
        <v>27</v>
      </c>
      <c r="F71" s="3" t="s">
        <v>15</v>
      </c>
      <c r="G71" s="3" t="s">
        <v>269</v>
      </c>
      <c r="H71" s="3" t="s">
        <v>90</v>
      </c>
      <c r="I71" s="3" t="str">
        <f>IFERROR(__xludf.DUMMYFUNCTION("GOOGLETRANSLATE(C71,""fr"",""en"")"),"I have more than 12 years of insurance with a good 50% and despite this direct insurance terminated my contract because of not having given documents in particular the registration card following the purchase of a car New. It was the prefecture that has b"&amp;"een slow to issue the gray card. The consequences are serious, it is difficult to find another insurer at less than 1000 euros.")</f>
        <v>I have more than 12 years of insurance with a good 50% and despite this direct insurance terminated my contract because of not having given documents in particular the registration card following the purchase of a car New. It was the prefecture that has been slow to issue the gray card. The consequences are serious, it is difficult to find another insurer at less than 1000 euros.</v>
      </c>
    </row>
    <row r="72" ht="15.75" customHeight="1">
      <c r="A72" s="3">
        <v>5.0</v>
      </c>
      <c r="B72" s="3" t="s">
        <v>270</v>
      </c>
      <c r="C72" s="3" t="s">
        <v>271</v>
      </c>
      <c r="D72" s="3" t="s">
        <v>53</v>
      </c>
      <c r="E72" s="3" t="s">
        <v>27</v>
      </c>
      <c r="F72" s="3" t="s">
        <v>15</v>
      </c>
      <c r="G72" s="3" t="s">
        <v>272</v>
      </c>
      <c r="H72" s="3" t="s">
        <v>72</v>
      </c>
      <c r="I72" s="3" t="str">
        <f>IFERROR(__xludf.DUMMYFUNCTION("GOOGLETRANSLATE(C72,""fr"",""en"")"),"I am satisfied with service and the prices I agree too, I compared with another insurance and I found the best price at Direct Insurance.")</f>
        <v>I am satisfied with service and the prices I agree too, I compared with another insurance and I found the best price at Direct Insurance.</v>
      </c>
    </row>
    <row r="73" ht="15.75" customHeight="1">
      <c r="A73" s="3">
        <v>1.0</v>
      </c>
      <c r="B73" s="3" t="s">
        <v>273</v>
      </c>
      <c r="C73" s="3" t="s">
        <v>274</v>
      </c>
      <c r="D73" s="3" t="s">
        <v>247</v>
      </c>
      <c r="E73" s="3" t="s">
        <v>27</v>
      </c>
      <c r="F73" s="3" t="s">
        <v>15</v>
      </c>
      <c r="G73" s="3" t="s">
        <v>275</v>
      </c>
      <c r="H73" s="3" t="s">
        <v>276</v>
      </c>
      <c r="I73" s="3" t="str">
        <f>IFERROR(__xludf.DUMMYFUNCTION("GOOGLETRANSLATE(C73,""fr"",""en"")"),"A star is because I'm forced. I have had no misadventures with the Macif but have been a client for several years. I just want to support these injured customers and even plan to terminate my contracts, given the reputation of this insurance.
That future"&amp;" potential customers take note of these opinions, I participate in your average and hope that you will close shop, you and all your kinds of your kind. Obsessed with money (money you fly .... yes yes that you fly) !!
The rotten outside, tired of letting "&amp;"it and close our mouths.")</f>
        <v>A star is because I'm forced. I have had no misadventures with the Macif but have been a client for several years. I just want to support these injured customers and even plan to terminate my contracts, given the reputation of this insurance.
That future potential customers take note of these opinions, I participate in your average and hope that you will close shop, you and all your kinds of your kind. Obsessed with money (money you fly .... yes yes that you fly) !!
The rotten outside, tired of letting it and close our mouths.</v>
      </c>
    </row>
    <row r="74" ht="15.75" customHeight="1">
      <c r="A74" s="3">
        <v>5.0</v>
      </c>
      <c r="B74" s="3" t="s">
        <v>277</v>
      </c>
      <c r="C74" s="3" t="s">
        <v>278</v>
      </c>
      <c r="D74" s="3" t="s">
        <v>80</v>
      </c>
      <c r="E74" s="3" t="s">
        <v>81</v>
      </c>
      <c r="F74" s="3" t="s">
        <v>15</v>
      </c>
      <c r="G74" s="3" t="s">
        <v>225</v>
      </c>
      <c r="H74" s="3" t="s">
        <v>72</v>
      </c>
      <c r="I74" s="3" t="str">
        <f>IFERROR(__xludf.DUMMYFUNCTION("GOOGLETRANSLATE(C74,""fr"",""en"")"),"For the moment everything went well and the registration has been easy I hope it will continue because it is really cheap compared to other insurance")</f>
        <v>For the moment everything went well and the registration has been easy I hope it will continue because it is really cheap compared to other insurance</v>
      </c>
    </row>
    <row r="75" ht="15.75" customHeight="1">
      <c r="A75" s="3">
        <v>3.0</v>
      </c>
      <c r="B75" s="3" t="s">
        <v>279</v>
      </c>
      <c r="C75" s="3" t="s">
        <v>280</v>
      </c>
      <c r="D75" s="3" t="s">
        <v>53</v>
      </c>
      <c r="E75" s="3" t="s">
        <v>27</v>
      </c>
      <c r="F75" s="3" t="s">
        <v>15</v>
      </c>
      <c r="G75" s="3" t="s">
        <v>281</v>
      </c>
      <c r="H75" s="3" t="s">
        <v>29</v>
      </c>
      <c r="I75" s="3" t="str">
        <f>IFERROR(__xludf.DUMMYFUNCTION("GOOGLETRANSLATE(C75,""fr"",""en"")"),"For now nothing to say. Prices suit me. To see in time and with the experience of this first year of contract and with needs.")</f>
        <v>For now nothing to say. Prices suit me. To see in time and with the experience of this first year of contract and with needs.</v>
      </c>
    </row>
    <row r="76" ht="15.75" customHeight="1">
      <c r="A76" s="3">
        <v>5.0</v>
      </c>
      <c r="B76" s="3" t="s">
        <v>282</v>
      </c>
      <c r="C76" s="3" t="s">
        <v>283</v>
      </c>
      <c r="D76" s="3" t="s">
        <v>97</v>
      </c>
      <c r="E76" s="3" t="s">
        <v>81</v>
      </c>
      <c r="F76" s="3" t="s">
        <v>15</v>
      </c>
      <c r="G76" s="3" t="s">
        <v>284</v>
      </c>
      <c r="H76" s="3" t="s">
        <v>29</v>
      </c>
      <c r="I76" s="3" t="str">
        <f>IFERROR(__xludf.DUMMYFUNCTION("GOOGLETRANSLATE(C76,""fr"",""en"")"),"I am very satisfied, fast and efficient subscription, very competitive price compared to the competition, wide choice of well -suited guarantees.")</f>
        <v>I am very satisfied, fast and efficient subscription, very competitive price compared to the competition, wide choice of well -suited guarantees.</v>
      </c>
    </row>
    <row r="77" ht="15.75" customHeight="1">
      <c r="A77" s="3">
        <v>3.0</v>
      </c>
      <c r="B77" s="3" t="s">
        <v>285</v>
      </c>
      <c r="C77" s="3" t="s">
        <v>286</v>
      </c>
      <c r="D77" s="3" t="s">
        <v>97</v>
      </c>
      <c r="E77" s="3" t="s">
        <v>81</v>
      </c>
      <c r="F77" s="3" t="s">
        <v>15</v>
      </c>
      <c r="G77" s="3" t="s">
        <v>287</v>
      </c>
      <c r="H77" s="3" t="s">
        <v>125</v>
      </c>
      <c r="I77" s="3" t="str">
        <f>IFERROR(__xludf.DUMMYFUNCTION("GOOGLETRANSLATE(C77,""fr"",""en"")"),"To flee !!!
Accident on June 8 with 10 days of ITT, I did the necessary in 48 hours to bring the required elements to the expert and organize the removal of my motorcycle.
Having succeeded in avoiding the collision, an appeal must be made to the ins"&amp;"urance of the third party responsible before any care. The opposing company being foreign (and the third party too) AMV will have to deal with a correspondent on France.
Then begins the nightmare, the AMV services show an unacceptable passivity which o"&amp;"nly reflects the interest they have in their customers.
In short, I had to get in touch with the MAAF myself and with opposing insurance in Portugal so that my file advances a minimum. With each contact, my interlocutors (all combined) discover new ele"&amp;"ments in my file (which speaks volumes about the quality and regularity of follow -up).
Following my various reminders with the opposing company and its correspondent, I inform AMV on 25/07 that the care agreement is confirmed. Despite several reminder"&amp;"s, no return from AMV, no progress, we will just answer that the follow -up is scheduled for 07/08. To understand therefore, that even by chewing the work of their sinister service, it took 2 weeks for someone to deign to take a look at the file.
When "&amp;"I finally have a return on 08/08, the latter consists in informing me:
- that in the absence of the return of the MAAF, AMV revived them by post ... (rebelote for 2 or even 3 weeks without progress ...)
- that they claimed the detailed declaration of th"&amp;"e opposing driver (2 months after the opening of the file and even when they know that the file was confirmed by the opposing party !!!)
Communication by phone or email seems to be totally nonexistent from the start.
Result, a summer without motorcy"&amp;"cle, a bitter feeling of being taken hostage by people who do not care completely and a conviction to public transport to reduced rotations, because summer period, to go to work.")</f>
        <v>To flee !!!
Accident on June 8 with 10 days of ITT, I did the necessary in 48 hours to bring the required elements to the expert and organize the removal of my motorcycle.
Having succeeded in avoiding the collision, an appeal must be made to the insurance of the third party responsible before any care. The opposing company being foreign (and the third party too) AMV will have to deal with a correspondent on France.
Then begins the nightmare, the AMV services show an unacceptable passivity which only reflects the interest they have in their customers.
In short, I had to get in touch with the MAAF myself and with opposing insurance in Portugal so that my file advances a minimum. With each contact, my interlocutors (all combined) discover new elements in my file (which speaks volumes about the quality and regularity of follow -up).
Following my various reminders with the opposing company and its correspondent, I inform AMV on 25/07 that the care agreement is confirmed. Despite several reminders, no return from AMV, no progress, we will just answer that the follow -up is scheduled for 07/08. To understand therefore, that even by chewing the work of their sinister service, it took 2 weeks for someone to deign to take a look at the file.
When I finally have a return on 08/08, the latter consists in informing me:
- that in the absence of the return of the MAAF, AMV revived them by post ... (rebelote for 2 or even 3 weeks without progress ...)
- that they claimed the detailed declaration of the opposing driver (2 months after the opening of the file and even when they know that the file was confirmed by the opposing party !!!)
Communication by phone or email seems to be totally nonexistent from the start.
Result, a summer without motorcycle, a bitter feeling of being taken hostage by people who do not care completely and a conviction to public transport to reduced rotations, because summer period, to go to work.</v>
      </c>
    </row>
    <row r="78" ht="15.75" customHeight="1">
      <c r="A78" s="3">
        <v>1.0</v>
      </c>
      <c r="B78" s="3" t="s">
        <v>288</v>
      </c>
      <c r="C78" s="3" t="s">
        <v>289</v>
      </c>
      <c r="D78" s="3" t="s">
        <v>247</v>
      </c>
      <c r="E78" s="3" t="s">
        <v>27</v>
      </c>
      <c r="F78" s="3" t="s">
        <v>15</v>
      </c>
      <c r="G78" s="3" t="s">
        <v>290</v>
      </c>
      <c r="H78" s="3" t="s">
        <v>183</v>
      </c>
      <c r="I78" s="3" t="str">
        <f>IFERROR(__xludf.DUMMYFUNCTION("GOOGLETRANSLATE(C78,""fr"",""en"")"),"Catastrophic contact, questionable practices, synthesis of a commercial approach.
10 years ago, I was a member of the Macif for several years. Due to a local agency. I went back to ask for a quote.
If the welcome was courteous.
Entry in matters has"&amp;" been fast
We sort the societal sorting at the entrance
Let's be clear, this is called intimidation
Without being informative as introduction to a possible customer. I quickly found the coherences, after 4 allée-fresses over several days.
With r"&amp;"egard to an attractive price and clear requests. I have formalized the reading of the General Conditions to clarify very ambiguous points, see flagrant of inconsistency, with my requests.
And observe the type of clientele. Among other requests from my "&amp;"interlocutor. Who wanted to be professional. She quickly found the limit of her contradictions.
As soon as I asked for explanations and raised inconsistencies. This going so far as to brandish the cancellation of a member without reason, beyond asserti"&amp;"ng their rights ???? More than instantly subject, for me who was not yet!
Among other total contradiction of the remarks made and other previous written. Even a few hours apart.
As for customers made up of elderly or foreign origin.
In short, fra"&amp;"gile people; Unable to deal with an argument supported by good or bad faith.
Overall, it's coherent
1 - We don't like protesters who seek between lines,
2 - The quote did not correspond to one of the main points of my request. Which would generate "&amp;"an insurance bias
3 - We favor fragile people, (base of my initial subscription. Doing like me! My interlocutor has quickly changed his attitude)
4 - It is not bad faith, which stifles your interlocutor
5 - We will not inherit to use intimidation
6 - "&amp;"Otherwise we will radiate you, if you have claims, even by asserting your rights
And it is obviously only a taste of a commercial approach, without a contractual relationship.
What about then?
I thank the Macif for this overview of the customer rel"&amp;"ationship, even before I become.
For me, who is very attached to the services!
Attachment that my interlocutor had obviously highlighted, after having told him!
The promises do not engage who those who believe in it!
The realities seem all other"&amp;".
VERY DISAPPOINTED")</f>
        <v>Catastrophic contact, questionable practices, synthesis of a commercial approach.
10 years ago, I was a member of the Macif for several years. Due to a local agency. I went back to ask for a quote.
If the welcome was courteous.
Entry in matters has been fast
We sort the societal sorting at the entrance
Let's be clear, this is called intimidation
Without being informative as introduction to a possible customer. I quickly found the coherences, after 4 allée-fresses over several days.
With regard to an attractive price and clear requests. I have formalized the reading of the General Conditions to clarify very ambiguous points, see flagrant of inconsistency, with my requests.
And observe the type of clientele. Among other requests from my interlocutor. Who wanted to be professional. She quickly found the limit of her contradictions.
As soon as I asked for explanations and raised inconsistencies. This going so far as to brandish the cancellation of a member without reason, beyond asserting their rights ???? More than instantly subject, for me who was not yet!
Among other total contradiction of the remarks made and other previous written. Even a few hours apart.
As for customers made up of elderly or foreign origin.
In short, fragile people; Unable to deal with an argument supported by good or bad faith.
Overall, it's coherent
1 - We don't like protesters who seek between lines,
2 - The quote did not correspond to one of the main points of my request. Which would generate an insurance bias
3 - We favor fragile people, (base of my initial subscription. Doing like me! My interlocutor has quickly changed his attitude)
4 - It is not bad faith, which stifles your interlocutor
5 - We will not inherit to use intimidation
6 - Otherwise we will radiate you, if you have claims, even by asserting your rights
And it is obviously only a taste of a commercial approach, without a contractual relationship.
What about then?
I thank the Macif for this overview of the customer relationship, even before I become.
For me, who is very attached to the services!
Attachment that my interlocutor had obviously highlighted, after having told him!
The promises do not engage who those who believe in it!
The realities seem all other.
VERY DISAPPOINTED</v>
      </c>
    </row>
    <row r="79" ht="15.75" customHeight="1">
      <c r="A79" s="3">
        <v>4.0</v>
      </c>
      <c r="B79" s="3" t="s">
        <v>291</v>
      </c>
      <c r="C79" s="3" t="s">
        <v>292</v>
      </c>
      <c r="D79" s="3" t="s">
        <v>80</v>
      </c>
      <c r="E79" s="3" t="s">
        <v>81</v>
      </c>
      <c r="F79" s="3" t="s">
        <v>15</v>
      </c>
      <c r="G79" s="3" t="s">
        <v>114</v>
      </c>
      <c r="H79" s="3" t="s">
        <v>29</v>
      </c>
      <c r="I79" s="3" t="str">
        <f>IFERROR(__xludf.DUMMYFUNCTION("GOOGLETRANSLATE(C79,""fr"",""en"")"),"I am overall satisfied with prices and conditions but still lacks a little more on information before subscription from advisers, I just lost 6000 euros with my 2019 Piaggio Mp3 simply parsque we do not not advised on the breakdown and engine clause, and "&amp;"believe me it hurts to lose as much dargent just because of a clause at 3 euros more monthly,
I will keep a bad memory be in on, but I remain faithful despite everything, do not ask me why I don't even know it, maybe you just need insurance ??")</f>
        <v>I am overall satisfied with prices and conditions but still lacks a little more on information before subscription from advisers, I just lost 6000 euros with my 2019 Piaggio Mp3 simply parsque we do not not advised on the breakdown and engine clause, and believe me it hurts to lose as much dargent just because of a clause at 3 euros more monthly,
I will keep a bad memory be in on, but I remain faithful despite everything, do not ask me why I don't even know it, maybe you just need insurance ??</v>
      </c>
    </row>
    <row r="80" ht="15.75" customHeight="1">
      <c r="A80" s="3">
        <v>1.0</v>
      </c>
      <c r="B80" s="3" t="s">
        <v>293</v>
      </c>
      <c r="C80" s="3" t="s">
        <v>294</v>
      </c>
      <c r="D80" s="3" t="s">
        <v>53</v>
      </c>
      <c r="E80" s="3" t="s">
        <v>27</v>
      </c>
      <c r="F80" s="3" t="s">
        <v>15</v>
      </c>
      <c r="G80" s="3" t="s">
        <v>295</v>
      </c>
      <c r="H80" s="3" t="s">
        <v>72</v>
      </c>
      <c r="I80" s="3" t="str">
        <f>IFERROR(__xludf.DUMMYFUNCTION("GOOGLETRANSLATE(C80,""fr"",""en"")"),"I am not satisfied with the services prices increases for no reason.
We have been containing since 2020 !!
It's a shame !
Send me the statistics of the Vienna prefectures 86.")</f>
        <v>I am not satisfied with the services prices increases for no reason.
We have been containing since 2020 !!
It's a shame !
Send me the statistics of the Vienna prefectures 86.</v>
      </c>
    </row>
    <row r="81" ht="15.75" customHeight="1">
      <c r="A81" s="3">
        <v>1.0</v>
      </c>
      <c r="B81" s="3" t="s">
        <v>296</v>
      </c>
      <c r="C81" s="3" t="s">
        <v>297</v>
      </c>
      <c r="D81" s="3" t="s">
        <v>193</v>
      </c>
      <c r="E81" s="3" t="s">
        <v>14</v>
      </c>
      <c r="F81" s="3" t="s">
        <v>15</v>
      </c>
      <c r="G81" s="3" t="s">
        <v>298</v>
      </c>
      <c r="H81" s="3" t="s">
        <v>58</v>
      </c>
      <c r="I81" s="3" t="str">
        <f>IFERROR(__xludf.DUMMYFUNCTION("GOOGLETRANSLATE(C81,""fr"",""en"")"),"Very very expensive.
 Quality of service close to nothing. Count 4 months minimum for the study of the quote of a dental prosthesis, if they do not get your file.
Only quality: the kindness of personnel in their Poitiers offices.
For the rest, 0 po"&amp;"inted.
")</f>
        <v>Very very expensive.
 Quality of service close to nothing. Count 4 months minimum for the study of the quote of a dental prosthesis, if they do not get your file.
Only quality: the kindness of personnel in their Poitiers offices.
For the rest, 0 pointed.
</v>
      </c>
    </row>
    <row r="82" ht="15.75" customHeight="1">
      <c r="A82" s="3">
        <v>5.0</v>
      </c>
      <c r="B82" s="3" t="s">
        <v>299</v>
      </c>
      <c r="C82" s="3" t="s">
        <v>300</v>
      </c>
      <c r="D82" s="3" t="s">
        <v>37</v>
      </c>
      <c r="E82" s="3" t="s">
        <v>27</v>
      </c>
      <c r="F82" s="3" t="s">
        <v>15</v>
      </c>
      <c r="G82" s="3" t="s">
        <v>23</v>
      </c>
      <c r="H82" s="3" t="s">
        <v>23</v>
      </c>
      <c r="I82" s="3" t="str">
        <f>IFERROR(__xludf.DUMMYFUNCTION("GOOGLETRANSLATE(C82,""fr"",""en"")"),"I am completely satisfied with the service offered, fast and efficient as well as attractive prices I will recommend it to my loved ones if necessary. Cordially")</f>
        <v>I am completely satisfied with the service offered, fast and efficient as well as attractive prices I will recommend it to my loved ones if necessary. Cordially</v>
      </c>
    </row>
    <row r="83" ht="15.75" customHeight="1">
      <c r="A83" s="3">
        <v>1.0</v>
      </c>
      <c r="B83" s="3" t="s">
        <v>301</v>
      </c>
      <c r="C83" s="3" t="s">
        <v>302</v>
      </c>
      <c r="D83" s="3" t="s">
        <v>37</v>
      </c>
      <c r="E83" s="3" t="s">
        <v>27</v>
      </c>
      <c r="F83" s="3" t="s">
        <v>15</v>
      </c>
      <c r="G83" s="3" t="s">
        <v>303</v>
      </c>
      <c r="H83" s="3" t="s">
        <v>58</v>
      </c>
      <c r="I83" s="3" t="str">
        <f>IFERROR(__xludf.DUMMYFUNCTION("GOOGLETRANSLATE(C83,""fr"",""en"")"),"Quote of a certain amount that does not correspond to the final contract which is obviously higher. I am very disappointed even if a small commercial gesture has been made the difference between the quote and the contract still remains 120 euros (proof at"&amp;" the support and provided to the complaint service). No longer having the choice I validated the contract but as soon as I can I change insurance because I no longer trust.")</f>
        <v>Quote of a certain amount that does not correspond to the final contract which is obviously higher. I am very disappointed even if a small commercial gesture has been made the difference between the quote and the contract still remains 120 euros (proof at the support and provided to the complaint service). No longer having the choice I validated the contract but as soon as I can I change insurance because I no longer trust.</v>
      </c>
    </row>
    <row r="84" ht="15.75" customHeight="1">
      <c r="A84" s="3">
        <v>2.0</v>
      </c>
      <c r="B84" s="3" t="s">
        <v>304</v>
      </c>
      <c r="C84" s="3" t="s">
        <v>305</v>
      </c>
      <c r="D84" s="3" t="s">
        <v>306</v>
      </c>
      <c r="E84" s="3" t="s">
        <v>109</v>
      </c>
      <c r="F84" s="3" t="s">
        <v>15</v>
      </c>
      <c r="G84" s="3" t="s">
        <v>307</v>
      </c>
      <c r="H84" s="3" t="s">
        <v>34</v>
      </c>
      <c r="I84" s="3" t="str">
        <f>IFERROR(__xludf.DUMMYFUNCTION("GOOGLETRANSLATE(C84,""fr"",""en"")"),"I have been at AFER since 2003.
In 2005 when I had a cash need, I made the request to my contract manager and I had the money within three days, the deadlines lengthened to spend around 10 days progress requires!
I made a cash application that was f"&amp;"inalized on October 13 and I still haven't received my money on October 31.
I find this time a lot tro diving because I find that my savings must be immediately available in case of hazards.
I admit that I am a little afraid of leaving my money to A"&amp;"FER because I find that there are a lot of average and bad opinions on AFER on this website.
The reproach I make is obviously detected at the parent company in Paris and not to my manager based in Rouen who has always quickly met all my expectations.
"&amp;"
Perhaps it would be time to replace the current president of AFER with another more sensitive to the wishes of his members.
I will not fail to mention in this gallery the deadline I will need to obtain a partial reimbursement of spanking as soon as I"&amp;" have received my money and if I have to wait too long I do not exclude recovering the whole of my assets placed at AFER
To put them in a place where the grass is greener.")</f>
        <v>I have been at AFER since 2003.
In 2005 when I had a cash need, I made the request to my contract manager and I had the money within three days, the deadlines lengthened to spend around 10 days progress requires!
I made a cash application that was finalized on October 13 and I still haven't received my money on October 31.
I find this time a lot tro diving because I find that my savings must be immediately available in case of hazards.
I admit that I am a little afraid of leaving my money to AFER because I find that there are a lot of average and bad opinions on AFER on this website.
The reproach I make is obviously detected at the parent company in Paris and not to my manager based in Rouen who has always quickly met all my expectations.
Perhaps it would be time to replace the current president of AFER with another more sensitive to the wishes of his members.
I will not fail to mention in this gallery the deadline I will need to obtain a partial reimbursement of spanking as soon as I have received my money and if I have to wait too long I do not exclude recovering the whole of my assets placed at AFER
To put them in a place where the grass is greener.</v>
      </c>
    </row>
    <row r="85" ht="15.75" customHeight="1">
      <c r="A85" s="3">
        <v>1.0</v>
      </c>
      <c r="B85" s="3" t="s">
        <v>308</v>
      </c>
      <c r="C85" s="3" t="s">
        <v>309</v>
      </c>
      <c r="D85" s="3" t="s">
        <v>37</v>
      </c>
      <c r="E85" s="3" t="s">
        <v>27</v>
      </c>
      <c r="F85" s="3" t="s">
        <v>15</v>
      </c>
      <c r="G85" s="3" t="s">
        <v>310</v>
      </c>
      <c r="H85" s="3" t="s">
        <v>23</v>
      </c>
      <c r="I85" s="3" t="str">
        <f>IFERROR(__xludf.DUMMYFUNCTION("GOOGLETRANSLATE(C85,""fr"",""en"")"),"I move from an HLM to a hyper secure villa and my insurance contract increases by 90 euros for supposedly ""risk address"" moreover the change of address is paying. I quickly terminated thank you the Hamon law and it is time to update with the Insurance O"&amp;"livier !!!")</f>
        <v>I move from an HLM to a hyper secure villa and my insurance contract increases by 90 euros for supposedly "risk address" moreover the change of address is paying. I quickly terminated thank you the Hamon law and it is time to update with the Insurance Olivier !!!</v>
      </c>
    </row>
    <row r="86" ht="15.75" customHeight="1">
      <c r="A86" s="3">
        <v>3.0</v>
      </c>
      <c r="B86" s="3" t="s">
        <v>311</v>
      </c>
      <c r="C86" s="3" t="s">
        <v>312</v>
      </c>
      <c r="D86" s="3" t="s">
        <v>80</v>
      </c>
      <c r="E86" s="3" t="s">
        <v>81</v>
      </c>
      <c r="F86" s="3" t="s">
        <v>15</v>
      </c>
      <c r="G86" s="3" t="s">
        <v>120</v>
      </c>
      <c r="H86" s="3" t="s">
        <v>34</v>
      </c>
      <c r="I86" s="3" t="str">
        <f>IFERROR(__xludf.DUMMYFUNCTION("GOOGLETRANSLATE(C86,""fr"",""en"")"),"Good quality price in addition he calls desuits on the quote and for the subscription I will recognize April for my amset these very well they are listening to direct bravo to vs vs")</f>
        <v>Good quality price in addition he calls desuits on the quote and for the subscription I will recognize April for my amset these very well they are listening to direct bravo to vs vs</v>
      </c>
    </row>
    <row r="87" ht="15.75" customHeight="1">
      <c r="A87" s="3">
        <v>1.0</v>
      </c>
      <c r="B87" s="3" t="s">
        <v>313</v>
      </c>
      <c r="C87" s="3" t="s">
        <v>314</v>
      </c>
      <c r="D87" s="3" t="s">
        <v>53</v>
      </c>
      <c r="E87" s="3" t="s">
        <v>27</v>
      </c>
      <c r="F87" s="3" t="s">
        <v>15</v>
      </c>
      <c r="G87" s="3" t="s">
        <v>315</v>
      </c>
      <c r="H87" s="3" t="s">
        <v>316</v>
      </c>
      <c r="I87" s="3" t="str">
        <f>IFERROR(__xludf.DUMMYFUNCTION("GOOGLETRANSLATE(C87,""fr"",""en"")"),"Termination of my insurance contract subscribed online without even informing it, reason invoked the documents provided by my former insurer were not in accordance with. I driven for two weeks without insurance in total ignorance !!")</f>
        <v>Termination of my insurance contract subscribed online without even informing it, reason invoked the documents provided by my former insurer were not in accordance with. I driven for two weeks without insurance in total ignorance !!</v>
      </c>
    </row>
    <row r="88" ht="15.75" customHeight="1">
      <c r="A88" s="3">
        <v>4.0</v>
      </c>
      <c r="B88" s="3" t="s">
        <v>317</v>
      </c>
      <c r="C88" s="3" t="s">
        <v>318</v>
      </c>
      <c r="D88" s="3" t="s">
        <v>37</v>
      </c>
      <c r="E88" s="3" t="s">
        <v>27</v>
      </c>
      <c r="F88" s="3" t="s">
        <v>15</v>
      </c>
      <c r="G88" s="3" t="s">
        <v>319</v>
      </c>
      <c r="H88" s="3" t="s">
        <v>17</v>
      </c>
      <c r="I88" s="3" t="str">
        <f>IFERROR(__xludf.DUMMYFUNCTION("GOOGLETRANSLATE(C88,""fr"",""en"")"),"Very fast and sends in the times of the green card.
This is my first subscription so I'm waiting to see the level of guarantees subscribed.
For the moment I can only recommend ...
")</f>
        <v>Very fast and sends in the times of the green card.
This is my first subscription so I'm waiting to see the level of guarantees subscribed.
For the moment I can only recommend ...
</v>
      </c>
    </row>
    <row r="89" ht="15.75" customHeight="1">
      <c r="A89" s="3">
        <v>2.0</v>
      </c>
      <c r="B89" s="3" t="s">
        <v>320</v>
      </c>
      <c r="C89" s="3" t="s">
        <v>321</v>
      </c>
      <c r="D89" s="3" t="s">
        <v>37</v>
      </c>
      <c r="E89" s="3" t="s">
        <v>27</v>
      </c>
      <c r="F89" s="3" t="s">
        <v>15</v>
      </c>
      <c r="G89" s="3" t="s">
        <v>322</v>
      </c>
      <c r="H89" s="3" t="s">
        <v>322</v>
      </c>
      <c r="I89" s="3" t="str">
        <f>IFERROR(__xludf.DUMMYFUNCTION("GOOGLETRANSLATE(C89,""fr"",""en"")"),"And There you go!
1 year of auto contract with this insurer and always no possibility of accessing my customer area, despite my email and telephone reminders.
And, of course, no proposed solution or deadline.
Just, at the beginning, some muddy explanat"&amp;"ions on a problem of refurbishment of the computer program.
Then, more news from anyone to find out where the situation is.
Mademoiselle Nora of customer service has vanished.
On the other hand, my subscription, it increased by € 17.74 at the end of th"&amp;"e contract.
There, no computer problems! Everything works perfectly.")</f>
        <v>And There you go!
1 year of auto contract with this insurer and always no possibility of accessing my customer area, despite my email and telephone reminders.
And, of course, no proposed solution or deadline.
Just, at the beginning, some muddy explanations on a problem of refurbishment of the computer program.
Then, more news from anyone to find out where the situation is.
Mademoiselle Nora of customer service has vanished.
On the other hand, my subscription, it increased by € 17.74 at the end of the contract.
There, no computer problems! Everything works perfectly.</v>
      </c>
    </row>
    <row r="90" ht="15.75" customHeight="1">
      <c r="A90" s="3">
        <v>4.0</v>
      </c>
      <c r="B90" s="3" t="s">
        <v>323</v>
      </c>
      <c r="C90" s="3" t="s">
        <v>324</v>
      </c>
      <c r="D90" s="3" t="s">
        <v>53</v>
      </c>
      <c r="E90" s="3" t="s">
        <v>27</v>
      </c>
      <c r="F90" s="3" t="s">
        <v>15</v>
      </c>
      <c r="G90" s="3" t="s">
        <v>117</v>
      </c>
      <c r="H90" s="3" t="s">
        <v>99</v>
      </c>
      <c r="I90" s="3" t="str">
        <f>IFERROR(__xludf.DUMMYFUNCTION("GOOGLETRANSLATE(C90,""fr"",""en"")"),"Efficiency. Excellent price, responsiveness.
It is very good. To see if the PRIC continues to drop with the bonus. And in the event of a claim the ability to react")</f>
        <v>Efficiency. Excellent price, responsiveness.
It is very good. To see if the PRIC continues to drop with the bonus. And in the event of a claim the ability to react</v>
      </c>
    </row>
    <row r="91" ht="15.75" customHeight="1">
      <c r="A91" s="3">
        <v>1.0</v>
      </c>
      <c r="B91" s="3" t="s">
        <v>325</v>
      </c>
      <c r="C91" s="3" t="s">
        <v>326</v>
      </c>
      <c r="D91" s="3" t="s">
        <v>327</v>
      </c>
      <c r="E91" s="3" t="s">
        <v>27</v>
      </c>
      <c r="F91" s="3" t="s">
        <v>15</v>
      </c>
      <c r="G91" s="3" t="s">
        <v>328</v>
      </c>
      <c r="H91" s="3" t="s">
        <v>17</v>
      </c>
      <c r="I91" s="3" t="str">
        <f>IFERROR(__xludf.DUMMYFUNCTION("GOOGLETRANSLATE(C91,""fr"",""en"")"),"Hello
I've been trying to cancel car insurance for almost 1 year, and each time it's the same cinema
Did you send the documents?
Yes !
No we didn't receive anything!
")</f>
        <v>Hello
I've been trying to cancel car insurance for almost 1 year, and each time it's the same cinema
Did you send the documents?
Yes !
No we didn't receive anything!
</v>
      </c>
    </row>
    <row r="92" ht="15.75" customHeight="1">
      <c r="A92" s="3">
        <v>5.0</v>
      </c>
      <c r="B92" s="3" t="s">
        <v>329</v>
      </c>
      <c r="C92" s="3" t="s">
        <v>330</v>
      </c>
      <c r="D92" s="3" t="s">
        <v>53</v>
      </c>
      <c r="E92" s="3" t="s">
        <v>27</v>
      </c>
      <c r="F92" s="3" t="s">
        <v>15</v>
      </c>
      <c r="G92" s="3" t="s">
        <v>331</v>
      </c>
      <c r="H92" s="3" t="s">
        <v>29</v>
      </c>
      <c r="I92" s="3" t="str">
        <f>IFERROR(__xludf.DUMMYFUNCTION("GOOGLETRANSLATE(C92,""fr"",""en"")"),"Person contacted by very pleasant and responsive email.
Very interesting rates.
To see in time but for the moment I am more than satisfied.")</f>
        <v>Person contacted by very pleasant and responsive email.
Very interesting rates.
To see in time but for the moment I am more than satisfied.</v>
      </c>
    </row>
    <row r="93" ht="15.75" customHeight="1">
      <c r="A93" s="3">
        <v>1.0</v>
      </c>
      <c r="B93" s="3" t="s">
        <v>332</v>
      </c>
      <c r="C93" s="3" t="s">
        <v>333</v>
      </c>
      <c r="D93" s="3" t="s">
        <v>247</v>
      </c>
      <c r="E93" s="3" t="s">
        <v>109</v>
      </c>
      <c r="F93" s="3" t="s">
        <v>15</v>
      </c>
      <c r="G93" s="3" t="s">
        <v>334</v>
      </c>
      <c r="H93" s="3" t="s">
        <v>335</v>
      </c>
      <c r="I93" s="3" t="str">
        <f>IFERROR(__xludf.DUMMYFUNCTION("GOOGLETRANSLATE(C93,""fr"",""en"")"),"I take the advice of Mikado with which I fully agree. The way Mutavie to manage the money of others is shameful, this management is unconscious, incompetent or simply contemptuous.")</f>
        <v>I take the advice of Mikado with which I fully agree. The way Mutavie to manage the money of others is shameful, this management is unconscious, incompetent or simply contemptuous.</v>
      </c>
    </row>
    <row r="94" ht="15.75" customHeight="1">
      <c r="A94" s="3">
        <v>3.0</v>
      </c>
      <c r="B94" s="3" t="s">
        <v>336</v>
      </c>
      <c r="C94" s="3" t="s">
        <v>337</v>
      </c>
      <c r="D94" s="3" t="s">
        <v>53</v>
      </c>
      <c r="E94" s="3" t="s">
        <v>27</v>
      </c>
      <c r="F94" s="3" t="s">
        <v>15</v>
      </c>
      <c r="G94" s="3" t="s">
        <v>338</v>
      </c>
      <c r="H94" s="3" t="s">
        <v>17</v>
      </c>
      <c r="I94" s="3" t="str">
        <f>IFERROR(__xludf.DUMMYFUNCTION("GOOGLETRANSLATE(C94,""fr"",""en"")"),"My vehicle is immobilized for one month in repair under warranty (stock shortage of the rear bridge part). The concessionaire garage lends me a courtesy vehicle but I must insure it using (as they are used to doing) my usual vehicle insurance applied to t"&amp;"he new loan vehicle. Refusal on your part because it is repair and not a claim! The garage has a group professional coverage (€ 3,500 franchise + all of VAT) unthinkable because it is too risky for an individual. This anomaly makes me walk on foot for 1 m"&amp;"onth while all my insurances are grouped together. Suffice to say my frustration and my dissatisfaction!")</f>
        <v>My vehicle is immobilized for one month in repair under warranty (stock shortage of the rear bridge part). The concessionaire garage lends me a courtesy vehicle but I must insure it using (as they are used to doing) my usual vehicle insurance applied to the new loan vehicle. Refusal on your part because it is repair and not a claim! The garage has a group professional coverage (€ 3,500 franchise + all of VAT) unthinkable because it is too risky for an individual. This anomaly makes me walk on foot for 1 month while all my insurances are grouped together. Suffice to say my frustration and my dissatisfaction!</v>
      </c>
    </row>
    <row r="95" ht="15.75" customHeight="1">
      <c r="A95" s="3">
        <v>3.0</v>
      </c>
      <c r="B95" s="3" t="s">
        <v>339</v>
      </c>
      <c r="C95" s="3" t="s">
        <v>340</v>
      </c>
      <c r="D95" s="3" t="s">
        <v>341</v>
      </c>
      <c r="E95" s="3" t="s">
        <v>76</v>
      </c>
      <c r="F95" s="3" t="s">
        <v>15</v>
      </c>
      <c r="G95" s="3" t="s">
        <v>342</v>
      </c>
      <c r="H95" s="3" t="s">
        <v>29</v>
      </c>
      <c r="I95" s="3" t="str">
        <f>IFERROR(__xludf.DUMMYFUNCTION("GOOGLETRANSLATE(C95,""fr"",""en"")"),"Well compared to online and low-cost insurance, but can do better anyway. At Pacifica before, even more concerns of papers and requests to be taken care of only with difficulty or not at all.
Registration is necessarily made by a banker who transmits to "&amp;"an insurer. Everything is on the phone or by paper. The refusals of care are nebulous. The dilapidation is in order. We can surely find better yet ...")</f>
        <v>Well compared to online and low-cost insurance, but can do better anyway. At Pacifica before, even more concerns of papers and requests to be taken care of only with difficulty or not at all.
Registration is necessarily made by a banker who transmits to an insurer. Everything is on the phone or by paper. The refusals of care are nebulous. The dilapidation is in order. We can surely find better yet ...</v>
      </c>
    </row>
    <row r="96" ht="15.75" customHeight="1">
      <c r="A96" s="3">
        <v>1.0</v>
      </c>
      <c r="B96" s="3" t="s">
        <v>343</v>
      </c>
      <c r="C96" s="3" t="s">
        <v>344</v>
      </c>
      <c r="D96" s="3" t="s">
        <v>345</v>
      </c>
      <c r="E96" s="3" t="s">
        <v>21</v>
      </c>
      <c r="F96" s="3" t="s">
        <v>15</v>
      </c>
      <c r="G96" s="3" t="s">
        <v>346</v>
      </c>
      <c r="H96" s="3" t="s">
        <v>347</v>
      </c>
      <c r="I96" s="3" t="str">
        <f>IFERROR(__xludf.DUMMYFUNCTION("GOOGLETRANSLATE(C96,""fr"",""en"")"),"Intermeau A by standardist who does not have access to anything everything is zero the processing times for the end having an unjustified refusal of the managerial service")</f>
        <v>Intermeau A by standardist who does not have access to anything everything is zero the processing times for the end having an unjustified refusal of the managerial service</v>
      </c>
    </row>
    <row r="97" ht="15.75" customHeight="1">
      <c r="A97" s="3">
        <v>5.0</v>
      </c>
      <c r="B97" s="3" t="s">
        <v>348</v>
      </c>
      <c r="C97" s="3" t="s">
        <v>349</v>
      </c>
      <c r="D97" s="3" t="s">
        <v>53</v>
      </c>
      <c r="E97" s="3" t="s">
        <v>27</v>
      </c>
      <c r="F97" s="3" t="s">
        <v>15</v>
      </c>
      <c r="G97" s="3" t="s">
        <v>350</v>
      </c>
      <c r="H97" s="3" t="s">
        <v>17</v>
      </c>
      <c r="I97" s="3" t="str">
        <f>IFERROR(__xludf.DUMMYFUNCTION("GOOGLETRANSLATE(C97,""fr"",""en"")"),"Satisfied with the light fast service we can choose our options and we can choose the date of the paid paid at any time cordially Mr Boucha")</f>
        <v>Satisfied with the light fast service we can choose our options and we can choose the date of the paid paid at any time cordially Mr Boucha</v>
      </c>
    </row>
    <row r="98" ht="15.75" customHeight="1">
      <c r="A98" s="3">
        <v>5.0</v>
      </c>
      <c r="B98" s="3" t="s">
        <v>351</v>
      </c>
      <c r="C98" s="3" t="s">
        <v>352</v>
      </c>
      <c r="D98" s="3" t="s">
        <v>53</v>
      </c>
      <c r="E98" s="3" t="s">
        <v>27</v>
      </c>
      <c r="F98" s="3" t="s">
        <v>15</v>
      </c>
      <c r="G98" s="3" t="s">
        <v>353</v>
      </c>
      <c r="H98" s="3" t="s">
        <v>58</v>
      </c>
      <c r="I98" s="3" t="str">
        <f>IFERROR(__xludf.DUMMYFUNCTION("GOOGLETRANSLATE(C98,""fr"",""en"")"),"The prices suited me I would continue at home Ci the prices remain correct cordially that the procedures are fast and without problems. Receive my greetings")</f>
        <v>The prices suited me I would continue at home Ci the prices remain correct cordially that the procedures are fast and without problems. Receive my greetings</v>
      </c>
    </row>
    <row r="99" ht="15.75" customHeight="1">
      <c r="A99" s="3">
        <v>1.0</v>
      </c>
      <c r="B99" s="3" t="s">
        <v>354</v>
      </c>
      <c r="C99" s="3" t="s">
        <v>355</v>
      </c>
      <c r="D99" s="3" t="s">
        <v>53</v>
      </c>
      <c r="E99" s="3" t="s">
        <v>27</v>
      </c>
      <c r="F99" s="3" t="s">
        <v>15</v>
      </c>
      <c r="G99" s="3" t="s">
        <v>356</v>
      </c>
      <c r="H99" s="3" t="s">
        <v>44</v>
      </c>
      <c r="I99" s="3" t="str">
        <f>IFERROR(__xludf.DUMMYFUNCTION("GOOGLETRANSLATE(C99,""fr"",""en"")"),"To flee. No service.")</f>
        <v>To flee. No service.</v>
      </c>
    </row>
    <row r="100" ht="15.75" customHeight="1">
      <c r="A100" s="3">
        <v>1.0</v>
      </c>
      <c r="B100" s="3" t="s">
        <v>357</v>
      </c>
      <c r="C100" s="3" t="s">
        <v>358</v>
      </c>
      <c r="D100" s="3" t="s">
        <v>53</v>
      </c>
      <c r="E100" s="3" t="s">
        <v>27</v>
      </c>
      <c r="F100" s="3" t="s">
        <v>15</v>
      </c>
      <c r="G100" s="3" t="s">
        <v>359</v>
      </c>
      <c r="H100" s="3" t="s">
        <v>17</v>
      </c>
      <c r="I100" s="3" t="str">
        <f>IFERROR(__xludf.DUMMYFUNCTION("GOOGLETRANSLATE(C100,""fr"",""en"")"),"Big increase every year.
After a non -responsible disaster, I have to advance ""shameful"" repairs.
The amount that the insurance reimbursed me does not correspond to the amount I have paid, forced to make a complaint to be reimbursed for the difference"&amp;".")</f>
        <v>Big increase every year.
After a non -responsible disaster, I have to advance "shameful" repairs.
The amount that the insurance reimbursed me does not correspond to the amount I have paid, forced to make a complaint to be reimbursed for the difference.</v>
      </c>
    </row>
    <row r="101" ht="15.75" customHeight="1">
      <c r="A101" s="3">
        <v>4.0</v>
      </c>
      <c r="B101" s="3" t="s">
        <v>360</v>
      </c>
      <c r="C101" s="3" t="s">
        <v>361</v>
      </c>
      <c r="D101" s="3" t="s">
        <v>37</v>
      </c>
      <c r="E101" s="3" t="s">
        <v>27</v>
      </c>
      <c r="F101" s="3" t="s">
        <v>15</v>
      </c>
      <c r="G101" s="3" t="s">
        <v>362</v>
      </c>
      <c r="H101" s="3" t="s">
        <v>169</v>
      </c>
      <c r="I101" s="3" t="str">
        <f>IFERROR(__xludf.DUMMYFUNCTION("GOOGLETRANSLATE(C101,""fr"",""en"")"),"Serious insurer with a competitive price. Sinister file set fairly quickly. On the other hand, no details on refund and deductible ..........")</f>
        <v>Serious insurer with a competitive price. Sinister file set fairly quickly. On the other hand, no details on refund and deductible ..........</v>
      </c>
    </row>
    <row r="102" ht="15.75" customHeight="1">
      <c r="A102" s="3">
        <v>3.0</v>
      </c>
      <c r="B102" s="3" t="s">
        <v>363</v>
      </c>
      <c r="C102" s="3" t="s">
        <v>364</v>
      </c>
      <c r="D102" s="3" t="s">
        <v>53</v>
      </c>
      <c r="E102" s="3" t="s">
        <v>27</v>
      </c>
      <c r="F102" s="3" t="s">
        <v>15</v>
      </c>
      <c r="G102" s="3" t="s">
        <v>159</v>
      </c>
      <c r="H102" s="3" t="s">
        <v>159</v>
      </c>
      <c r="I102" s="3" t="str">
        <f>IFERROR(__xludf.DUMMYFUNCTION("GOOGLETRANSLATE(C102,""fr"",""en"")"),"In 3 years I had no claim so no opinion on the management of claims. Nevertheless, whether when setting up the contract or during a call to modify the options, the telephone service was professional and efficient. Unfortunately the prices increased a lot "&amp;"... from € 385 in 2017 we are € 536 in 2020, it's exaggerated !! I leave Direct Assurance for this reason.")</f>
        <v>In 3 years I had no claim so no opinion on the management of claims. Nevertheless, whether when setting up the contract or during a call to modify the options, the telephone service was professional and efficient. Unfortunately the prices increased a lot ... from € 385 in 2017 we are € 536 in 2020, it's exaggerated !! I leave Direct Assurance for this reason.</v>
      </c>
    </row>
    <row r="103" ht="15.75" customHeight="1">
      <c r="A103" s="3">
        <v>1.0</v>
      </c>
      <c r="B103" s="3" t="s">
        <v>365</v>
      </c>
      <c r="C103" s="3" t="s">
        <v>366</v>
      </c>
      <c r="D103" s="3" t="s">
        <v>37</v>
      </c>
      <c r="E103" s="3" t="s">
        <v>27</v>
      </c>
      <c r="F103" s="3" t="s">
        <v>15</v>
      </c>
      <c r="G103" s="3" t="s">
        <v>367</v>
      </c>
      <c r="H103" s="3" t="s">
        <v>367</v>
      </c>
      <c r="I103" s="3" t="str">
        <f>IFERROR(__xludf.DUMMYFUNCTION("GOOGLETRANSLATE(C103,""fr"",""en"")"),"Insurance to flee in the event of a disaster you would never be reimbursed. The long son of waiting on the phone and a staff who are useless sends people to walk.")</f>
        <v>Insurance to flee in the event of a disaster you would never be reimbursed. The long son of waiting on the phone and a staff who are useless sends people to walk.</v>
      </c>
    </row>
    <row r="104" ht="15.75" customHeight="1">
      <c r="A104" s="3">
        <v>4.0</v>
      </c>
      <c r="B104" s="3" t="s">
        <v>368</v>
      </c>
      <c r="C104" s="3" t="s">
        <v>369</v>
      </c>
      <c r="D104" s="3" t="s">
        <v>53</v>
      </c>
      <c r="E104" s="3" t="s">
        <v>27</v>
      </c>
      <c r="F104" s="3" t="s">
        <v>15</v>
      </c>
      <c r="G104" s="3" t="s">
        <v>370</v>
      </c>
      <c r="H104" s="3" t="s">
        <v>58</v>
      </c>
      <c r="I104" s="3" t="str">
        <f>IFERROR(__xludf.DUMMYFUNCTION("GOOGLETRANSLATE(C104,""fr"",""en"")"),"Simple practice, just a shame to take 3 months at once")</f>
        <v>Simple practice, just a shame to take 3 months at once</v>
      </c>
    </row>
    <row r="105" ht="15.75" customHeight="1">
      <c r="A105" s="3">
        <v>1.0</v>
      </c>
      <c r="B105" s="3" t="s">
        <v>371</v>
      </c>
      <c r="C105" s="3" t="s">
        <v>372</v>
      </c>
      <c r="D105" s="3" t="s">
        <v>373</v>
      </c>
      <c r="E105" s="3" t="s">
        <v>14</v>
      </c>
      <c r="F105" s="3" t="s">
        <v>15</v>
      </c>
      <c r="G105" s="3" t="s">
        <v>374</v>
      </c>
      <c r="H105" s="3" t="s">
        <v>347</v>
      </c>
      <c r="I105" s="3" t="str">
        <f>IFERROR(__xludf.DUMMYFUNCTION("GOOGLETRANSLATE(C105,""fr"",""en"")"),"Very bad mutual with customer service completely
incompetent
I only understand a mutual as this one still exists
Impossible to have a client who can respond to my requests despite my daily calls")</f>
        <v>Very bad mutual with customer service completely
incompetent
I only understand a mutual as this one still exists
Impossible to have a client who can respond to my requests despite my daily calls</v>
      </c>
    </row>
    <row r="106" ht="15.75" customHeight="1">
      <c r="A106" s="3">
        <v>4.0</v>
      </c>
      <c r="B106" s="3" t="s">
        <v>375</v>
      </c>
      <c r="C106" s="3" t="s">
        <v>376</v>
      </c>
      <c r="D106" s="3" t="s">
        <v>327</v>
      </c>
      <c r="E106" s="3" t="s">
        <v>27</v>
      </c>
      <c r="F106" s="3" t="s">
        <v>15</v>
      </c>
      <c r="G106" s="3" t="s">
        <v>377</v>
      </c>
      <c r="H106" s="3" t="s">
        <v>378</v>
      </c>
      <c r="I106" s="3" t="str">
        <f>IFERROR(__xludf.DUMMYFUNCTION("GOOGLETRANSLATE(C106,""fr"",""en"")"),"I would have appreciated a more kind and courteous tone from the lady who answered me on the phone no need to add to the stress caused by the breakdown for the rest everything is perfect")</f>
        <v>I would have appreciated a more kind and courteous tone from the lady who answered me on the phone no need to add to the stress caused by the breakdown for the rest everything is perfect</v>
      </c>
    </row>
    <row r="107" ht="15.75" customHeight="1">
      <c r="A107" s="3">
        <v>4.0</v>
      </c>
      <c r="B107" s="3" t="s">
        <v>379</v>
      </c>
      <c r="C107" s="3" t="s">
        <v>380</v>
      </c>
      <c r="D107" s="3" t="s">
        <v>306</v>
      </c>
      <c r="E107" s="3" t="s">
        <v>109</v>
      </c>
      <c r="F107" s="3" t="s">
        <v>15</v>
      </c>
      <c r="G107" s="3" t="s">
        <v>381</v>
      </c>
      <c r="H107" s="3" t="s">
        <v>382</v>
      </c>
      <c r="I107" s="3" t="str">
        <f>IFERROR(__xludf.DUMMYFUNCTION("GOOGLETRANSLATE(C107,""fr"",""en"")"),"I had three partial withdrawals to make in 2020, on a contract which was wealthy until recently.
The first withdrawal took a little time (a little more than a month) because the lifting of the pledge had just been done, it seems to have required manual"&amp;" treatment, and it was not possible to simply ask for withdrawal on the (new) Website but it was necessary to make a request on paper, and wait (because the telephone support was not of great help).
The other 2 withdrawals could be requested on the web"&amp;"site, and were rapid (ten days after the request, the money was on my bank account).
So, except in special cases, withdrawals seem to me to work properly!")</f>
        <v>I had three partial withdrawals to make in 2020, on a contract which was wealthy until recently.
The first withdrawal took a little time (a little more than a month) because the lifting of the pledge had just been done, it seems to have required manual treatment, and it was not possible to simply ask for withdrawal on the (new) Website but it was necessary to make a request on paper, and wait (because the telephone support was not of great help).
The other 2 withdrawals could be requested on the website, and were rapid (ten days after the request, the money was on my bank account).
So, except in special cases, withdrawals seem to me to work properly!</v>
      </c>
    </row>
    <row r="108" ht="15.75" customHeight="1">
      <c r="A108" s="3">
        <v>4.0</v>
      </c>
      <c r="B108" s="3" t="s">
        <v>383</v>
      </c>
      <c r="C108" s="3" t="s">
        <v>384</v>
      </c>
      <c r="D108" s="3" t="s">
        <v>37</v>
      </c>
      <c r="E108" s="3" t="s">
        <v>27</v>
      </c>
      <c r="F108" s="3" t="s">
        <v>15</v>
      </c>
      <c r="G108" s="3" t="s">
        <v>201</v>
      </c>
      <c r="H108" s="3" t="s">
        <v>99</v>
      </c>
      <c r="I108" s="3" t="str">
        <f>IFERROR(__xludf.DUMMYFUNCTION("GOOGLETRANSLATE(C108,""fr"",""en"")"),"Very competent and responsive telephone service, reasonable price character. I think my subscription to this insurance will be a very good choice for the future")</f>
        <v>Very competent and responsive telephone service, reasonable price character. I think my subscription to this insurance will be a very good choice for the future</v>
      </c>
    </row>
    <row r="109" ht="15.75" customHeight="1">
      <c r="A109" s="3">
        <v>1.0</v>
      </c>
      <c r="B109" s="3" t="s">
        <v>385</v>
      </c>
      <c r="C109" s="3" t="s">
        <v>386</v>
      </c>
      <c r="D109" s="3" t="s">
        <v>387</v>
      </c>
      <c r="E109" s="3" t="s">
        <v>81</v>
      </c>
      <c r="F109" s="3" t="s">
        <v>15</v>
      </c>
      <c r="G109" s="3" t="s">
        <v>89</v>
      </c>
      <c r="H109" s="3" t="s">
        <v>90</v>
      </c>
      <c r="I109" s="3" t="str">
        <f>IFERROR(__xludf.DUMMYFUNCTION("GOOGLETRANSLATE(C109,""fr"",""en"")"),"Assurbonplan !!! It's been almost 1 month that I await my maturity and an information statement for my motorcycle. On the phone we take my contact details but nothing happens; by email no answer either. One who works with them?
Here is my client number 5"&amp;"47897647 if no answer I terminate .... it is in my right since you do not respect article L.113-15-1 of the insurance codes.")</f>
        <v>Assurbonplan !!! It's been almost 1 month that I await my maturity and an information statement for my motorcycle. On the phone we take my contact details but nothing happens; by email no answer either. One who works with them?
Here is my client number 547897647 if no answer I terminate .... it is in my right since you do not respect article L.113-15-1 of the insurance codes.</v>
      </c>
    </row>
    <row r="110" ht="15.75" customHeight="1">
      <c r="A110" s="3">
        <v>4.0</v>
      </c>
      <c r="B110" s="3" t="s">
        <v>388</v>
      </c>
      <c r="C110" s="3" t="s">
        <v>389</v>
      </c>
      <c r="D110" s="3" t="s">
        <v>37</v>
      </c>
      <c r="E110" s="3" t="s">
        <v>27</v>
      </c>
      <c r="F110" s="3" t="s">
        <v>15</v>
      </c>
      <c r="G110" s="3" t="s">
        <v>390</v>
      </c>
      <c r="H110" s="3" t="s">
        <v>58</v>
      </c>
      <c r="I110" s="3" t="str">
        <f>IFERROR(__xludf.DUMMYFUNCTION("GOOGLETRANSLATE(C110,""fr"",""en"")"),"Unfortunately, the monthly payment is more expensive than the annual, otherwise it is quite good price compared to the other insurance.
                                ")</f>
        <v>Unfortunately, the monthly payment is more expensive than the annual, otherwise it is quite good price compared to the other insurance.
                                </v>
      </c>
    </row>
    <row r="111" ht="15.75" customHeight="1">
      <c r="A111" s="3">
        <v>1.0</v>
      </c>
      <c r="B111" s="3" t="s">
        <v>391</v>
      </c>
      <c r="C111" s="3" t="s">
        <v>392</v>
      </c>
      <c r="D111" s="3" t="s">
        <v>123</v>
      </c>
      <c r="E111" s="3" t="s">
        <v>76</v>
      </c>
      <c r="F111" s="3" t="s">
        <v>15</v>
      </c>
      <c r="G111" s="3" t="s">
        <v>393</v>
      </c>
      <c r="H111" s="3" t="s">
        <v>69</v>
      </c>
      <c r="I111" s="3" t="str">
        <f>IFERROR(__xludf.DUMMYFUNCTION("GOOGLETRANSLATE(C111,""fr"",""en"")"),"No !
Invite the expert's report not to reimburse.
I resilled very quickly.
I regret having changed insurance.
I had put all my contracts.")</f>
        <v>No !
Invite the expert's report not to reimburse.
I resilled very quickly.
I regret having changed insurance.
I had put all my contracts.</v>
      </c>
    </row>
    <row r="112" ht="15.75" customHeight="1">
      <c r="A112" s="3">
        <v>5.0</v>
      </c>
      <c r="B112" s="3" t="s">
        <v>394</v>
      </c>
      <c r="C112" s="3" t="s">
        <v>395</v>
      </c>
      <c r="D112" s="3" t="s">
        <v>37</v>
      </c>
      <c r="E112" s="3" t="s">
        <v>27</v>
      </c>
      <c r="F112" s="3" t="s">
        <v>15</v>
      </c>
      <c r="G112" s="3" t="s">
        <v>396</v>
      </c>
      <c r="H112" s="3" t="s">
        <v>29</v>
      </c>
      <c r="I112" s="3" t="str">
        <f>IFERROR(__xludf.DUMMYFUNCTION("GOOGLETRANSLATE(C112,""fr"",""en"")"),"A warm welcome with very friendly people and very specific explanations on the contract and I would recommend as good insurance thank you for your welcome
")</f>
        <v>A warm welcome with very friendly people and very specific explanations on the contract and I would recommend as good insurance thank you for your welcome
</v>
      </c>
    </row>
    <row r="113" ht="15.75" customHeight="1">
      <c r="A113" s="3">
        <v>1.0</v>
      </c>
      <c r="B113" s="3" t="s">
        <v>397</v>
      </c>
      <c r="C113" s="3" t="s">
        <v>398</v>
      </c>
      <c r="D113" s="3" t="s">
        <v>399</v>
      </c>
      <c r="E113" s="3" t="s">
        <v>109</v>
      </c>
      <c r="F113" s="3" t="s">
        <v>15</v>
      </c>
      <c r="G113" s="3" t="s">
        <v>400</v>
      </c>
      <c r="H113" s="3" t="s">
        <v>401</v>
      </c>
      <c r="I113" s="3" t="str">
        <f>IFERROR(__xludf.DUMMYFUNCTION("GOOGLETRANSLATE(C113,""fr"",""en"")"),"disastrous!! Interlocutors who do not know what they are talking about, who deny having received a recommended and who hangs up on you
I sent a complete file for my brother and myself two months ago")</f>
        <v>disastrous!! Interlocutors who do not know what they are talking about, who deny having received a recommended and who hangs up on you
I sent a complete file for my brother and myself two months ago</v>
      </c>
    </row>
    <row r="114" ht="15.75" customHeight="1">
      <c r="A114" s="3">
        <v>5.0</v>
      </c>
      <c r="B114" s="3" t="s">
        <v>402</v>
      </c>
      <c r="C114" s="3" t="s">
        <v>403</v>
      </c>
      <c r="D114" s="3" t="s">
        <v>53</v>
      </c>
      <c r="E114" s="3" t="s">
        <v>27</v>
      </c>
      <c r="F114" s="3" t="s">
        <v>15</v>
      </c>
      <c r="G114" s="3" t="s">
        <v>404</v>
      </c>
      <c r="H114" s="3" t="s">
        <v>50</v>
      </c>
      <c r="I114" s="3" t="str">
        <f>IFERROR(__xludf.DUMMYFUNCTION("GOOGLETRANSLATE(C114,""fr"",""en"")"),"satisfied with service, price and speed. everything is perfect.
Availability on impeccable cat
speed of the implementation of insurance
thank you")</f>
        <v>satisfied with service, price and speed. everything is perfect.
Availability on impeccable cat
speed of the implementation of insurance
thank you</v>
      </c>
    </row>
    <row r="115" ht="15.75" customHeight="1">
      <c r="A115" s="3">
        <v>5.0</v>
      </c>
      <c r="B115" s="3" t="s">
        <v>405</v>
      </c>
      <c r="C115" s="3" t="s">
        <v>406</v>
      </c>
      <c r="D115" s="3" t="s">
        <v>53</v>
      </c>
      <c r="E115" s="3" t="s">
        <v>27</v>
      </c>
      <c r="F115" s="3" t="s">
        <v>15</v>
      </c>
      <c r="G115" s="3" t="s">
        <v>407</v>
      </c>
      <c r="H115" s="3" t="s">
        <v>58</v>
      </c>
      <c r="I115" s="3" t="str">
        <f>IFERROR(__xludf.DUMMYFUNCTION("GOOGLETRANSLATE(C115,""fr"",""en"")"),"Very satisfied with their services at the price level it is quite welcome for everyone and very effective service I will recommend very direct insurance to friends and even sponsor")</f>
        <v>Very satisfied with their services at the price level it is quite welcome for everyone and very effective service I will recommend very direct insurance to friends and even sponsor</v>
      </c>
    </row>
    <row r="116" ht="15.75" customHeight="1">
      <c r="A116" s="3">
        <v>1.0</v>
      </c>
      <c r="B116" s="3" t="s">
        <v>408</v>
      </c>
      <c r="C116" s="3" t="s">
        <v>409</v>
      </c>
      <c r="D116" s="3" t="s">
        <v>247</v>
      </c>
      <c r="E116" s="3" t="s">
        <v>109</v>
      </c>
      <c r="F116" s="3" t="s">
        <v>15</v>
      </c>
      <c r="G116" s="3" t="s">
        <v>410</v>
      </c>
      <c r="H116" s="3" t="s">
        <v>411</v>
      </c>
      <c r="I116" s="3" t="str">
        <f>IFERROR(__xludf.DUMMYFUNCTION("GOOGLETRANSLATE(C116,""fr"",""en"")"),"Mutavie I made a request for withdrawal on my life insurance it will be 15 days and still nothing
Inadmisible it is no longer what it was !! For the interests better elsewhere !!")</f>
        <v>Mutavie I made a request for withdrawal on my life insurance it will be 15 days and still nothing
Inadmisible it is no longer what it was !! For the interests better elsewhere !!</v>
      </c>
    </row>
    <row r="117" ht="15.75" customHeight="1">
      <c r="A117" s="3">
        <v>4.0</v>
      </c>
      <c r="B117" s="3" t="s">
        <v>412</v>
      </c>
      <c r="C117" s="3" t="s">
        <v>413</v>
      </c>
      <c r="D117" s="3" t="s">
        <v>37</v>
      </c>
      <c r="E117" s="3" t="s">
        <v>27</v>
      </c>
      <c r="F117" s="3" t="s">
        <v>15</v>
      </c>
      <c r="G117" s="3" t="s">
        <v>414</v>
      </c>
      <c r="H117" s="3" t="s">
        <v>17</v>
      </c>
      <c r="I117" s="3" t="str">
        <f>IFERROR(__xludf.DUMMYFUNCTION("GOOGLETRANSLATE(C117,""fr"",""en"")"),"I am satisfied with the service and the service (telephone and web)
Prices are reasonable
Personal space is practical and easy to use")</f>
        <v>I am satisfied with the service and the service (telephone and web)
Prices are reasonable
Personal space is practical and easy to use</v>
      </c>
    </row>
    <row r="118" ht="15.75" customHeight="1">
      <c r="A118" s="3">
        <v>2.0</v>
      </c>
      <c r="B118" s="3" t="s">
        <v>415</v>
      </c>
      <c r="C118" s="3" t="s">
        <v>416</v>
      </c>
      <c r="D118" s="3" t="s">
        <v>327</v>
      </c>
      <c r="E118" s="3" t="s">
        <v>27</v>
      </c>
      <c r="F118" s="3" t="s">
        <v>15</v>
      </c>
      <c r="G118" s="3" t="s">
        <v>374</v>
      </c>
      <c r="H118" s="3" t="s">
        <v>347</v>
      </c>
      <c r="I118" s="3" t="str">
        <f>IFERROR(__xludf.DUMMYFUNCTION("GOOGLETRANSLATE(C118,""fr"",""en"")"),"You just have to experience a disaster to realize the quality of your insurance and there, Pacifica puts the bar very high! Management of the catastrophic file, an expert cabinet in subcontracting to ban ... Even ensuring all risks, it is never enough: ye"&amp;"s sir, all risk ""initial"" so no loan car, that payable, and Nothing without talking about the expert's report to cry (or laughing), it depends our recoil. In short, I go with my greatest joy to terminate everything with Pacifica.")</f>
        <v>You just have to experience a disaster to realize the quality of your insurance and there, Pacifica puts the bar very high! Management of the catastrophic file, an expert cabinet in subcontracting to ban ... Even ensuring all risks, it is never enough: yes sir, all risk "initial" so no loan car, that payable, and Nothing without talking about the expert's report to cry (or laughing), it depends our recoil. In short, I go with my greatest joy to terminate everything with Pacifica.</v>
      </c>
    </row>
    <row r="119" ht="15.75" customHeight="1">
      <c r="A119" s="3">
        <v>1.0</v>
      </c>
      <c r="B119" s="3" t="s">
        <v>417</v>
      </c>
      <c r="C119" s="3" t="s">
        <v>418</v>
      </c>
      <c r="D119" s="3" t="s">
        <v>399</v>
      </c>
      <c r="E119" s="3" t="s">
        <v>48</v>
      </c>
      <c r="F119" s="3" t="s">
        <v>15</v>
      </c>
      <c r="G119" s="3" t="s">
        <v>419</v>
      </c>
      <c r="H119" s="3" t="s">
        <v>230</v>
      </c>
      <c r="I119" s="3" t="str">
        <f>IFERROR(__xludf.DUMMYFUNCTION("GOOGLETRANSLATE(C119,""fr"",""en"")"),"Hello,
RQTH in 2012 -Increase category 2 to 01/02/2017 - The expert doctor consultant issues me an overall rate of 63 % while the rate of cardif care is 66 % - Expert indications 100 % professional in disability exercise all activities and therefore rece"&amp;"ive all other sources of income than the 1000 euros monthly SS for disability. 50 % of functional incapacity rate with: Speech Expert Cardif: insured presents a set of severe pathologies evolving since 2012 with severe asthma, MAL Mally balanced, declared"&amp;" and particularly painful poly-Arthrosic syndrome as well as various digestive disorders ..... .
With all this, I receive cardif a simple letter telling me that their expert doctor council estimated that I did not enter the field of 66 % rate when said e"&amp;"xpert granted me, (at the PIF) A rate of 63 % - Very practical for cardif to avoid taking care of my reimbursements ....
I am disgusted because I had great confidence in this BNP cardif insurer -I really feel like I was rolling ---
What do you do to cha"&amp;"llenge this decision because I refuse this shameful state of thing.
Thank you for your repairs")</f>
        <v>Hello,
RQTH in 2012 -Increase category 2 to 01/02/2017 - The expert doctor consultant issues me an overall rate of 63 % while the rate of cardif care is 66 % - Expert indications 100 % professional in disability exercise all activities and therefore receive all other sources of income than the 1000 euros monthly SS for disability. 50 % of functional incapacity rate with: Speech Expert Cardif: insured presents a set of severe pathologies evolving since 2012 with severe asthma, MAL Mally balanced, declared and particularly painful poly-Arthrosic syndrome as well as various digestive disorders ..... .
With all this, I receive cardif a simple letter telling me that their expert doctor council estimated that I did not enter the field of 66 % rate when said expert granted me, (at the PIF) A rate of 63 % - Very practical for cardif to avoid taking care of my reimbursements ....
I am disgusted because I had great confidence in this BNP cardif insurer -I really feel like I was rolling ---
What do you do to challenge this decision because I refuse this shameful state of thing.
Thank you for your repairs</v>
      </c>
    </row>
    <row r="120" ht="15.75" customHeight="1">
      <c r="A120" s="3">
        <v>1.0</v>
      </c>
      <c r="B120" s="3" t="s">
        <v>420</v>
      </c>
      <c r="C120" s="3" t="s">
        <v>421</v>
      </c>
      <c r="D120" s="3" t="s">
        <v>422</v>
      </c>
      <c r="E120" s="3" t="s">
        <v>76</v>
      </c>
      <c r="F120" s="3" t="s">
        <v>15</v>
      </c>
      <c r="G120" s="3" t="s">
        <v>423</v>
      </c>
      <c r="H120" s="3" t="s">
        <v>230</v>
      </c>
      <c r="I120" s="3" t="str">
        <f>IFERROR(__xludf.DUMMYFUNCTION("GOOGLETRANSLATE(C120,""fr"",""en"")"),"I am scandalized by such insurance, not having intervened during my flood for 7 days. An expert does not deign to move and asks you by phone to assess the damage. Finally he assesses you that the price of the equipment and understands that you will do the"&amp;" work while you are a woman with engine disabled people. The worst part is that it supports you that you said that you will hold the workforce when in no case was it said on the labor. He leaves you a message in the end to ask you to send him a quote. 48 "&amp;"hours after I like it and one of its partners informs me that my file is closed and sent to my insurance. It is a shame, from this week, I change my insurance. Several people around me have never been compensated either. If you have fire or flooded after "&amp;"office schedules, do it alone. It is not worthy of insurance and I complain about accidental on the road if they are insured at home. From Monday, I remove my 4 contracts from them.")</f>
        <v>I am scandalized by such insurance, not having intervened during my flood for 7 days. An expert does not deign to move and asks you by phone to assess the damage. Finally he assesses you that the price of the equipment and understands that you will do the work while you are a woman with engine disabled people. The worst part is that it supports you that you said that you will hold the workforce when in no case was it said on the labor. He leaves you a message in the end to ask you to send him a quote. 48 hours after I like it and one of its partners informs me that my file is closed and sent to my insurance. It is a shame, from this week, I change my insurance. Several people around me have never been compensated either. If you have fire or flooded after office schedules, do it alone. It is not worthy of insurance and I complain about accidental on the road if they are insured at home. From Monday, I remove my 4 contracts from them.</v>
      </c>
    </row>
    <row r="121" ht="15.75" customHeight="1">
      <c r="A121" s="3">
        <v>1.0</v>
      </c>
      <c r="B121" s="3" t="s">
        <v>424</v>
      </c>
      <c r="C121" s="3" t="s">
        <v>425</v>
      </c>
      <c r="D121" s="3" t="s">
        <v>426</v>
      </c>
      <c r="E121" s="3" t="s">
        <v>109</v>
      </c>
      <c r="F121" s="3" t="s">
        <v>15</v>
      </c>
      <c r="G121" s="3" t="s">
        <v>427</v>
      </c>
      <c r="H121" s="3" t="s">
        <v>428</v>
      </c>
      <c r="I121" s="3" t="str">
        <f>IFERROR(__xludf.DUMMYFUNCTION("GOOGLETRANSLATE(C121,""fr"",""en"")"),"When he picks up the phone, chance? Breakdown software response and cannot inform us!
Much faster when you take out a contract. But when you need to talk about this contract for a buyout, no one !!!
For a week I have been doing the number 4 times a day,"&amp;" I stay online without anyone dropping out, a disc ...........")</f>
        <v>When he picks up the phone, chance? Breakdown software response and cannot inform us!
Much faster when you take out a contract. But when you need to talk about this contract for a buyout, no one !!!
For a week I have been doing the number 4 times a day, I stay online without anyone dropping out, a disc ...........</v>
      </c>
    </row>
    <row r="122" ht="15.75" customHeight="1">
      <c r="A122" s="3">
        <v>1.0</v>
      </c>
      <c r="B122" s="3" t="s">
        <v>429</v>
      </c>
      <c r="C122" s="3" t="s">
        <v>430</v>
      </c>
      <c r="D122" s="3" t="s">
        <v>37</v>
      </c>
      <c r="E122" s="3" t="s">
        <v>27</v>
      </c>
      <c r="F122" s="3" t="s">
        <v>15</v>
      </c>
      <c r="G122" s="3" t="s">
        <v>431</v>
      </c>
      <c r="H122" s="3" t="s">
        <v>431</v>
      </c>
      <c r="I122" s="3" t="str">
        <f>IFERROR(__xludf.DUMMYFUNCTION("GOOGLETRANSLATE(C122,""fr"",""en"")"),"I just canceled my contract via the Chatel law
I am never an accident it's been three years that I am dear they pay 575.56 is I go to 728.82
here I had just taken 5% bonuses in the year
I arrived dear direct insurance for 478 euros per year with the sa"&amp;"me warranty
")</f>
        <v>I just canceled my contract via the Chatel law
I am never an accident it's been three years that I am dear they pay 575.56 is I go to 728.82
here I had just taken 5% bonuses in the year
I arrived dear direct insurance for 478 euros per year with the same warranty
</v>
      </c>
    </row>
    <row r="123" ht="15.75" customHeight="1">
      <c r="A123" s="3">
        <v>5.0</v>
      </c>
      <c r="B123" s="3" t="s">
        <v>432</v>
      </c>
      <c r="C123" s="3" t="s">
        <v>433</v>
      </c>
      <c r="D123" s="3" t="s">
        <v>97</v>
      </c>
      <c r="E123" s="3" t="s">
        <v>81</v>
      </c>
      <c r="F123" s="3" t="s">
        <v>15</v>
      </c>
      <c r="G123" s="3" t="s">
        <v>434</v>
      </c>
      <c r="H123" s="3" t="s">
        <v>29</v>
      </c>
      <c r="I123" s="3" t="str">
        <f>IFERROR(__xludf.DUMMYFUNCTION("GOOGLETRANSLATE(C123,""fr"",""en"")"),"I was looking for motorcycle insurance to ensure my vehicle that I only use for leisure
Easy to access, simple to fill out, simplified form
The price corresponds to my needs
In the immediate future everything went well
")</f>
        <v>I was looking for motorcycle insurance to ensure my vehicle that I only use for leisure
Easy to access, simple to fill out, simplified form
The price corresponds to my needs
In the immediate future everything went well
</v>
      </c>
    </row>
    <row r="124" ht="15.75" customHeight="1">
      <c r="A124" s="3">
        <v>5.0</v>
      </c>
      <c r="B124" s="3" t="s">
        <v>435</v>
      </c>
      <c r="C124" s="3" t="s">
        <v>436</v>
      </c>
      <c r="D124" s="3" t="s">
        <v>13</v>
      </c>
      <c r="E124" s="3" t="s">
        <v>14</v>
      </c>
      <c r="F124" s="3" t="s">
        <v>15</v>
      </c>
      <c r="G124" s="3" t="s">
        <v>437</v>
      </c>
      <c r="H124" s="3" t="s">
        <v>335</v>
      </c>
      <c r="I124" s="3" t="str">
        <f>IFERROR(__xludf.DUMMYFUNCTION("GOOGLETRANSLATE(C124,""fr"",""en"")"),"serious and mutual services very advantageous in terms of price and service.")</f>
        <v>serious and mutual services very advantageous in terms of price and service.</v>
      </c>
    </row>
    <row r="125" ht="15.75" customHeight="1">
      <c r="A125" s="3">
        <v>4.0</v>
      </c>
      <c r="B125" s="3" t="s">
        <v>438</v>
      </c>
      <c r="C125" s="3" t="s">
        <v>439</v>
      </c>
      <c r="D125" s="3" t="s">
        <v>57</v>
      </c>
      <c r="E125" s="3" t="s">
        <v>14</v>
      </c>
      <c r="F125" s="3" t="s">
        <v>15</v>
      </c>
      <c r="G125" s="3" t="s">
        <v>440</v>
      </c>
      <c r="H125" s="3" t="s">
        <v>428</v>
      </c>
      <c r="I125" s="3" t="str">
        <f>IFERROR(__xludf.DUMMYFUNCTION("GOOGLETRANSLATE(C125,""fr"",""en"")"),"The interlocutors are very competent in the very short information and telephone expectations.
Regarding prices, lights remain competitive compared to other mutuals on the market")</f>
        <v>The interlocutors are very competent in the very short information and telephone expectations.
Regarding prices, lights remain competitive compared to other mutuals on the market</v>
      </c>
    </row>
    <row r="126" ht="15.75" customHeight="1">
      <c r="A126" s="3">
        <v>1.0</v>
      </c>
      <c r="B126" s="3" t="s">
        <v>441</v>
      </c>
      <c r="C126" s="3" t="s">
        <v>442</v>
      </c>
      <c r="D126" s="3" t="s">
        <v>97</v>
      </c>
      <c r="E126" s="3" t="s">
        <v>81</v>
      </c>
      <c r="F126" s="3" t="s">
        <v>15</v>
      </c>
      <c r="G126" s="3" t="s">
        <v>443</v>
      </c>
      <c r="H126" s="3" t="s">
        <v>431</v>
      </c>
      <c r="I126" s="3" t="str">
        <f>IFERROR(__xludf.DUMMYFUNCTION("GOOGLETRANSLATE(C126,""fr"",""en"")"),"Insurance to flee, you only pay the green card, do not have any AMV attachment you will know any use. They are very effective in blocking the sale of the motorcycle, (now she has to pass an expert), and you are radiated. You must believe that I am frustra"&amp;"ted because I have not met my expectations but basically to make it short, a person I went back in reverse to take my parking and I was motionless on the motorcycle, they concluded that I was coming out From my parking lot so I was wrong ....")</f>
        <v>Insurance to flee, you only pay the green card, do not have any AMV attachment you will know any use. They are very effective in blocking the sale of the motorcycle, (now she has to pass an expert), and you are radiated. You must believe that I am frustrated because I have not met my expectations but basically to make it short, a person I went back in reverse to take my parking and I was motionless on the motorcycle, they concluded that I was coming out From my parking lot so I was wrong ....</v>
      </c>
    </row>
    <row r="127" ht="15.75" customHeight="1">
      <c r="A127" s="3">
        <v>1.0</v>
      </c>
      <c r="B127" s="3" t="s">
        <v>444</v>
      </c>
      <c r="C127" s="3" t="s">
        <v>445</v>
      </c>
      <c r="D127" s="3" t="s">
        <v>53</v>
      </c>
      <c r="E127" s="3" t="s">
        <v>27</v>
      </c>
      <c r="F127" s="3" t="s">
        <v>15</v>
      </c>
      <c r="G127" s="3" t="s">
        <v>446</v>
      </c>
      <c r="H127" s="3" t="s">
        <v>159</v>
      </c>
      <c r="I127" s="3" t="str">
        <f>IFERROR(__xludf.DUMMYFUNCTION("GOOGLETRANSLATE(C127,""fr"",""en"")"),"Direct Insurance attracted its customers at the very beginning with an attractive price then it is enough to have the slightest incident, they pass your contribution to double.
Then if you want to terminate your contract (Hamon or other laws ..) they fin"&amp;"d any way not to terminate your contract")</f>
        <v>Direct Insurance attracted its customers at the very beginning with an attractive price then it is enough to have the slightest incident, they pass your contribution to double.
Then if you want to terminate your contract (Hamon or other laws ..) they find any way not to terminate your contract</v>
      </c>
    </row>
    <row r="128" ht="15.75" customHeight="1">
      <c r="A128" s="3">
        <v>2.0</v>
      </c>
      <c r="B128" s="3" t="s">
        <v>447</v>
      </c>
      <c r="C128" s="3" t="s">
        <v>448</v>
      </c>
      <c r="D128" s="3" t="s">
        <v>53</v>
      </c>
      <c r="E128" s="3" t="s">
        <v>27</v>
      </c>
      <c r="F128" s="3" t="s">
        <v>15</v>
      </c>
      <c r="G128" s="3" t="s">
        <v>449</v>
      </c>
      <c r="H128" s="3" t="s">
        <v>50</v>
      </c>
      <c r="I128" s="3" t="str">
        <f>IFERROR(__xludf.DUMMYFUNCTION("GOOGLETRANSLATE(C128,""fr"",""en"")"),"There is no telephonic permanence at the weekend at the end of vancances !!!!
Very bad!!!!!!
I can understand that the whole anne is not economically, but in summer, it is necessary. We use the seeing and we buy insurance for that. In the case that you "&amp;"do not know.")</f>
        <v>There is no telephonic permanence at the weekend at the end of vancances !!!!
Very bad!!!!!!
I can understand that the whole anne is not economically, but in summer, it is necessary. We use the seeing and we buy insurance for that. In the case that you do not know.</v>
      </c>
    </row>
    <row r="129" ht="15.75" customHeight="1">
      <c r="A129" s="3">
        <v>3.0</v>
      </c>
      <c r="B129" s="3" t="s">
        <v>450</v>
      </c>
      <c r="C129" s="3" t="s">
        <v>451</v>
      </c>
      <c r="D129" s="3" t="s">
        <v>97</v>
      </c>
      <c r="E129" s="3" t="s">
        <v>81</v>
      </c>
      <c r="F129" s="3" t="s">
        <v>15</v>
      </c>
      <c r="G129" s="3" t="s">
        <v>452</v>
      </c>
      <c r="H129" s="3" t="s">
        <v>29</v>
      </c>
      <c r="I129" s="3" t="str">
        <f>IFERROR(__xludf.DUMMYFUNCTION("GOOGLETRANSLATE(C129,""fr"",""en"")"),"Prices are expensive in ""all risks"" insurance.
Customer service is top and easy to contact.
Overall satisfied throughout this insurance.")</f>
        <v>Prices are expensive in "all risks" insurance.
Customer service is top and easy to contact.
Overall satisfied throughout this insurance.</v>
      </c>
    </row>
    <row r="130" ht="15.75" customHeight="1">
      <c r="A130" s="3">
        <v>2.0</v>
      </c>
      <c r="B130" s="3" t="s">
        <v>453</v>
      </c>
      <c r="C130" s="3" t="s">
        <v>454</v>
      </c>
      <c r="D130" s="3" t="s">
        <v>137</v>
      </c>
      <c r="E130" s="3" t="s">
        <v>76</v>
      </c>
      <c r="F130" s="3" t="s">
        <v>15</v>
      </c>
      <c r="G130" s="3" t="s">
        <v>455</v>
      </c>
      <c r="H130" s="3" t="s">
        <v>205</v>
      </c>
      <c r="I130" s="3" t="str">
        <f>IFERROR(__xludf.DUMMYFUNCTION("GOOGLETRANSLATE(C130,""fr"",""en"")"),"Hello
For my part, I contribute to home insurance, the highest formula and I have a non -existent service where I have to call to find out where my file is knowing that I am the victim
I went to them by thinking that they were different but not on this "&amp;"attic")</f>
        <v>Hello
For my part, I contribute to home insurance, the highest formula and I have a non -existent service where I have to call to find out where my file is knowing that I am the victim
I went to them by thinking that they were different but not on this attic</v>
      </c>
    </row>
    <row r="131" ht="15.75" customHeight="1">
      <c r="A131" s="3">
        <v>1.0</v>
      </c>
      <c r="B131" s="3" t="s">
        <v>456</v>
      </c>
      <c r="C131" s="3" t="s">
        <v>457</v>
      </c>
      <c r="D131" s="3" t="s">
        <v>13</v>
      </c>
      <c r="E131" s="3" t="s">
        <v>14</v>
      </c>
      <c r="F131" s="3" t="s">
        <v>15</v>
      </c>
      <c r="G131" s="3" t="s">
        <v>458</v>
      </c>
      <c r="H131" s="3" t="s">
        <v>205</v>
      </c>
      <c r="I131" s="3" t="str">
        <f>IFERROR(__xludf.DUMMYFUNCTION("GOOGLETRANSLATE(C131,""fr"",""en"")"),"Do not respond to the request Refunds do not this background correctly and he does not respect the mail in the endless telephone expectations not to thank")</f>
        <v>Do not respond to the request Refunds do not this background correctly and he does not respect the mail in the endless telephone expectations not to thank</v>
      </c>
    </row>
    <row r="132" ht="15.75" customHeight="1">
      <c r="A132" s="3">
        <v>1.0</v>
      </c>
      <c r="B132" s="3" t="s">
        <v>459</v>
      </c>
      <c r="C132" s="3" t="s">
        <v>460</v>
      </c>
      <c r="D132" s="3" t="s">
        <v>53</v>
      </c>
      <c r="E132" s="3" t="s">
        <v>27</v>
      </c>
      <c r="F132" s="3" t="s">
        <v>15</v>
      </c>
      <c r="G132" s="3" t="s">
        <v>461</v>
      </c>
      <c r="H132" s="3" t="s">
        <v>50</v>
      </c>
      <c r="I132" s="3" t="str">
        <f>IFERROR(__xludf.DUMMYFUNCTION("GOOGLETRANSLATE(C132,""fr"",""en"")"),"I would like the option of breakdowns at 0 km to be taken in question and not an option for new customers. Would that help I think of some customers to come to your home?")</f>
        <v>I would like the option of breakdowns at 0 km to be taken in question and not an option for new customers. Would that help I think of some customers to come to your home?</v>
      </c>
    </row>
    <row r="133" ht="15.75" customHeight="1">
      <c r="A133" s="3">
        <v>1.0</v>
      </c>
      <c r="B133" s="3" t="s">
        <v>462</v>
      </c>
      <c r="C133" s="3" t="s">
        <v>463</v>
      </c>
      <c r="D133" s="3" t="s">
        <v>131</v>
      </c>
      <c r="E133" s="3" t="s">
        <v>76</v>
      </c>
      <c r="F133" s="3" t="s">
        <v>15</v>
      </c>
      <c r="G133" s="3" t="s">
        <v>464</v>
      </c>
      <c r="H133" s="3" t="s">
        <v>322</v>
      </c>
      <c r="I133" s="3" t="str">
        <f>IFERROR(__xludf.DUMMYFUNCTION("GOOGLETRANSLATE(C133,""fr"",""en"")"),"Matmut only insurance that has been fire to loyal customers for 18 years and who pay their subscription")</f>
        <v>Matmut only insurance that has been fire to loyal customers for 18 years and who pay their subscription</v>
      </c>
    </row>
    <row r="134" ht="15.75" customHeight="1">
      <c r="A134" s="3">
        <v>5.0</v>
      </c>
      <c r="B134" s="3" t="s">
        <v>465</v>
      </c>
      <c r="C134" s="3" t="s">
        <v>466</v>
      </c>
      <c r="D134" s="3" t="s">
        <v>53</v>
      </c>
      <c r="E134" s="3" t="s">
        <v>27</v>
      </c>
      <c r="F134" s="3" t="s">
        <v>15</v>
      </c>
      <c r="G134" s="3" t="s">
        <v>467</v>
      </c>
      <c r="H134" s="3" t="s">
        <v>50</v>
      </c>
      <c r="I134" s="3" t="str">
        <f>IFERROR(__xludf.DUMMYFUNCTION("GOOGLETRANSLATE(C134,""fr"",""en"")"),"For the moment I am very satisfied with direct insurance, if there was a 0 kilometer option for assistance it would be perfect because I only drive around my home (60km) and my vehicle is not very young ..")</f>
        <v>For the moment I am very satisfied with direct insurance, if there was a 0 kilometer option for assistance it would be perfect because I only drive around my home (60km) and my vehicle is not very young ..</v>
      </c>
    </row>
    <row r="135" ht="15.75" customHeight="1">
      <c r="A135" s="3">
        <v>1.0</v>
      </c>
      <c r="B135" s="3" t="s">
        <v>468</v>
      </c>
      <c r="C135" s="3" t="s">
        <v>469</v>
      </c>
      <c r="D135" s="3" t="s">
        <v>137</v>
      </c>
      <c r="E135" s="3" t="s">
        <v>76</v>
      </c>
      <c r="F135" s="3" t="s">
        <v>15</v>
      </c>
      <c r="G135" s="3" t="s">
        <v>470</v>
      </c>
      <c r="H135" s="3" t="s">
        <v>39</v>
      </c>
      <c r="I135" s="3" t="str">
        <f>IFERROR(__xludf.DUMMYFUNCTION("GOOGLETRANSLATE(C135,""fr"",""en"")"),"Damage due to hail in October 2018 on the roof of my veranda La Maif addresses me to a partner who after several reminders ends up telling me in December 2018 that he cannot carry out this type of work I reconcile the maif which me Request to find a repai"&amp;"rer and send him a quote what I do after a few weeks the maif reminds me of telling me that the quote being too high € 2400 she mandates an expert expert who calls me the next day and begins by telling me that 'She went to see on the Leroy Merlin site the"&amp;" price of roof plates 100 € piece my craftsman the invoices 290 € but dismantled lifts and the deteriorated plates evacuated which is far from appearing excessive since it requires a day of work to work Two workers ""Expert"" after asking for additional p"&amp;"hotos makes her report The hail is well responsible for the damage but my veranda having several years it deduces from the amount of the repair 40% of obsolescence (10% per year) the Price of the plates compared to that of Leroy Merlin has disappeared it "&amp;"is dilapidation which allows the maif to clear the reimbursement of the climate damage I specify that the veranda is well assured contractually my house having been built in 1975 I let you imagine the Coefficient of dilapidated applied in the event of des"&amp;"truction by a fire for example we are in March 2019 5 months after the loss La Maif calls me today following mail dated February 2019 to point out that she mandates a new expertise all This for less than € 1,000 divergence on the amount of repairs, two ex"&amp;"pertise rather than offering a refund in line with the price of the work finds the maif prefers to pay experts rather than correctly reimburse the claims of his members live the militant insurer, Activist for Leroy Merlin")</f>
        <v>Damage due to hail in October 2018 on the roof of my veranda La Maif addresses me to a partner who after several reminders ends up telling me in December 2018 that he cannot carry out this type of work I reconcile the maif which me Request to find a repairer and send him a quote what I do after a few weeks the maif reminds me of telling me that the quote being too high € 2400 she mandates an expert expert who calls me the next day and begins by telling me that 'She went to see on the Leroy Merlin site the price of roof plates 100 € piece my craftsman the invoices 290 € but dismantled lifts and the deteriorated plates evacuated which is far from appearing excessive since it requires a day of work to work Two workers "Expert" after asking for additional photos makes her report The hail is well responsible for the damage but my veranda having several years it deduces from the amount of the repair 40% of obsolescence (10% per year) the Price of the plates compared to that of Leroy Merlin has disappeared it is dilapidation which allows the maif to clear the reimbursement of the climate damage I specify that the veranda is well assured contractually my house having been built in 1975 I let you imagine the Coefficient of dilapidated applied in the event of destruction by a fire for example we are in March 2019 5 months after the loss La Maif calls me today following mail dated February 2019 to point out that she mandates a new expertise all This for less than € 1,000 divergence on the amount of repairs, two expertise rather than offering a refund in line with the price of the work finds the maif prefers to pay experts rather than correctly reimburse the claims of his members live the militant insurer, Activist for Leroy Merlin</v>
      </c>
    </row>
    <row r="136" ht="15.75" customHeight="1">
      <c r="A136" s="3">
        <v>4.0</v>
      </c>
      <c r="B136" s="3" t="s">
        <v>471</v>
      </c>
      <c r="C136" s="3" t="s">
        <v>472</v>
      </c>
      <c r="D136" s="3" t="s">
        <v>37</v>
      </c>
      <c r="E136" s="3" t="s">
        <v>27</v>
      </c>
      <c r="F136" s="3" t="s">
        <v>15</v>
      </c>
      <c r="G136" s="3" t="s">
        <v>473</v>
      </c>
      <c r="H136" s="3" t="s">
        <v>169</v>
      </c>
      <c r="I136" s="3" t="str">
        <f>IFERROR(__xludf.DUMMYFUNCTION("GOOGLETRANSLATE(C136,""fr"",""en"")"),"Hello I recommend because very fast and the explanations are clear and my interlocutors are simply very welcoming and friendly, once my full file in addition to the email the papers arrived very quickly by mail.
They know what they are talking about and "&amp;"a plus and not the least if I need when I call if there is too much waiting left a message and I am really reminding me of good day")</f>
        <v>Hello I recommend because very fast and the explanations are clear and my interlocutors are simply very welcoming and friendly, once my full file in addition to the email the papers arrived very quickly by mail.
They know what they are talking about and a plus and not the least if I need when I call if there is too much waiting left a message and I am really reminding me of good day</v>
      </c>
    </row>
    <row r="137" ht="15.75" customHeight="1">
      <c r="A137" s="3">
        <v>2.0</v>
      </c>
      <c r="B137" s="3" t="s">
        <v>474</v>
      </c>
      <c r="C137" s="3" t="s">
        <v>475</v>
      </c>
      <c r="D137" s="3" t="s">
        <v>53</v>
      </c>
      <c r="E137" s="3" t="s">
        <v>27</v>
      </c>
      <c r="F137" s="3" t="s">
        <v>15</v>
      </c>
      <c r="G137" s="3" t="s">
        <v>252</v>
      </c>
      <c r="H137" s="3" t="s">
        <v>50</v>
      </c>
      <c r="I137" s="3" t="str">
        <f>IFERROR(__xludf.DUMMYFUNCTION("GOOGLETRANSLATE(C137,""fr"",""en"")"),"Attention insurance company to flee !!! A vehicle strikes me in a roundabout box 7 and 12 are checked and I am declared 100% responsible for the claim while in a roundabout the 12 plan provides either 100%, 50% or 33% of liability. Obviously you have deci"&amp;"ded. Thank you direct insurance 800 euros franchise 25% penalty for 5 years for an accident for which I am not responsible but where you decided that I had all twists. What is enormous is that the shock on my vehicle is on the right back and that of the o"&amp;"ther vehicle on the front bumper which means that it came into me in the fits in the Round point without respecting priority but obviously you don't want to hear anything. How dare you tell me on the phone that you defend your policyholders? It's wrong !!"&amp;"!! I would be able to make it known in my entourage.")</f>
        <v>Attention insurance company to flee !!! A vehicle strikes me in a roundabout box 7 and 12 are checked and I am declared 100% responsible for the claim while in a roundabout the 12 plan provides either 100%, 50% or 33% of liability. Obviously you have decided. Thank you direct insurance 800 euros franchise 25% penalty for 5 years for an accident for which I am not responsible but where you decided that I had all twists. What is enormous is that the shock on my vehicle is on the right back and that of the other vehicle on the front bumper which means that it came into me in the fits in the Round point without respecting priority but obviously you don't want to hear anything. How dare you tell me on the phone that you defend your policyholders? It's wrong !!!! I would be able to make it known in my entourage.</v>
      </c>
    </row>
    <row r="138" ht="15.75" customHeight="1">
      <c r="A138" s="3">
        <v>4.0</v>
      </c>
      <c r="B138" s="3" t="s">
        <v>476</v>
      </c>
      <c r="C138" s="3" t="s">
        <v>477</v>
      </c>
      <c r="D138" s="3" t="s">
        <v>53</v>
      </c>
      <c r="E138" s="3" t="s">
        <v>27</v>
      </c>
      <c r="F138" s="3" t="s">
        <v>15</v>
      </c>
      <c r="G138" s="3" t="s">
        <v>478</v>
      </c>
      <c r="H138" s="3" t="s">
        <v>23</v>
      </c>
      <c r="I138" s="3" t="str">
        <f>IFERROR(__xludf.DUMMYFUNCTION("GOOGLETRANSLATE(C138,""fr"",""en"")"),"The prices are attractive, to see if these prices are also good after the 1st year.
The contact with the advisor for subscription was very good, no one sympathetic; kind and very professional")</f>
        <v>The prices are attractive, to see if these prices are also good after the 1st year.
The contact with the advisor for subscription was very good, no one sympathetic; kind and very professional</v>
      </c>
    </row>
    <row r="139" ht="15.75" customHeight="1">
      <c r="A139" s="3">
        <v>2.0</v>
      </c>
      <c r="B139" s="3" t="s">
        <v>479</v>
      </c>
      <c r="C139" s="3" t="s">
        <v>480</v>
      </c>
      <c r="D139" s="3" t="s">
        <v>42</v>
      </c>
      <c r="E139" s="3" t="s">
        <v>14</v>
      </c>
      <c r="F139" s="3" t="s">
        <v>15</v>
      </c>
      <c r="G139" s="3" t="s">
        <v>481</v>
      </c>
      <c r="H139" s="3" t="s">
        <v>230</v>
      </c>
      <c r="I139" s="3" t="str">
        <f>IFERROR(__xludf.DUMMYFUNCTION("GOOGLETRANSLATE(C139,""fr"",""en"")"),"hello
Having a disabled child or his care is mainly carried out in a hospital environment and at present he is followed by an orthodontist at St Julien hospital in Petit Quevilly, the hospital gave me an invoice that I must send back to my mutual to then"&amp;" no problem with my Former mutual insurance company and I was reimbursed in the week and since his visit to the 15 march 2018 still no reimbursement, we call them this morning now he reclaims the papers of the CPAM however they have the teletransmission b"&amp;"ut want to know anything more the CPAM by The hospital we receive that the part that they must reimburse and not the actual costs and on the invoice that I sent to them all there is a real amount of reimbursement of the CPAM and remaining in charge of the"&amp;" patient but not that is not enough and when we Call we sent himself to ballader even explaining to them that on the CPAM counting the total amount or not figure therefore the hospital and the CPAM and they tell me that the mutual is bad times and that it"&amp;" is to drag the thing except that I return there for the month of May to the orthodontist and if the mutual is dragged each time for the great reimbursement.
CORDIALLY
")</f>
        <v>hello
Having a disabled child or his care is mainly carried out in a hospital environment and at present he is followed by an orthodontist at St Julien hospital in Petit Quevilly, the hospital gave me an invoice that I must send back to my mutual to then no problem with my Former mutual insurance company and I was reimbursed in the week and since his visit to the 15 march 2018 still no reimbursement, we call them this morning now he reclaims the papers of the CPAM however they have the teletransmission but want to know anything more the CPAM by The hospital we receive that the part that they must reimburse and not the actual costs and on the invoice that I sent to them all there is a real amount of reimbursement of the CPAM and remaining in charge of the patient but not that is not enough and when we Call we sent himself to ballader even explaining to them that on the CPAM counting the total amount or not figure therefore the hospital and the CPAM and they tell me that the mutual is bad times and that it is to drag the thing except that I return there for the month of May to the orthodontist and if the mutual is dragged each time for the great reimbursement.
CORDIALLY
</v>
      </c>
    </row>
    <row r="140" ht="15.75" customHeight="1">
      <c r="A140" s="3">
        <v>1.0</v>
      </c>
      <c r="B140" s="3" t="s">
        <v>482</v>
      </c>
      <c r="C140" s="3" t="s">
        <v>483</v>
      </c>
      <c r="D140" s="3" t="s">
        <v>484</v>
      </c>
      <c r="E140" s="3" t="s">
        <v>48</v>
      </c>
      <c r="F140" s="3" t="s">
        <v>15</v>
      </c>
      <c r="G140" s="3" t="s">
        <v>485</v>
      </c>
      <c r="H140" s="3" t="s">
        <v>486</v>
      </c>
      <c r="I140" s="3" t="str">
        <f>IFERROR(__xludf.DUMMYFUNCTION("GOOGLETRANSLATE(C140,""fr"",""en"")"),"I asked for documents as part of a credit renegotiation, after an email, two calls and a recommended, they answered 3 months later by joining me that was not the one requested.")</f>
        <v>I asked for documents as part of a credit renegotiation, after an email, two calls and a recommended, they answered 3 months later by joining me that was not the one requested.</v>
      </c>
    </row>
    <row r="141" ht="15.75" customHeight="1">
      <c r="A141" s="3">
        <v>5.0</v>
      </c>
      <c r="B141" s="3" t="s">
        <v>487</v>
      </c>
      <c r="C141" s="3" t="s">
        <v>488</v>
      </c>
      <c r="D141" s="3" t="s">
        <v>53</v>
      </c>
      <c r="E141" s="3" t="s">
        <v>27</v>
      </c>
      <c r="F141" s="3" t="s">
        <v>15</v>
      </c>
      <c r="G141" s="3" t="s">
        <v>303</v>
      </c>
      <c r="H141" s="3" t="s">
        <v>58</v>
      </c>
      <c r="I141" s="3" t="str">
        <f>IFERROR(__xludf.DUMMYFUNCTION("GOOGLETRANSLATE(C141,""fr"",""en"")"),"
Online subscription is simple and easy to make, in case of doubt the advisers are very responsive and competent to help you in your approach.
I divided by two the price of my contract for almost the same advantages.
")</f>
        <v>
Online subscription is simple and easy to make, in case of doubt the advisers are very responsive and competent to help you in your approach.
I divided by two the price of my contract for almost the same advantages.
</v>
      </c>
    </row>
    <row r="142" ht="15.75" customHeight="1">
      <c r="A142" s="3">
        <v>5.0</v>
      </c>
      <c r="B142" s="3" t="s">
        <v>489</v>
      </c>
      <c r="C142" s="3" t="s">
        <v>490</v>
      </c>
      <c r="D142" s="3" t="s">
        <v>13</v>
      </c>
      <c r="E142" s="3" t="s">
        <v>14</v>
      </c>
      <c r="F142" s="3" t="s">
        <v>15</v>
      </c>
      <c r="G142" s="3" t="s">
        <v>491</v>
      </c>
      <c r="H142" s="3" t="s">
        <v>58</v>
      </c>
      <c r="I142" s="3" t="str">
        <f>IFERROR(__xludf.DUMMYFUNCTION("GOOGLETRANSLATE(C142,""fr"",""en"")"),"Super clear explanation, the girl Kadija on the phone is very cute and the voice is divine. She explained details to details, without bad personal habits")</f>
        <v>Super clear explanation, the girl Kadija on the phone is very cute and the voice is divine. She explained details to details, without bad personal habits</v>
      </c>
    </row>
    <row r="143" ht="15.75" customHeight="1">
      <c r="A143" s="3">
        <v>1.0</v>
      </c>
      <c r="B143" s="3" t="s">
        <v>492</v>
      </c>
      <c r="C143" s="3" t="s">
        <v>493</v>
      </c>
      <c r="D143" s="3" t="s">
        <v>247</v>
      </c>
      <c r="E143" s="3" t="s">
        <v>27</v>
      </c>
      <c r="F143" s="3" t="s">
        <v>15</v>
      </c>
      <c r="G143" s="3" t="s">
        <v>494</v>
      </c>
      <c r="H143" s="3" t="s">
        <v>99</v>
      </c>
      <c r="I143" s="3" t="str">
        <f>IFERROR(__xludf.DUMMYFUNCTION("GOOGLETRANSLATE(C143,""fr"",""en"")"),"Avoid this 1 year insurance that I await a refund for a non -responsible disaster and we say every month that we have to wait! Not serious, not kind. The only solution to be reimbursed with them is justice!")</f>
        <v>Avoid this 1 year insurance that I await a refund for a non -responsible disaster and we say every month that we have to wait! Not serious, not kind. The only solution to be reimbursed with them is justice!</v>
      </c>
    </row>
    <row r="144" ht="15.75" customHeight="1">
      <c r="A144" s="3">
        <v>1.0</v>
      </c>
      <c r="B144" s="3" t="s">
        <v>495</v>
      </c>
      <c r="C144" s="3" t="s">
        <v>496</v>
      </c>
      <c r="D144" s="3" t="s">
        <v>37</v>
      </c>
      <c r="E144" s="3" t="s">
        <v>27</v>
      </c>
      <c r="F144" s="3" t="s">
        <v>15</v>
      </c>
      <c r="G144" s="3" t="s">
        <v>497</v>
      </c>
      <c r="H144" s="3" t="s">
        <v>90</v>
      </c>
      <c r="I144" s="3" t="str">
        <f>IFERROR(__xludf.DUMMYFUNCTION("GOOGLETRANSLATE(C144,""fr"",""en"")"),"Young driver I subscribe since it is the cheapest. One day I am returned to me. Perfect management. Yeah until the maturity notice. Pass 700th to 1000th for a non -responsible accident. Isn't that the cum of the gueul of the world? In no case is this stip"&amp;"ulated in the contract. I will therefore go to the Union of Consumers and see with them for the meters in court.")</f>
        <v>Young driver I subscribe since it is the cheapest. One day I am returned to me. Perfect management. Yeah until the maturity notice. Pass 700th to 1000th for a non -responsible accident. Isn't that the cum of the gueul of the world? In no case is this stipulated in the contract. I will therefore go to the Union of Consumers and see with them for the meters in court.</v>
      </c>
    </row>
    <row r="145" ht="15.75" customHeight="1">
      <c r="A145" s="3">
        <v>1.0</v>
      </c>
      <c r="B145" s="3" t="s">
        <v>498</v>
      </c>
      <c r="C145" s="3" t="s">
        <v>499</v>
      </c>
      <c r="D145" s="3" t="s">
        <v>193</v>
      </c>
      <c r="E145" s="3" t="s">
        <v>14</v>
      </c>
      <c r="F145" s="3" t="s">
        <v>15</v>
      </c>
      <c r="G145" s="3" t="s">
        <v>446</v>
      </c>
      <c r="H145" s="3" t="s">
        <v>159</v>
      </c>
      <c r="I145" s="3" t="str">
        <f>IFERROR(__xludf.DUMMYFUNCTION("GOOGLETRANSLATE(C145,""fr"",""en"")"),"I made a dental quote at home. First surprise, the amount of the reactions fell compared to previous years. And second surprise, the amount really reimbursed and 2 times below as that announced. Honestly, I do not recommend. I terminate them shortly and I"&amp;" do not recommend new civil servants to take a mutual insurance company!")</f>
        <v>I made a dental quote at home. First surprise, the amount of the reactions fell compared to previous years. And second surprise, the amount really reimbursed and 2 times below as that announced. Honestly, I do not recommend. I terminate them shortly and I do not recommend new civil servants to take a mutual insurance company!</v>
      </c>
    </row>
    <row r="146" ht="15.75" customHeight="1">
      <c r="A146" s="3">
        <v>4.0</v>
      </c>
      <c r="B146" s="3" t="s">
        <v>500</v>
      </c>
      <c r="C146" s="3" t="s">
        <v>501</v>
      </c>
      <c r="D146" s="3" t="s">
        <v>53</v>
      </c>
      <c r="E146" s="3" t="s">
        <v>27</v>
      </c>
      <c r="F146" s="3" t="s">
        <v>15</v>
      </c>
      <c r="G146" s="3" t="s">
        <v>502</v>
      </c>
      <c r="H146" s="3" t="s">
        <v>58</v>
      </c>
      <c r="I146" s="3" t="str">
        <f>IFERROR(__xludf.DUMMYFUNCTION("GOOGLETRANSLATE(C146,""fr"",""en"")"),"Hello, I am very happy with the adaptability and the reactivity of the interlocutor that I had online.
On the other hand, no sponsorship for home insurance, it's really a shame.")</f>
        <v>Hello, I am very happy with the adaptability and the reactivity of the interlocutor that I had online.
On the other hand, no sponsorship for home insurance, it's really a shame.</v>
      </c>
    </row>
    <row r="147" ht="15.75" customHeight="1">
      <c r="A147" s="3">
        <v>1.0</v>
      </c>
      <c r="B147" s="3" t="s">
        <v>503</v>
      </c>
      <c r="C147" s="3" t="s">
        <v>504</v>
      </c>
      <c r="D147" s="3" t="s">
        <v>157</v>
      </c>
      <c r="E147" s="3" t="s">
        <v>14</v>
      </c>
      <c r="F147" s="3" t="s">
        <v>15</v>
      </c>
      <c r="G147" s="3" t="s">
        <v>505</v>
      </c>
      <c r="H147" s="3" t="s">
        <v>506</v>
      </c>
      <c r="I147" s="3" t="str">
        <f>IFERROR(__xludf.DUMMYFUNCTION("GOOGLETRANSLATE(C147,""fr"",""en"")"),"Impossible to dialogue with these people there? Do not respond to messages, refuse to send mutual cards, you have to print them, if you don't have a computer, it's the same")</f>
        <v>Impossible to dialogue with these people there? Do not respond to messages, refuse to send mutual cards, you have to print them, if you don't have a computer, it's the same</v>
      </c>
    </row>
    <row r="148" ht="15.75" customHeight="1">
      <c r="A148" s="3">
        <v>4.0</v>
      </c>
      <c r="B148" s="3" t="s">
        <v>507</v>
      </c>
      <c r="C148" s="3" t="s">
        <v>508</v>
      </c>
      <c r="D148" s="3" t="s">
        <v>80</v>
      </c>
      <c r="E148" s="3" t="s">
        <v>81</v>
      </c>
      <c r="F148" s="3" t="s">
        <v>15</v>
      </c>
      <c r="G148" s="3" t="s">
        <v>509</v>
      </c>
      <c r="H148" s="3" t="s">
        <v>17</v>
      </c>
      <c r="I148" s="3" t="str">
        <f>IFERROR(__xludf.DUMMYFUNCTION("GOOGLETRANSLATE(C148,""fr"",""en"")"),"Too bad the price proposed is not ""all inclusive"" there are still 5 or 6 options which quickly increase the note .. basic price fairly competitive I find.")</f>
        <v>Too bad the price proposed is not "all inclusive" there are still 5 or 6 options which quickly increase the note .. basic price fairly competitive I find.</v>
      </c>
    </row>
    <row r="149" ht="15.75" customHeight="1">
      <c r="A149" s="3">
        <v>2.0</v>
      </c>
      <c r="B149" s="3" t="s">
        <v>510</v>
      </c>
      <c r="C149" s="3" t="s">
        <v>511</v>
      </c>
      <c r="D149" s="3" t="s">
        <v>327</v>
      </c>
      <c r="E149" s="3" t="s">
        <v>27</v>
      </c>
      <c r="F149" s="3" t="s">
        <v>15</v>
      </c>
      <c r="G149" s="3" t="s">
        <v>512</v>
      </c>
      <c r="H149" s="3" t="s">
        <v>513</v>
      </c>
      <c r="I149" s="3" t="str">
        <f>IFERROR(__xludf.DUMMYFUNCTION("GOOGLETRANSLATE(C149,""fr"",""en"")"),"Having several contracts at home, 3 cars, housing, legal, I fell in order to have a commercial gesture compared to the current health action situation and having made a elsewhere and much cheaper they did not even want to make a gesture so plans to change")</f>
        <v>Having several contracts at home, 3 cars, housing, legal, I fell in order to have a commercial gesture compared to the current health action situation and having made a elsewhere and much cheaper they did not even want to make a gesture so plans to change</v>
      </c>
    </row>
    <row r="150" ht="15.75" customHeight="1">
      <c r="A150" s="3">
        <v>3.0</v>
      </c>
      <c r="B150" s="3" t="s">
        <v>514</v>
      </c>
      <c r="C150" s="3" t="s">
        <v>515</v>
      </c>
      <c r="D150" s="3" t="s">
        <v>37</v>
      </c>
      <c r="E150" s="3" t="s">
        <v>27</v>
      </c>
      <c r="F150" s="3" t="s">
        <v>15</v>
      </c>
      <c r="G150" s="3" t="s">
        <v>516</v>
      </c>
      <c r="H150" s="3" t="s">
        <v>50</v>
      </c>
      <c r="I150" s="3" t="str">
        <f>IFERROR(__xludf.DUMMYFUNCTION("GOOGLETRANSLATE(C150,""fr"",""en"")"),"Too bad the price for the societies are higher than the personal accounts nothing justifies the price difference.
Each time is the same with competition, you remain competitive.")</f>
        <v>Too bad the price for the societies are higher than the personal accounts nothing justifies the price difference.
Each time is the same with competition, you remain competitive.</v>
      </c>
    </row>
    <row r="151" ht="15.75" customHeight="1">
      <c r="A151" s="3">
        <v>1.0</v>
      </c>
      <c r="B151" s="3" t="s">
        <v>517</v>
      </c>
      <c r="C151" s="3" t="s">
        <v>518</v>
      </c>
      <c r="D151" s="3" t="s">
        <v>75</v>
      </c>
      <c r="E151" s="3" t="s">
        <v>21</v>
      </c>
      <c r="F151" s="3" t="s">
        <v>15</v>
      </c>
      <c r="G151" s="3" t="s">
        <v>519</v>
      </c>
      <c r="H151" s="3" t="s">
        <v>520</v>
      </c>
      <c r="I151" s="3" t="str">
        <f>IFERROR(__xludf.DUMMYFUNCTION("GOOGLETRANSLATE(C151,""fr"",""en"")"),"My mother paid for dependence insurance now that she needs Allianz refuses the care I have the feeling that she was deceived abused vulnerable person with Alzheimer's disease I am very disappointed")</f>
        <v>My mother paid for dependence insurance now that she needs Allianz refuses the care I have the feeling that she was deceived abused vulnerable person with Alzheimer's disease I am very disappointed</v>
      </c>
    </row>
    <row r="152" ht="15.75" customHeight="1">
      <c r="A152" s="3">
        <v>5.0</v>
      </c>
      <c r="B152" s="3" t="s">
        <v>521</v>
      </c>
      <c r="C152" s="3" t="s">
        <v>522</v>
      </c>
      <c r="D152" s="3" t="s">
        <v>97</v>
      </c>
      <c r="E152" s="3" t="s">
        <v>81</v>
      </c>
      <c r="F152" s="3" t="s">
        <v>15</v>
      </c>
      <c r="G152" s="3" t="s">
        <v>523</v>
      </c>
      <c r="H152" s="3" t="s">
        <v>50</v>
      </c>
      <c r="I152" s="3" t="str">
        <f>IFERROR(__xludf.DUMMYFUNCTION("GOOGLETRANSLATE(C152,""fr"",""en"")"),"Everything went well, the site is easy and intuitive access. Very practical to secure online. The guarantees are expressed clearly and precisely.")</f>
        <v>Everything went well, the site is easy and intuitive access. Very practical to secure online. The guarantees are expressed clearly and precisely.</v>
      </c>
    </row>
    <row r="153" ht="15.75" customHeight="1">
      <c r="A153" s="3">
        <v>4.0</v>
      </c>
      <c r="B153" s="3" t="s">
        <v>524</v>
      </c>
      <c r="C153" s="3" t="s">
        <v>525</v>
      </c>
      <c r="D153" s="3" t="s">
        <v>53</v>
      </c>
      <c r="E153" s="3" t="s">
        <v>27</v>
      </c>
      <c r="F153" s="3" t="s">
        <v>15</v>
      </c>
      <c r="G153" s="3" t="s">
        <v>526</v>
      </c>
      <c r="H153" s="3" t="s">
        <v>29</v>
      </c>
      <c r="I153" s="3" t="str">
        <f>IFERROR(__xludf.DUMMYFUNCTION("GOOGLETRANSLATE(C153,""fr"",""en"")"),"I am satisfied with your assistance offer thank you very much for your confidence but I am not sure that it works well with the other members of the family on your part because I do not have")</f>
        <v>I am satisfied with your assistance offer thank you very much for your confidence but I am not sure that it works well with the other members of the family on your part because I do not have</v>
      </c>
    </row>
    <row r="154" ht="15.75" customHeight="1">
      <c r="A154" s="3">
        <v>5.0</v>
      </c>
      <c r="B154" s="3" t="s">
        <v>527</v>
      </c>
      <c r="C154" s="3" t="s">
        <v>528</v>
      </c>
      <c r="D154" s="3" t="s">
        <v>26</v>
      </c>
      <c r="E154" s="3" t="s">
        <v>27</v>
      </c>
      <c r="F154" s="3" t="s">
        <v>15</v>
      </c>
      <c r="G154" s="3" t="s">
        <v>17</v>
      </c>
      <c r="H154" s="3" t="s">
        <v>17</v>
      </c>
      <c r="I154" s="3" t="str">
        <f>IFERROR(__xludf.DUMMYFUNCTION("GOOGLETRANSLATE(C154,""fr"",""en"")"),"speed efficiency availability at any time.
I had to solve a small administrative problem too I contacted the service g m f by phone and I ""fell"" on a charming young girl who immediately understood my request and who immediately solved my problem of doc"&amp;"uments to put them up to date and send them to me by email.
Then I had to sign them I immediately obtained the code through a gentleman always by phone who patiently guided me while I carry out the steps on my customer area. Thank you to these two people"&amp;" available when he was beyond 7:00 p.m.")</f>
        <v>speed efficiency availability at any time.
I had to solve a small administrative problem too I contacted the service g m f by phone and I "fell" on a charming young girl who immediately understood my request and who immediately solved my problem of documents to put them up to date and send them to me by email.
Then I had to sign them I immediately obtained the code through a gentleman always by phone who patiently guided me while I carry out the steps on my customer area. Thank you to these two people available when he was beyond 7:00 p.m.</v>
      </c>
    </row>
    <row r="155" ht="15.75" customHeight="1">
      <c r="A155" s="3">
        <v>1.0</v>
      </c>
      <c r="B155" s="3" t="s">
        <v>529</v>
      </c>
      <c r="C155" s="3" t="s">
        <v>530</v>
      </c>
      <c r="D155" s="3" t="s">
        <v>53</v>
      </c>
      <c r="E155" s="3" t="s">
        <v>27</v>
      </c>
      <c r="F155" s="3" t="s">
        <v>15</v>
      </c>
      <c r="G155" s="3" t="s">
        <v>531</v>
      </c>
      <c r="H155" s="3" t="s">
        <v>72</v>
      </c>
      <c r="I155" s="3" t="str">
        <f>IFERROR(__xludf.DUMMYFUNCTION("GOOGLETRANSLATE(C155,""fr"",""en"")"),"Hello,
As you can notice I am surprised in 2 years you have:
- increased the Hyundai premium by 31%.
- """" BMW of 28%
You know how to point out to me that I am over 12 without a claim, explain to me why such increases.
As for the satisfaction of t"&amp;"he services, I only have relations with you for calls for contributions, I can only say.
I count on you to do something!
Looking forward to rereading you.
Cordially.")</f>
        <v>Hello,
As you can notice I am surprised in 2 years you have:
- increased the Hyundai premium by 31%.
- "" BMW of 28%
You know how to point out to me that I am over 12 without a claim, explain to me why such increases.
As for the satisfaction of the services, I only have relations with you for calls for contributions, I can only say.
I count on you to do something!
Looking forward to rereading you.
Cordially.</v>
      </c>
    </row>
    <row r="156" ht="15.75" customHeight="1">
      <c r="A156" s="3">
        <v>4.0</v>
      </c>
      <c r="B156" s="3" t="s">
        <v>532</v>
      </c>
      <c r="C156" s="3" t="s">
        <v>533</v>
      </c>
      <c r="D156" s="3" t="s">
        <v>157</v>
      </c>
      <c r="E156" s="3" t="s">
        <v>14</v>
      </c>
      <c r="F156" s="3" t="s">
        <v>15</v>
      </c>
      <c r="G156" s="3" t="s">
        <v>158</v>
      </c>
      <c r="H156" s="3" t="s">
        <v>159</v>
      </c>
      <c r="I156" s="3" t="str">
        <f>IFERROR(__xludf.DUMMYFUNCTION("GOOGLETRANSLATE(C156,""fr"",""en"")"),"Very good health insurance that I could take advantage of thanks to my business. Customer service excels always reachable and attentive.
A little high prices, however, individually.
")</f>
        <v>Very good health insurance that I could take advantage of thanks to my business. Customer service excels always reachable and attentive.
A little high prices, however, individually.
</v>
      </c>
    </row>
    <row r="157" ht="15.75" customHeight="1">
      <c r="A157" s="3">
        <v>5.0</v>
      </c>
      <c r="B157" s="3" t="s">
        <v>534</v>
      </c>
      <c r="C157" s="3" t="s">
        <v>535</v>
      </c>
      <c r="D157" s="3" t="s">
        <v>80</v>
      </c>
      <c r="E157" s="3" t="s">
        <v>81</v>
      </c>
      <c r="F157" s="3" t="s">
        <v>15</v>
      </c>
      <c r="G157" s="3" t="s">
        <v>536</v>
      </c>
      <c r="H157" s="3" t="s">
        <v>17</v>
      </c>
      <c r="I157" s="3" t="str">
        <f>IFERROR(__xludf.DUMMYFUNCTION("GOOGLETRANSLATE(C157,""fr"",""en"")"),"Service used to quickly ensure my new BMW K1100LT, I am very satisfied with the service, simple and quick! Quote obtained very quickly in a few minutes. I highly recommend this service.")</f>
        <v>Service used to quickly ensure my new BMW K1100LT, I am very satisfied with the service, simple and quick! Quote obtained very quickly in a few minutes. I highly recommend this service.</v>
      </c>
    </row>
    <row r="158" ht="15.75" customHeight="1">
      <c r="A158" s="3">
        <v>3.0</v>
      </c>
      <c r="B158" s="3" t="s">
        <v>537</v>
      </c>
      <c r="C158" s="3" t="s">
        <v>538</v>
      </c>
      <c r="D158" s="3" t="s">
        <v>26</v>
      </c>
      <c r="E158" s="3" t="s">
        <v>27</v>
      </c>
      <c r="F158" s="3" t="s">
        <v>15</v>
      </c>
      <c r="G158" s="3" t="s">
        <v>23</v>
      </c>
      <c r="H158" s="3" t="s">
        <v>23</v>
      </c>
      <c r="I158" s="3" t="str">
        <f>IFERROR(__xludf.DUMMYFUNCTION("GOOGLETRANSLATE(C158,""fr"",""en"")"),"I am satisfied with the services we have (car, house, and school insurance). Quite fast answer when you contact by phone. Serious insurance")</f>
        <v>I am satisfied with the services we have (car, house, and school insurance). Quite fast answer when you contact by phone. Serious insurance</v>
      </c>
    </row>
    <row r="159" ht="15.75" customHeight="1">
      <c r="A159" s="3">
        <v>1.0</v>
      </c>
      <c r="B159" s="3" t="s">
        <v>539</v>
      </c>
      <c r="C159" s="3" t="s">
        <v>540</v>
      </c>
      <c r="D159" s="3" t="s">
        <v>108</v>
      </c>
      <c r="E159" s="3" t="s">
        <v>27</v>
      </c>
      <c r="F159" s="3" t="s">
        <v>15</v>
      </c>
      <c r="G159" s="3" t="s">
        <v>419</v>
      </c>
      <c r="H159" s="3" t="s">
        <v>230</v>
      </c>
      <c r="I159" s="3" t="str">
        <f>IFERROR(__xludf.DUMMYFUNCTION("GOOGLETRANSLATE(C159,""fr"",""en"")"),"My nightmare started in April 2016. Indeed, I had a car contract at Axa Belgium since 2012, and I had no problems. We decided to change cars in 2016 for a new one. By radiating the plates near my broker, I ask to cut the insurance in order to be able to c"&amp;"hoose insurance elsewhere in omium. When I come back 1 month later, I learn that in fact my contract was suspended and that I have to continue with them! I therefore inquire to put an end to their contract but the date is exceeded I see therefore how much"&amp;" it requires in omium (3 times the price elsewhere). So I just hope that they will make a pricing increase so that I can get out of the contract and well no! Lack of bowl, my new car is stolen on May 1, 2017, the police radiate the plates. I am not in omi"&amp;"um so I would do nothing (it makes sense) on the other hand I ask for cutting the contract following the radiation of the plates thing which is refused to me !!! So I waited for the natural end of the contract and even more to buy a car and 1 year after t"&amp;"he flight of my vehicle, I learn that the suspension may still be current !!! This insurance is a real nightmare")</f>
        <v>My nightmare started in April 2016. Indeed, I had a car contract at Axa Belgium since 2012, and I had no problems. We decided to change cars in 2016 for a new one. By radiating the plates near my broker, I ask to cut the insurance in order to be able to choose insurance elsewhere in omium. When I come back 1 month later, I learn that in fact my contract was suspended and that I have to continue with them! I therefore inquire to put an end to their contract but the date is exceeded I see therefore how much it requires in omium (3 times the price elsewhere). So I just hope that they will make a pricing increase so that I can get out of the contract and well no! Lack of bowl, my new car is stolen on May 1, 2017, the police radiate the plates. I am not in omium so I would do nothing (it makes sense) on the other hand I ask for cutting the contract following the radiation of the plates thing which is refused to me !!! So I waited for the natural end of the contract and even more to buy a car and 1 year after the flight of my vehicle, I learn that the suspension may still be current !!! This insurance is a real nightmare</v>
      </c>
    </row>
    <row r="160" ht="15.75" customHeight="1">
      <c r="A160" s="3">
        <v>4.0</v>
      </c>
      <c r="B160" s="3" t="s">
        <v>541</v>
      </c>
      <c r="C160" s="3" t="s">
        <v>542</v>
      </c>
      <c r="D160" s="3" t="s">
        <v>53</v>
      </c>
      <c r="E160" s="3" t="s">
        <v>27</v>
      </c>
      <c r="F160" s="3" t="s">
        <v>15</v>
      </c>
      <c r="G160" s="3" t="s">
        <v>396</v>
      </c>
      <c r="H160" s="3" t="s">
        <v>29</v>
      </c>
      <c r="I160" s="3" t="str">
        <f>IFERROR(__xludf.DUMMYFUNCTION("GOOGLETRANSLATE(C160,""fr"",""en"")"),"Satisfied with the price and the reception. For the rest, we will see in time. Advised by a friend who has never been disappointed. First contact and good impression. To see for the future.")</f>
        <v>Satisfied with the price and the reception. For the rest, we will see in time. Advised by a friend who has never been disappointed. First contact and good impression. To see for the future.</v>
      </c>
    </row>
    <row r="161" ht="15.75" customHeight="1">
      <c r="A161" s="3">
        <v>4.0</v>
      </c>
      <c r="B161" s="3" t="s">
        <v>543</v>
      </c>
      <c r="C161" s="3" t="s">
        <v>544</v>
      </c>
      <c r="D161" s="3" t="s">
        <v>53</v>
      </c>
      <c r="E161" s="3" t="s">
        <v>27</v>
      </c>
      <c r="F161" s="3" t="s">
        <v>15</v>
      </c>
      <c r="G161" s="3" t="s">
        <v>98</v>
      </c>
      <c r="H161" s="3" t="s">
        <v>99</v>
      </c>
      <c r="I161" s="3" t="str">
        <f>IFERROR(__xludf.DUMMYFUNCTION("GOOGLETRANSLATE(C161,""fr"",""en"")"),"fast on subscription
Too bad the price is not the same on the phone as on online subscription.
effective hoping that the after -sales service is good")</f>
        <v>fast on subscription
Too bad the price is not the same on the phone as on online subscription.
effective hoping that the after -sales service is good</v>
      </c>
    </row>
    <row r="162" ht="15.75" customHeight="1">
      <c r="A162" s="3">
        <v>5.0</v>
      </c>
      <c r="B162" s="3" t="s">
        <v>545</v>
      </c>
      <c r="C162" s="3" t="s">
        <v>546</v>
      </c>
      <c r="D162" s="3" t="s">
        <v>37</v>
      </c>
      <c r="E162" s="3" t="s">
        <v>27</v>
      </c>
      <c r="F162" s="3" t="s">
        <v>15</v>
      </c>
      <c r="G162" s="3" t="s">
        <v>547</v>
      </c>
      <c r="H162" s="3" t="s">
        <v>99</v>
      </c>
      <c r="I162" s="3" t="str">
        <f>IFERROR(__xludf.DUMMYFUNCTION("GOOGLETRANSLATE(C162,""fr"",""en"")"),"I am very satisfied level price best value for the comparison made on the internet thank you very practical and fast sire")</f>
        <v>I am very satisfied level price best value for the comparison made on the internet thank you very practical and fast sire</v>
      </c>
    </row>
    <row r="163" ht="15.75" customHeight="1">
      <c r="A163" s="3">
        <v>1.0</v>
      </c>
      <c r="B163" s="3" t="s">
        <v>548</v>
      </c>
      <c r="C163" s="3" t="s">
        <v>549</v>
      </c>
      <c r="D163" s="3" t="s">
        <v>123</v>
      </c>
      <c r="E163" s="3" t="s">
        <v>27</v>
      </c>
      <c r="F163" s="3" t="s">
        <v>15</v>
      </c>
      <c r="G163" s="3" t="s">
        <v>139</v>
      </c>
      <c r="H163" s="3" t="s">
        <v>139</v>
      </c>
      <c r="I163" s="3" t="str">
        <f>IFERROR(__xludf.DUMMYFUNCTION("GOOGLETRANSLATE(C163,""fr"",""en"")"),"Customer for 5 years has been resilled for 2 claims
First responsible claims.
second non -responsible they judge responsible 50/50 to avoid
price to flee
insignificant")</f>
        <v>Customer for 5 years has been resilled for 2 claims
First responsible claims.
second non -responsible they judge responsible 50/50 to avoid
price to flee
insignificant</v>
      </c>
    </row>
    <row r="164" ht="15.75" customHeight="1">
      <c r="A164" s="3">
        <v>5.0</v>
      </c>
      <c r="B164" s="3" t="s">
        <v>550</v>
      </c>
      <c r="C164" s="3" t="s">
        <v>551</v>
      </c>
      <c r="D164" s="3" t="s">
        <v>37</v>
      </c>
      <c r="E164" s="3" t="s">
        <v>27</v>
      </c>
      <c r="F164" s="3" t="s">
        <v>15</v>
      </c>
      <c r="G164" s="3" t="s">
        <v>552</v>
      </c>
      <c r="H164" s="3" t="s">
        <v>72</v>
      </c>
      <c r="I164" s="3" t="str">
        <f>IFERROR(__xludf.DUMMYFUNCTION("GOOGLETRANSLATE(C164,""fr"",""en"")"),"Simple and quick. Advisor to the phone very friendly and which explains clearly. Too bad we cannot do online membership yourself during a provisional registration, which made me missed € 35 cash back on IGRAAL")</f>
        <v>Simple and quick. Advisor to the phone very friendly and which explains clearly. Too bad we cannot do online membership yourself during a provisional registration, which made me missed € 35 cash back on IGRAAL</v>
      </c>
    </row>
    <row r="165" ht="15.75" customHeight="1">
      <c r="A165" s="3">
        <v>4.0</v>
      </c>
      <c r="B165" s="3" t="s">
        <v>553</v>
      </c>
      <c r="C165" s="3" t="s">
        <v>554</v>
      </c>
      <c r="D165" s="3" t="s">
        <v>13</v>
      </c>
      <c r="E165" s="3" t="s">
        <v>14</v>
      </c>
      <c r="F165" s="3" t="s">
        <v>15</v>
      </c>
      <c r="G165" s="3" t="s">
        <v>555</v>
      </c>
      <c r="H165" s="3" t="s">
        <v>190</v>
      </c>
      <c r="I165" s="3" t="str">
        <f>IFERROR(__xludf.DUMMYFUNCTION("GOOGLETRANSLATE(C165,""fr"",""en"")"),"very detailed explanation nothing to complain about")</f>
        <v>very detailed explanation nothing to complain about</v>
      </c>
    </row>
    <row r="166" ht="15.75" customHeight="1">
      <c r="A166" s="3">
        <v>1.0</v>
      </c>
      <c r="B166" s="3" t="s">
        <v>556</v>
      </c>
      <c r="C166" s="3" t="s">
        <v>557</v>
      </c>
      <c r="D166" s="3" t="s">
        <v>247</v>
      </c>
      <c r="E166" s="3" t="s">
        <v>27</v>
      </c>
      <c r="F166" s="3" t="s">
        <v>15</v>
      </c>
      <c r="G166" s="3" t="s">
        <v>558</v>
      </c>
      <c r="H166" s="3" t="s">
        <v>44</v>
      </c>
      <c r="I166" s="3" t="str">
        <f>IFERROR(__xludf.DUMMYFUNCTION("GOOGLETRANSLATE(C166,""fr"",""en"")"),"Faced with so much incompetence and mediocrity of the Macif, I recently terminated all my contracts at home by my new insurer within the framework of the Hamon law.
Yesterday, when the Macif had sent me letters probably taking into account my departure f"&amp;"rom their home, I receive against all expectations, my deadline for the coming year accompanied by the green cards of my vehicles ???! !!! ....
Finally, in addition to the incredible problems I have encountered with the Macif, I tell myself that I did we"&amp;"ll to run away !!!")</f>
        <v>Faced with so much incompetence and mediocrity of the Macif, I recently terminated all my contracts at home by my new insurer within the framework of the Hamon law.
Yesterday, when the Macif had sent me letters probably taking into account my departure from their home, I receive against all expectations, my deadline for the coming year accompanied by the green cards of my vehicles ???! !!! ....
Finally, in addition to the incredible problems I have encountered with the Macif, I tell myself that I did well to run away !!!</v>
      </c>
    </row>
    <row r="167" ht="15.75" customHeight="1">
      <c r="A167" s="3">
        <v>1.0</v>
      </c>
      <c r="B167" s="3" t="s">
        <v>559</v>
      </c>
      <c r="C167" s="3" t="s">
        <v>560</v>
      </c>
      <c r="D167" s="3" t="s">
        <v>137</v>
      </c>
      <c r="E167" s="3" t="s">
        <v>76</v>
      </c>
      <c r="F167" s="3" t="s">
        <v>15</v>
      </c>
      <c r="G167" s="3" t="s">
        <v>561</v>
      </c>
      <c r="H167" s="3" t="s">
        <v>520</v>
      </c>
      <c r="I167" s="3" t="str">
        <f>IFERROR(__xludf.DUMMYFUNCTION("GOOGLETRANSLATE(C167,""fr"",""en"")"),"The worst at home is that they do not justify the invoices to be paid as the reimbursements. Incomprehensible for an accountant! Paid quote not in accordance with my requests. Sinister Degat des Eaux: their expert gives reason to the moron who has not clo"&amp;"sed the water inlet tap ....")</f>
        <v>The worst at home is that they do not justify the invoices to be paid as the reimbursements. Incomprehensible for an accountant! Paid quote not in accordance with my requests. Sinister Degat des Eaux: their expert gives reason to the moron who has not closed the water inlet tap ....</v>
      </c>
    </row>
    <row r="168" ht="15.75" customHeight="1">
      <c r="A168" s="3">
        <v>2.0</v>
      </c>
      <c r="B168" s="3" t="s">
        <v>562</v>
      </c>
      <c r="C168" s="3" t="s">
        <v>563</v>
      </c>
      <c r="D168" s="3" t="s">
        <v>564</v>
      </c>
      <c r="E168" s="3" t="s">
        <v>76</v>
      </c>
      <c r="F168" s="3" t="s">
        <v>15</v>
      </c>
      <c r="G168" s="3" t="s">
        <v>565</v>
      </c>
      <c r="H168" s="3" t="s">
        <v>139</v>
      </c>
      <c r="I168" s="3" t="str">
        <f>IFERROR(__xludf.DUMMYFUNCTION("GOOGLETRANSLATE(C168,""fr"",""en"")"),"Following a water damage declared on 11/11/2019 and the bad faith of the Groupama expert the apartment to date (12/06/2020) is still not dry despite the multiple interventions of a recommended company by this expert.
We are always unanswered by Groupama "&amp;"who takes shelter behind his expert who is dragging. I do not recommend this insurance.")</f>
        <v>Following a water damage declared on 11/11/2019 and the bad faith of the Groupama expert the apartment to date (12/06/2020) is still not dry despite the multiple interventions of a recommended company by this expert.
We are always unanswered by Groupama who takes shelter behind his expert who is dragging. I do not recommend this insurance.</v>
      </c>
    </row>
    <row r="169" ht="15.75" customHeight="1">
      <c r="A169" s="3">
        <v>5.0</v>
      </c>
      <c r="B169" s="3" t="s">
        <v>566</v>
      </c>
      <c r="C169" s="3" t="s">
        <v>567</v>
      </c>
      <c r="D169" s="3" t="s">
        <v>80</v>
      </c>
      <c r="E169" s="3" t="s">
        <v>81</v>
      </c>
      <c r="F169" s="3" t="s">
        <v>15</v>
      </c>
      <c r="G169" s="3" t="s">
        <v>568</v>
      </c>
      <c r="H169" s="3" t="s">
        <v>23</v>
      </c>
      <c r="I169" s="3" t="str">
        <f>IFERROR(__xludf.DUMMYFUNCTION("GOOGLETRANSLATE(C169,""fr"",""en"")"),"Completely satisfied with your organization on the Internet. Fluid, understandable, and ready to use. Correct price level. Good quality of the site ...")</f>
        <v>Completely satisfied with your organization on the Internet. Fluid, understandable, and ready to use. Correct price level. Good quality of the site ...</v>
      </c>
    </row>
    <row r="170" ht="15.75" customHeight="1">
      <c r="A170" s="3">
        <v>3.0</v>
      </c>
      <c r="B170" s="3" t="s">
        <v>569</v>
      </c>
      <c r="C170" s="3" t="s">
        <v>570</v>
      </c>
      <c r="D170" s="3" t="s">
        <v>53</v>
      </c>
      <c r="E170" s="3" t="s">
        <v>27</v>
      </c>
      <c r="F170" s="3" t="s">
        <v>15</v>
      </c>
      <c r="G170" s="3" t="s">
        <v>571</v>
      </c>
      <c r="H170" s="3" t="s">
        <v>58</v>
      </c>
      <c r="I170" s="3" t="str">
        <f>IFERROR(__xludf.DUMMYFUNCTION("GOOGLETRANSLATE(C170,""fr"",""en"")"),"I am very satisfied with the prices, but I thought that I will be contacted in view of 3 subscription (2 cars and home insurance). But to reach customer service by phone it is very difficult. Endless waiting time.
")</f>
        <v>I am very satisfied with the prices, but I thought that I will be contacted in view of 3 subscription (2 cars and home insurance). But to reach customer service by phone it is very difficult. Endless waiting time.
</v>
      </c>
    </row>
    <row r="171" ht="15.75" customHeight="1">
      <c r="A171" s="3">
        <v>3.0</v>
      </c>
      <c r="B171" s="3" t="s">
        <v>572</v>
      </c>
      <c r="C171" s="3" t="s">
        <v>573</v>
      </c>
      <c r="D171" s="3" t="s">
        <v>53</v>
      </c>
      <c r="E171" s="3" t="s">
        <v>27</v>
      </c>
      <c r="F171" s="3" t="s">
        <v>15</v>
      </c>
      <c r="G171" s="3" t="s">
        <v>574</v>
      </c>
      <c r="H171" s="3" t="s">
        <v>99</v>
      </c>
      <c r="I171" s="3" t="str">
        <f>IFERROR(__xludf.DUMMYFUNCTION("GOOGLETRANSLATE(C171,""fr"",""en"")"),"Simple light fast
The site is well done, easy to use, accessible, amount of the correct premium compared to other car insurance quotes.")</f>
        <v>Simple light fast
The site is well done, easy to use, accessible, amount of the correct premium compared to other car insurance quotes.</v>
      </c>
    </row>
    <row r="172" ht="15.75" customHeight="1">
      <c r="A172" s="3">
        <v>4.0</v>
      </c>
      <c r="B172" s="3" t="s">
        <v>575</v>
      </c>
      <c r="C172" s="3" t="s">
        <v>576</v>
      </c>
      <c r="D172" s="3" t="s">
        <v>53</v>
      </c>
      <c r="E172" s="3" t="s">
        <v>27</v>
      </c>
      <c r="F172" s="3" t="s">
        <v>15</v>
      </c>
      <c r="G172" s="3" t="s">
        <v>577</v>
      </c>
      <c r="H172" s="3" t="s">
        <v>72</v>
      </c>
      <c r="I172" s="3" t="str">
        <f>IFERROR(__xludf.DUMMYFUNCTION("GOOGLETRANSLATE(C172,""fr"",""en"")"),"I have just set up my first insurance contract with Direct Insurance and I am satisfied. The whole online approach is clear and easy, the prices are clearly announced, no unpleasant surprises.")</f>
        <v>I have just set up my first insurance contract with Direct Insurance and I am satisfied. The whole online approach is clear and easy, the prices are clearly announced, no unpleasant surprises.</v>
      </c>
    </row>
    <row r="173" ht="15.75" customHeight="1">
      <c r="A173" s="3">
        <v>1.0</v>
      </c>
      <c r="B173" s="3" t="s">
        <v>578</v>
      </c>
      <c r="C173" s="3" t="s">
        <v>579</v>
      </c>
      <c r="D173" s="3" t="s">
        <v>53</v>
      </c>
      <c r="E173" s="3" t="s">
        <v>27</v>
      </c>
      <c r="F173" s="3" t="s">
        <v>15</v>
      </c>
      <c r="G173" s="3" t="s">
        <v>580</v>
      </c>
      <c r="H173" s="3" t="s">
        <v>58</v>
      </c>
      <c r="I173" s="3" t="str">
        <f>IFERROR(__xludf.DUMMYFUNCTION("GOOGLETRANSLATE(C173,""fr"",""en"")"),"I want to terminate since November and refuse you for no reason !!!!! I am very disappointed with your services which do not provide complete answers")</f>
        <v>I want to terminate since November and refuse you for no reason !!!!! I am very disappointed with your services which do not provide complete answers</v>
      </c>
    </row>
    <row r="174" ht="15.75" customHeight="1">
      <c r="A174" s="3">
        <v>1.0</v>
      </c>
      <c r="B174" s="3" t="s">
        <v>581</v>
      </c>
      <c r="C174" s="3" t="s">
        <v>582</v>
      </c>
      <c r="D174" s="3" t="s">
        <v>26</v>
      </c>
      <c r="E174" s="3" t="s">
        <v>76</v>
      </c>
      <c r="F174" s="3" t="s">
        <v>15</v>
      </c>
      <c r="G174" s="3" t="s">
        <v>583</v>
      </c>
      <c r="H174" s="3" t="s">
        <v>266</v>
      </c>
      <c r="I174" s="3" t="str">
        <f>IFERROR(__xludf.DUMMYFUNCTION("GOOGLETRANSLATE(C174,""fr"",""en"")"),"Unreachable sinister service if you have a problem, time slots from 2 p.m. to 5 p.m., 30 to 50 minutes of waiting, untimely hanging up, 7 hours of cumulative waiting over several days for my part and I was able to exchange only a few words with an advisor"&amp;" , that doesn't even come to the idea of ​​contacting you")</f>
        <v>Unreachable sinister service if you have a problem, time slots from 2 p.m. to 5 p.m., 30 to 50 minutes of waiting, untimely hanging up, 7 hours of cumulative waiting over several days for my part and I was able to exchange only a few words with an advisor , that doesn't even come to the idea of ​​contacting you</v>
      </c>
    </row>
    <row r="175" ht="15.75" customHeight="1">
      <c r="A175" s="3">
        <v>5.0</v>
      </c>
      <c r="B175" s="3" t="s">
        <v>584</v>
      </c>
      <c r="C175" s="3" t="s">
        <v>585</v>
      </c>
      <c r="D175" s="3" t="s">
        <v>37</v>
      </c>
      <c r="E175" s="3" t="s">
        <v>27</v>
      </c>
      <c r="F175" s="3" t="s">
        <v>15</v>
      </c>
      <c r="G175" s="3" t="s">
        <v>407</v>
      </c>
      <c r="H175" s="3" t="s">
        <v>58</v>
      </c>
      <c r="I175" s="3" t="str">
        <f>IFERROR(__xludf.DUMMYFUNCTION("GOOGLETRANSLATE(C175,""fr"",""en"")"),"I am satisfied by the service.
The information is clear and the interlocutor on the phone puts the customer at ease, answers the various questions.")</f>
        <v>I am satisfied by the service.
The information is clear and the interlocutor on the phone puts the customer at ease, answers the various questions.</v>
      </c>
    </row>
    <row r="176" ht="15.75" customHeight="1">
      <c r="A176" s="3">
        <v>4.0</v>
      </c>
      <c r="B176" s="3" t="s">
        <v>586</v>
      </c>
      <c r="C176" s="3" t="s">
        <v>587</v>
      </c>
      <c r="D176" s="3" t="s">
        <v>53</v>
      </c>
      <c r="E176" s="3" t="s">
        <v>27</v>
      </c>
      <c r="F176" s="3" t="s">
        <v>15</v>
      </c>
      <c r="G176" s="3" t="s">
        <v>526</v>
      </c>
      <c r="H176" s="3" t="s">
        <v>29</v>
      </c>
      <c r="I176" s="3" t="str">
        <f>IFERROR(__xludf.DUMMYFUNCTION("GOOGLETRANSLATE(C176,""fr"",""en"")"),"Clear and precise interlocutor. Interesting price
We have 2 cars and the house as well as we have this insurance and are very satisfied. To recommend to those around me")</f>
        <v>Clear and precise interlocutor. Interesting price
We have 2 cars and the house as well as we have this insurance and are very satisfied. To recommend to those around me</v>
      </c>
    </row>
    <row r="177" ht="15.75" customHeight="1">
      <c r="A177" s="3">
        <v>3.0</v>
      </c>
      <c r="B177" s="3" t="s">
        <v>588</v>
      </c>
      <c r="C177" s="3" t="s">
        <v>589</v>
      </c>
      <c r="D177" s="3" t="s">
        <v>75</v>
      </c>
      <c r="E177" s="3" t="s">
        <v>21</v>
      </c>
      <c r="F177" s="3" t="s">
        <v>15</v>
      </c>
      <c r="G177" s="3" t="s">
        <v>590</v>
      </c>
      <c r="H177" s="3" t="s">
        <v>58</v>
      </c>
      <c r="I177" s="3" t="str">
        <f>IFERROR(__xludf.DUMMYFUNCTION("GOOGLETRANSLATE(C177,""fr"",""en"")"),"Insured for health providents I had the misfortune to make a break in the crossed ligaments in December 2020, operated in early January 2021 with a substantial work stoppage strongly penalizing from a wage point of view I had the huge Surprise to receive "&amp;"at first a response response up to 52% at first due to a knee history in 2018 !!!!! Then in a second step allianz meant me that I will have no compensation and that Allianz terminated my contract while specifying that they retained my contributions .... k"&amp;"nowing that there is a family behind who is financially penalized J I could have seen non -empathy and non -humanism on the part of this insurer !!!!")</f>
        <v>Insured for health providents I had the misfortune to make a break in the crossed ligaments in December 2020, operated in early January 2021 with a substantial work stoppage strongly penalizing from a wage point of view I had the huge Surprise to receive at first a response response up to 52% at first due to a knee history in 2018 !!!!! Then in a second step allianz meant me that I will have no compensation and that Allianz terminated my contract while specifying that they retained my contributions .... knowing that there is a family behind who is financially penalized J I could have seen non -empathy and non -humanism on the part of this insurer !!!!</v>
      </c>
    </row>
    <row r="178" ht="15.75" customHeight="1">
      <c r="A178" s="3">
        <v>5.0</v>
      </c>
      <c r="B178" s="3" t="s">
        <v>591</v>
      </c>
      <c r="C178" s="3" t="s">
        <v>592</v>
      </c>
      <c r="D178" s="3" t="s">
        <v>37</v>
      </c>
      <c r="E178" s="3" t="s">
        <v>27</v>
      </c>
      <c r="F178" s="3" t="s">
        <v>15</v>
      </c>
      <c r="G178" s="3" t="s">
        <v>593</v>
      </c>
      <c r="H178" s="3" t="s">
        <v>378</v>
      </c>
      <c r="I178" s="3" t="str">
        <f>IFERROR(__xludf.DUMMYFUNCTION("GOOGLETRANSLATE(C178,""fr"",""en"")"),"I have just provided two vehicles for this insurance olive assurance and I am very satisfied with the simplicity of my subscription, as well as competitive prices and the speed of sending my two green cards.")</f>
        <v>I have just provided two vehicles for this insurance olive assurance and I am very satisfied with the simplicity of my subscription, as well as competitive prices and the speed of sending my two green cards.</v>
      </c>
    </row>
    <row r="179" ht="15.75" customHeight="1">
      <c r="A179" s="3">
        <v>1.0</v>
      </c>
      <c r="B179" s="3" t="s">
        <v>594</v>
      </c>
      <c r="C179" s="3" t="s">
        <v>595</v>
      </c>
      <c r="D179" s="3" t="s">
        <v>157</v>
      </c>
      <c r="E179" s="3" t="s">
        <v>14</v>
      </c>
      <c r="F179" s="3" t="s">
        <v>15</v>
      </c>
      <c r="G179" s="3" t="s">
        <v>596</v>
      </c>
      <c r="H179" s="3" t="s">
        <v>597</v>
      </c>
      <c r="I179" s="3" t="str">
        <f>IFERROR(__xludf.DUMMYFUNCTION("GOOGLETRANSLATE(C179,""fr"",""en"")"),"Cocoon discourt on the phone to walk ... To flee !!! A contract termination within 3 months of subscription impossible! Whether by email or by phone ... An unpleasant customer service that only responds with all ready sentences outside the context of the "&amp;"call")</f>
        <v>Cocoon discourt on the phone to walk ... To flee !!! A contract termination within 3 months of subscription impossible! Whether by email or by phone ... An unpleasant customer service that only responds with all ready sentences outside the context of the call</v>
      </c>
    </row>
    <row r="180" ht="15.75" customHeight="1">
      <c r="A180" s="3">
        <v>4.0</v>
      </c>
      <c r="B180" s="3" t="s">
        <v>598</v>
      </c>
      <c r="C180" s="3" t="s">
        <v>599</v>
      </c>
      <c r="D180" s="3" t="s">
        <v>37</v>
      </c>
      <c r="E180" s="3" t="s">
        <v>27</v>
      </c>
      <c r="F180" s="3" t="s">
        <v>15</v>
      </c>
      <c r="G180" s="3" t="s">
        <v>298</v>
      </c>
      <c r="H180" s="3" t="s">
        <v>58</v>
      </c>
      <c r="I180" s="3" t="str">
        <f>IFERROR(__xludf.DUMMYFUNCTION("GOOGLETRANSLATE(C180,""fr"",""en"")"),"price that suits me
and fast and simple subscription. I hope it will last.")</f>
        <v>price that suits me
and fast and simple subscription. I hope it will last.</v>
      </c>
    </row>
    <row r="181" ht="15.75" customHeight="1">
      <c r="A181" s="3">
        <v>1.0</v>
      </c>
      <c r="B181" s="3" t="s">
        <v>600</v>
      </c>
      <c r="C181" s="3" t="s">
        <v>601</v>
      </c>
      <c r="D181" s="3" t="s">
        <v>602</v>
      </c>
      <c r="E181" s="3" t="s">
        <v>21</v>
      </c>
      <c r="F181" s="3" t="s">
        <v>15</v>
      </c>
      <c r="G181" s="3" t="s">
        <v>603</v>
      </c>
      <c r="H181" s="3" t="s">
        <v>604</v>
      </c>
      <c r="I181" s="3" t="str">
        <f>IFERROR(__xludf.DUMMYFUNCTION("GOOGLETRANSLATE(C181,""fr"",""en"")"),"Watch out for this association for the guarantee of business leaders - Association Services GSC Services
Gan Insurance
And quite simply utopian insurance we make you believe in a guarantee of business leaders, it is a challenge, you are good to pay like"&amp;" the other insurers and when you need, well, you have to fill out a very very file Well detailed or all the possibilities are listed once the folder is well filled and refined, you think that everything rolls and simply, you are made to wait two to three "&amp;"months, without signs of life, the day or your so -called advisable Detaine watch your File, he asks you for the improbable document document which is not even listed in their fabulous canvas. You explain to him that you do not understand why this documen"&amp;"t, and without any explanation, it boots your response, leaves you unanswered and when you relaunch it fifteen days later and that it answers you, sorry we are very late, We are going to look at your file in a while, and the best, the most, the best, the "&amp;"excellence, it will ask you the same document, proof of the incompetence of the system, and at that time I allowed myself to doubt the organization, and the proof in the support we answer you very very quickly that we refuse you
I invent nothing, I have "&amp;"all the emails
So future members do not do like me, you will be disappointed on D -Day
Look at elsewhere and ask for the testimonies of members especially
Fled this organization")</f>
        <v>Watch out for this association for the guarantee of business leaders - Association Services GSC Services
Gan Insurance
And quite simply utopian insurance we make you believe in a guarantee of business leaders, it is a challenge, you are good to pay like the other insurers and when you need, well, you have to fill out a very very file Well detailed or all the possibilities are listed once the folder is well filled and refined, you think that everything rolls and simply, you are made to wait two to three months, without signs of life, the day or your so -called advisable Detaine watch your File, he asks you for the improbable document document which is not even listed in their fabulous canvas. You explain to him that you do not understand why this document, and without any explanation, it boots your response, leaves you unanswered and when you relaunch it fifteen days later and that it answers you, sorry we are very late, We are going to look at your file in a while, and the best, the most, the best, the excellence, it will ask you the same document, proof of the incompetence of the system, and at that time I allowed myself to doubt the organization, and the proof in the support we answer you very very quickly that we refuse you
I invent nothing, I have all the emails
So future members do not do like me, you will be disappointed on D -Day
Look at elsewhere and ask for the testimonies of members especially
Fled this organization</v>
      </c>
    </row>
    <row r="182" ht="15.75" customHeight="1">
      <c r="A182" s="3">
        <v>1.0</v>
      </c>
      <c r="B182" s="3" t="s">
        <v>605</v>
      </c>
      <c r="C182" s="3" t="s">
        <v>606</v>
      </c>
      <c r="D182" s="3" t="s">
        <v>13</v>
      </c>
      <c r="E182" s="3" t="s">
        <v>14</v>
      </c>
      <c r="F182" s="3" t="s">
        <v>15</v>
      </c>
      <c r="G182" s="3" t="s">
        <v>607</v>
      </c>
      <c r="H182" s="3" t="s">
        <v>597</v>
      </c>
      <c r="I182" s="3" t="str">
        <f>IFERROR(__xludf.DUMMYFUNCTION("GOOGLETRANSLATE(C182,""fr"",""en"")"),"To flee to every point of view ...")</f>
        <v>To flee to every point of view ...</v>
      </c>
    </row>
    <row r="183" ht="15.75" customHeight="1">
      <c r="A183" s="3">
        <v>5.0</v>
      </c>
      <c r="B183" s="3" t="s">
        <v>608</v>
      </c>
      <c r="C183" s="3" t="s">
        <v>609</v>
      </c>
      <c r="D183" s="3" t="s">
        <v>37</v>
      </c>
      <c r="E183" s="3" t="s">
        <v>27</v>
      </c>
      <c r="F183" s="3" t="s">
        <v>15</v>
      </c>
      <c r="G183" s="3" t="s">
        <v>610</v>
      </c>
      <c r="H183" s="3" t="s">
        <v>159</v>
      </c>
      <c r="I183" s="3" t="str">
        <f>IFERROR(__xludf.DUMMYFUNCTION("GOOGLETRANSLATE(C183,""fr"",""en"")"),"Thanks to Marrion, I was more than satisfied. Very professional and available, very clear in these explanations. Bravo and thank you and good luck to the whole team.")</f>
        <v>Thanks to Marrion, I was more than satisfied. Very professional and available, very clear in these explanations. Bravo and thank you and good luck to the whole team.</v>
      </c>
    </row>
    <row r="184" ht="15.75" customHeight="1">
      <c r="A184" s="3">
        <v>5.0</v>
      </c>
      <c r="B184" s="3" t="s">
        <v>611</v>
      </c>
      <c r="C184" s="3" t="s">
        <v>612</v>
      </c>
      <c r="D184" s="3" t="s">
        <v>108</v>
      </c>
      <c r="E184" s="3" t="s">
        <v>27</v>
      </c>
      <c r="F184" s="3" t="s">
        <v>15</v>
      </c>
      <c r="G184" s="3" t="s">
        <v>613</v>
      </c>
      <c r="H184" s="3" t="s">
        <v>614</v>
      </c>
      <c r="I184" s="3" t="str">
        <f>IFERROR(__xludf.DUMMYFUNCTION("GOOGLETRANSLATE(C184,""fr"",""en"")"),"Excellent!
I was the victim of a non -responsible accident (my trunk and bumper were affected). The sinister service followed me very well. The repairs were rapid with a replacement vehicle like new. I have not paid any deductible (while for other insura"&amp;"nces, we pay even if we are not responsible). All this for third -party insurance!
AXA, you can be sure that I will recommend you to all my knowledge :)
I will also go to you next year for home insurance.
")</f>
        <v>Excellent!
I was the victim of a non -responsible accident (my trunk and bumper were affected). The sinister service followed me very well. The repairs were rapid with a replacement vehicle like new. I have not paid any deductible (while for other insurances, we pay even if we are not responsible). All this for third -party insurance!
AXA, you can be sure that I will recommend you to all my knowledge :)
I will also go to you next year for home insurance.
</v>
      </c>
    </row>
    <row r="185" ht="15.75" customHeight="1">
      <c r="A185" s="3">
        <v>1.0</v>
      </c>
      <c r="B185" s="3" t="s">
        <v>615</v>
      </c>
      <c r="C185" s="3" t="s">
        <v>616</v>
      </c>
      <c r="D185" s="3" t="s">
        <v>157</v>
      </c>
      <c r="E185" s="3" t="s">
        <v>14</v>
      </c>
      <c r="F185" s="3" t="s">
        <v>15</v>
      </c>
      <c r="G185" s="3" t="s">
        <v>617</v>
      </c>
      <c r="H185" s="3" t="s">
        <v>322</v>
      </c>
      <c r="I185" s="3" t="str">
        <f>IFERROR(__xludf.DUMMYFUNCTION("GOOGLETRANSLATE(C185,""fr"",""en"")"),"Mutual imposed by our employer, first time I have to do with them and already connection problems, for my colleagues too ...
We have re ¢ u RIB request for samples when we have not had the details of the guarantees or the prices ...")</f>
        <v>Mutual imposed by our employer, first time I have to do with them and already connection problems, for my colleagues too ...
We have re ¢ u RIB request for samples when we have not had the details of the guarantees or the prices ...</v>
      </c>
    </row>
    <row r="186" ht="15.75" customHeight="1">
      <c r="A186" s="3">
        <v>2.0</v>
      </c>
      <c r="B186" s="3" t="s">
        <v>618</v>
      </c>
      <c r="C186" s="3" t="s">
        <v>619</v>
      </c>
      <c r="D186" s="3" t="s">
        <v>61</v>
      </c>
      <c r="E186" s="3" t="s">
        <v>14</v>
      </c>
      <c r="F186" s="3" t="s">
        <v>15</v>
      </c>
      <c r="G186" s="3" t="s">
        <v>407</v>
      </c>
      <c r="H186" s="3" t="s">
        <v>58</v>
      </c>
      <c r="I186" s="3" t="str">
        <f>IFERROR(__xludf.DUMMYFUNCTION("GOOGLETRANSLATE(C186,""fr"",""en"")"),"I thank Emeline very professional helpful and very kind on the phone.
On the other hand, difficult to have someone who answers the phone or by email
")</f>
        <v>I thank Emeline very professional helpful and very kind on the phone.
On the other hand, difficult to have someone who answers the phone or by email
</v>
      </c>
    </row>
    <row r="187" ht="15.75" customHeight="1">
      <c r="A187" s="3">
        <v>4.0</v>
      </c>
      <c r="B187" s="3" t="s">
        <v>620</v>
      </c>
      <c r="C187" s="3" t="s">
        <v>621</v>
      </c>
      <c r="D187" s="3" t="s">
        <v>80</v>
      </c>
      <c r="E187" s="3" t="s">
        <v>81</v>
      </c>
      <c r="F187" s="3" t="s">
        <v>15</v>
      </c>
      <c r="G187" s="3" t="s">
        <v>622</v>
      </c>
      <c r="H187" s="3" t="s">
        <v>72</v>
      </c>
      <c r="I187" s="3" t="str">
        <f>IFERROR(__xludf.DUMMYFUNCTION("GOOGLETRANSLATE(C187,""fr"",""en"")"),"I am satisfied with the prices and the speed of receipt of the quote.
Everything is very well explained and of incredible simplicity. I am very happy to know your insurance")</f>
        <v>I am satisfied with the prices and the speed of receipt of the quote.
Everything is very well explained and of incredible simplicity. I am very happy to know your insurance</v>
      </c>
    </row>
    <row r="188" ht="15.75" customHeight="1">
      <c r="A188" s="3">
        <v>3.0</v>
      </c>
      <c r="B188" s="3" t="s">
        <v>623</v>
      </c>
      <c r="C188" s="3" t="s">
        <v>624</v>
      </c>
      <c r="D188" s="3" t="s">
        <v>123</v>
      </c>
      <c r="E188" s="3" t="s">
        <v>76</v>
      </c>
      <c r="F188" s="3" t="s">
        <v>15</v>
      </c>
      <c r="G188" s="3" t="s">
        <v>625</v>
      </c>
      <c r="H188" s="3" t="s">
        <v>205</v>
      </c>
      <c r="I188" s="3" t="str">
        <f>IFERROR(__xludf.DUMMYFUNCTION("GOOGLETRANSLATE(C188,""fr"",""en"")"),"Super pub on suckling but the reception does not correspond at all on Montélimar to initiate appeals to another insurance you have to manage on its own
")</f>
        <v>Super pub on suckling but the reception does not correspond at all on Montélimar to initiate appeals to another insurance you have to manage on its own
</v>
      </c>
    </row>
    <row r="189" ht="15.75" customHeight="1">
      <c r="A189" s="3">
        <v>1.0</v>
      </c>
      <c r="B189" s="3" t="s">
        <v>626</v>
      </c>
      <c r="C189" s="3" t="s">
        <v>627</v>
      </c>
      <c r="D189" s="3" t="s">
        <v>628</v>
      </c>
      <c r="E189" s="3" t="s">
        <v>109</v>
      </c>
      <c r="F189" s="3" t="s">
        <v>15</v>
      </c>
      <c r="G189" s="3" t="s">
        <v>629</v>
      </c>
      <c r="H189" s="3" t="s">
        <v>335</v>
      </c>
      <c r="I189" s="3" t="str">
        <f>IFERROR(__xludf.DUMMYFUNCTION("GOOGLETRANSLATE(C189,""fr"",""en"")"),"My mother-in-law died on 19/10/18, I provided all the documents in Swisslife who received the mail with AR on 10/29/18. Having no news I contacted customer service on 06/12/18 which as if by chance my informed that it was missing from the documents that I"&amp;" had already provided to them. I return the Documents to them by email on 06/12/18 I receive an AR. The 17/12/18 I remind customer service who replied that the documents received not have been saved and ask me to return the documents by email . The death "&amp;"capital can only be paid within one month from the moment when the file will be complete at this rate there can be wondered when I could set the funeral pumps knowing that on the guarantees of the contract the capital must be poured in 72h")</f>
        <v>My mother-in-law died on 19/10/18, I provided all the documents in Swisslife who received the mail with AR on 10/29/18. Having no news I contacted customer service on 06/12/18 which as if by chance my informed that it was missing from the documents that I had already provided to them. I return the Documents to them by email on 06/12/18 I receive an AR. The 17/12/18 I remind customer service who replied that the documents received not have been saved and ask me to return the documents by email . The death capital can only be paid within one month from the moment when the file will be complete at this rate there can be wondered when I could set the funeral pumps knowing that on the guarantees of the contract the capital must be poured in 72h</v>
      </c>
    </row>
    <row r="190" ht="15.75" customHeight="1">
      <c r="A190" s="3">
        <v>1.0</v>
      </c>
      <c r="B190" s="3" t="s">
        <v>630</v>
      </c>
      <c r="C190" s="3" t="s">
        <v>631</v>
      </c>
      <c r="D190" s="3" t="s">
        <v>247</v>
      </c>
      <c r="E190" s="3" t="s">
        <v>27</v>
      </c>
      <c r="F190" s="3" t="s">
        <v>15</v>
      </c>
      <c r="G190" s="3" t="s">
        <v>632</v>
      </c>
      <c r="H190" s="3" t="s">
        <v>23</v>
      </c>
      <c r="I190" s="3" t="str">
        <f>IFERROR(__xludf.DUMMYFUNCTION("GOOGLETRANSLATE(C190,""fr"",""en"")"),"Car disappeared on May 18 (with complaint depot), found thanks to my indications on May 22, 2021, in very poor condition. The expert designated by the Macif - SARL JLDJ BONNAIRE in Vulaines sur Seine 77870 - to absent subscribers. The Macif answers me eve"&amp;"ry day that they will call it. We are June 29 and still no news, we don't know if or when the expert will report. Polished but totally ineffective service of the Macif.")</f>
        <v>Car disappeared on May 18 (with complaint depot), found thanks to my indications on May 22, 2021, in very poor condition. The expert designated by the Macif - SARL JLDJ BONNAIRE in Vulaines sur Seine 77870 - to absent subscribers. The Macif answers me every day that they will call it. We are June 29 and still no news, we don't know if or when the expert will report. Polished but totally ineffective service of the Macif.</v>
      </c>
    </row>
    <row r="191" ht="15.75" customHeight="1">
      <c r="A191" s="3">
        <v>1.0</v>
      </c>
      <c r="B191" s="3" t="s">
        <v>633</v>
      </c>
      <c r="C191" s="3" t="s">
        <v>634</v>
      </c>
      <c r="D191" s="3" t="s">
        <v>123</v>
      </c>
      <c r="E191" s="3" t="s">
        <v>27</v>
      </c>
      <c r="F191" s="3" t="s">
        <v>15</v>
      </c>
      <c r="G191" s="3" t="s">
        <v>635</v>
      </c>
      <c r="H191" s="3" t="s">
        <v>111</v>
      </c>
      <c r="I191" s="3" t="str">
        <f>IFERROR(__xludf.DUMMYFUNCTION("GOOGLETRANSLATE(C191,""fr"",""en"")"),"Insured for 15 years, 2 accidents in less than 2 years (only) including one manager. Malus has 0.90 and I melt a quote to ensure my new vehicle at 1600 euros per year, outside the N of their concentration, for the same vehicle, with more replacement of ve"&amp;"hicle in the event of an 845Euros breakdown !!! Suffice to say that I will also terminate my other contract to go and see elsewhere!")</f>
        <v>Insured for 15 years, 2 accidents in less than 2 years (only) including one manager. Malus has 0.90 and I melt a quote to ensure my new vehicle at 1600 euros per year, outside the N of their concentration, for the same vehicle, with more replacement of vehicle in the event of an 845Euros breakdown !!! Suffice to say that I will also terminate my other contract to go and see elsewhere!</v>
      </c>
    </row>
    <row r="192" ht="15.75" customHeight="1">
      <c r="A192" s="3">
        <v>1.0</v>
      </c>
      <c r="B192" s="3" t="s">
        <v>636</v>
      </c>
      <c r="C192" s="3" t="s">
        <v>637</v>
      </c>
      <c r="D192" s="3" t="s">
        <v>306</v>
      </c>
      <c r="E192" s="3" t="s">
        <v>109</v>
      </c>
      <c r="F192" s="3" t="s">
        <v>15</v>
      </c>
      <c r="G192" s="3" t="s">
        <v>638</v>
      </c>
      <c r="H192" s="3" t="s">
        <v>506</v>
      </c>
      <c r="I192" s="3" t="str">
        <f>IFERROR(__xludf.DUMMYFUNCTION("GOOGLETRANSLATE(C192,""fr"",""en"")"),"I have spent my days for 3 months for 3 months for 01 40 82 24 24. Each time, after long minutes of waiting I invite me to hang up, which I did at the beginning but that I do not do anymore. I then wait for long additional minutes to come across an interl"&amp;"ocutor who can never do anything at his level (we wonder what he is for). We must then insist heavily to have a manager who is almost never available and we invite you to recall later, without any details, that is to say returned at the beginning of the c"&amp;"ycle of 01 40 82 24 24. I am in this cycle Infernal for 15 days. My request is simple: delete the impossibility, on the new site, to make a free online payment if an advance is underway. I have always been able to do it since 1996. Besides this possibilit"&amp;"y is contractual: see the contractual documentation of the AFER contract page 32: ""Refund of the advance account
Any new payment is affected as a priority to
Refund of the advance account. This account can
be reimbursed at any time, in one or more tim"&amp;"es, by
check, online payment or direct debit. ""
I remind you that the AFER we are not customers, but members, and that AFER boasts of attracting very much attention to its members: it is shown that it is completely false: communication with The membe"&amp;"rs about this new site is nonexistent. We have not even been warned of the implementation of this pitiful new site, no accused of receipt of our messages, even fewer answers.
AFER is very lucky that we are captive because of the seniority of our contra"&amp;"cts which is not transferable!
It may be time to consider group action. Do not hesitate to say what you think!")</f>
        <v>I have spent my days for 3 months for 3 months for 01 40 82 24 24. Each time, after long minutes of waiting I invite me to hang up, which I did at the beginning but that I do not do anymore. I then wait for long additional minutes to come across an interlocutor who can never do anything at his level (we wonder what he is for). We must then insist heavily to have a manager who is almost never available and we invite you to recall later, without any details, that is to say returned at the beginning of the cycle of 01 40 82 24 24. I am in this cycle Infernal for 15 days. My request is simple: delete the impossibility, on the new site, to make a free online payment if an advance is underway. I have always been able to do it since 1996. Besides this possibility is contractual: see the contractual documentation of the AFER contract page 32: "Refund of the advance account
Any new payment is affected as a priority to
Refund of the advance account. This account can
be reimbursed at any time, in one or more times, by
check, online payment or direct debit. "
I remind you that the AFER we are not customers, but members, and that AFER boasts of attracting very much attention to its members: it is shown that it is completely false: communication with The members about this new site is nonexistent. We have not even been warned of the implementation of this pitiful new site, no accused of receipt of our messages, even fewer answers.
AFER is very lucky that we are captive because of the seniority of our contracts which is not transferable!
It may be time to consider group action. Do not hesitate to say what you think!</v>
      </c>
    </row>
    <row r="193" ht="15.75" customHeight="1">
      <c r="A193" s="3">
        <v>1.0</v>
      </c>
      <c r="B193" s="3" t="s">
        <v>639</v>
      </c>
      <c r="C193" s="3" t="s">
        <v>640</v>
      </c>
      <c r="D193" s="3" t="s">
        <v>75</v>
      </c>
      <c r="E193" s="3" t="s">
        <v>21</v>
      </c>
      <c r="F193" s="3" t="s">
        <v>15</v>
      </c>
      <c r="G193" s="3" t="s">
        <v>641</v>
      </c>
      <c r="H193" s="3" t="s">
        <v>335</v>
      </c>
      <c r="I193" s="3" t="str">
        <f>IFERROR(__xludf.DUMMYFUNCTION("GOOGLETRANSLATE(C193,""fr"",""en"")"),"10 years of unpaid annuities. At the time of the succession impossible to be adjusted. Allianz ignores the death despite a complete file formed a year ago, unanswered letters and reminders")</f>
        <v>10 years of unpaid annuities. At the time of the succession impossible to be adjusted. Allianz ignores the death despite a complete file formed a year ago, unanswered letters and reminders</v>
      </c>
    </row>
    <row r="194" ht="15.75" customHeight="1">
      <c r="A194" s="3">
        <v>1.0</v>
      </c>
      <c r="B194" s="3" t="s">
        <v>642</v>
      </c>
      <c r="C194" s="3" t="s">
        <v>643</v>
      </c>
      <c r="D194" s="3" t="s">
        <v>345</v>
      </c>
      <c r="E194" s="3" t="s">
        <v>21</v>
      </c>
      <c r="F194" s="3" t="s">
        <v>15</v>
      </c>
      <c r="G194" s="3" t="s">
        <v>644</v>
      </c>
      <c r="H194" s="3" t="s">
        <v>431</v>
      </c>
      <c r="I194" s="3" t="str">
        <f>IFERROR(__xludf.DUMMYFUNCTION("GOOGLETRANSLATE(C194,""fr"",""en"")"),"I have been on availability since May 12, 2016 following a domestic accident that occurred on May 12, 2015. I have 20 years of seniority in the former SMPPN mutual that has become an interior at the whim of restructuring. This mutual is not attentive to i"&amp;"ts members. I have many cases of dysfunctions pointed out and inadmissible. No effort is made to improve the quality of the service rendered. There is a deep ditch between what is mentioned on their idyllic site and daily reality. For example, it took the"&amp;"m 60 days to pay me my salary supplement from May 2017. It's scandalous. On this subject, I find particularly shameful that we sell you the benefits of ""wage maintenance"" which is in reality only maintenance of open premiums with pension contributions. "&amp;"I have always honored my contributions despite my multiple changes. After 14 months of use of foresight and too many calls which, for the most part, end up with the age -old ""I invite you to wait"", I ask myself the legitimate question of the contractual"&amp;" links which unite me. I do not ask for a preferential regime, but an organization of a social social nature which neglects at this point if only one of its members does not deserve this qualifier of ""social"". Another example, yesterday (August 3, 2017)"&amp;" I received a letter informing me that my salary maintenance has become without object and that any payment has been deleted from August 1. Now I have always kept informed my mutual insurance company of the least of my availability orders. Nevertheless, i"&amp;"n business there is no feeling, this same vile mail is stapled my call for contributions for the coming months for me and for my family. This mutual insurance company did not omit to mention my eldest son who takes 18 years old after tomorrow and who purs"&amp;"ues higher education at the start of the school year in September 2017. It is true that they do not have in their files the dates of Births of members of my family, it is also true that my boy was not recipient of an interior letter offering him his stude"&amp;"nt mutual !!! This is one example among many of the communication inconsistency of this mutual, when one says black and the other white, when one green and the other red. This way of acting borders more on amateurism than to the apprentice-sorcier like Lo"&amp;"rd of the Rings. After 14 months of solicitations of all kinds, I am extremely disappointed with this catastrophic and very very tired partnership of stormy relations not to say poisonous between this organization which is supposed to protect its member a"&amp;"nd family. I wish them to experience the difficult situations that we live on a daily basis, because what worries me most is to discover that I am not alone in complaining about these dysfunctions. To improve the functioning of this mutual, it would take "&amp;"a real internal revolution and a philosophical awareness of this existentialist question: me, interior mutual, what can I be useful for my daily members? Thank you all for reading me.")</f>
        <v>I have been on availability since May 12, 2016 following a domestic accident that occurred on May 12, 2015. I have 20 years of seniority in the former SMPPN mutual that has become an interior at the whim of restructuring. This mutual is not attentive to its members. I have many cases of dysfunctions pointed out and inadmissible. No effort is made to improve the quality of the service rendered. There is a deep ditch between what is mentioned on their idyllic site and daily reality. For example, it took them 60 days to pay me my salary supplement from May 2017. It's scandalous. On this subject, I find particularly shameful that we sell you the benefits of "wage maintenance" which is in reality only maintenance of open premiums with pension contributions. I have always honored my contributions despite my multiple changes. After 14 months of use of foresight and too many calls which, for the most part, end up with the age -old "I invite you to wait", I ask myself the legitimate question of the contractual links which unite me. I do not ask for a preferential regime, but an organization of a social social nature which neglects at this point if only one of its members does not deserve this qualifier of "social". Another example, yesterday (August 3, 2017) I received a letter informing me that my salary maintenance has become without object and that any payment has been deleted from August 1. Now I have always kept informed my mutual insurance company of the least of my availability orders. Nevertheless, in business there is no feeling, this same vile mail is stapled my call for contributions for the coming months for me and for my family. This mutual insurance company did not omit to mention my eldest son who takes 18 years old after tomorrow and who pursues higher education at the start of the school year in September 2017. It is true that they do not have in their files the dates of Births of members of my family, it is also true that my boy was not recipient of an interior letter offering him his student mutual !!! This is one example among many of the communication inconsistency of this mutual, when one says black and the other white, when one green and the other red. This way of acting borders more on amateurism than to the apprentice-sorcier like Lord of the Rings. After 14 months of solicitations of all kinds, I am extremely disappointed with this catastrophic and very very tired partnership of stormy relations not to say poisonous between this organization which is supposed to protect its member and family. I wish them to experience the difficult situations that we live on a daily basis, because what worries me most is to discover that I am not alone in complaining about these dysfunctions. To improve the functioning of this mutual, it would take a real internal revolution and a philosophical awareness of this existentialist question: me, interior mutual, what can I be useful for my daily members? Thank you all for reading me.</v>
      </c>
    </row>
    <row r="195" ht="15.75" customHeight="1">
      <c r="A195" s="3">
        <v>3.0</v>
      </c>
      <c r="B195" s="3" t="s">
        <v>645</v>
      </c>
      <c r="C195" s="3" t="s">
        <v>646</v>
      </c>
      <c r="D195" s="3" t="s">
        <v>108</v>
      </c>
      <c r="E195" s="3" t="s">
        <v>27</v>
      </c>
      <c r="F195" s="3" t="s">
        <v>15</v>
      </c>
      <c r="G195" s="3" t="s">
        <v>647</v>
      </c>
      <c r="H195" s="3" t="s">
        <v>411</v>
      </c>
      <c r="I195" s="3" t="str">
        <f>IFERROR(__xludf.DUMMYFUNCTION("GOOGLETRANSLATE(C195,""fr"",""en"")"),"AXA does not comply with its insurance contracts. In particular automotive contracts. I am currently faced with an abusive situation on the part of insurance ....")</f>
        <v>AXA does not comply with its insurance contracts. In particular automotive contracts. I am currently faced with an abusive situation on the part of insurance ....</v>
      </c>
    </row>
    <row r="196" ht="15.75" customHeight="1">
      <c r="A196" s="3">
        <v>1.0</v>
      </c>
      <c r="B196" s="3" t="s">
        <v>648</v>
      </c>
      <c r="C196" s="3" t="s">
        <v>649</v>
      </c>
      <c r="D196" s="3" t="s">
        <v>399</v>
      </c>
      <c r="E196" s="3" t="s">
        <v>109</v>
      </c>
      <c r="F196" s="3" t="s">
        <v>15</v>
      </c>
      <c r="G196" s="3" t="s">
        <v>650</v>
      </c>
      <c r="H196" s="3" t="s">
        <v>262</v>
      </c>
      <c r="I196" s="3" t="str">
        <f>IFERROR(__xludf.DUMMYFUNCTION("GOOGLETRANSLATE(C196,""fr"",""en"")"),"Shameful money")</f>
        <v>Shameful money</v>
      </c>
    </row>
    <row r="197" ht="15.75" customHeight="1">
      <c r="A197" s="3">
        <v>4.0</v>
      </c>
      <c r="B197" s="3" t="s">
        <v>651</v>
      </c>
      <c r="C197" s="3" t="s">
        <v>652</v>
      </c>
      <c r="D197" s="3" t="s">
        <v>653</v>
      </c>
      <c r="E197" s="3" t="s">
        <v>81</v>
      </c>
      <c r="F197" s="3" t="s">
        <v>15</v>
      </c>
      <c r="G197" s="3" t="s">
        <v>654</v>
      </c>
      <c r="H197" s="3" t="s">
        <v>655</v>
      </c>
      <c r="I197" s="3" t="str">
        <f>IFERROR(__xludf.DUMMYFUNCTION("GOOGLETRANSLATE(C197,""fr"",""en"")"),"Really very pleasant and competent customer service. I'm delighted for now!")</f>
        <v>Really very pleasant and competent customer service. I'm delighted for now!</v>
      </c>
    </row>
    <row r="198" ht="15.75" customHeight="1">
      <c r="A198" s="3">
        <v>4.0</v>
      </c>
      <c r="B198" s="3" t="s">
        <v>656</v>
      </c>
      <c r="C198" s="3" t="s">
        <v>657</v>
      </c>
      <c r="D198" s="3" t="s">
        <v>57</v>
      </c>
      <c r="E198" s="3" t="s">
        <v>14</v>
      </c>
      <c r="F198" s="3" t="s">
        <v>15</v>
      </c>
      <c r="G198" s="3" t="s">
        <v>658</v>
      </c>
      <c r="H198" s="3" t="s">
        <v>34</v>
      </c>
      <c r="I198" s="3" t="str">
        <f>IFERROR(__xludf.DUMMYFUNCTION("GOOGLETRANSLATE(C198,""fr"",""en"")"),"Very good processing of files efficiently. Very attentive and conscientious agent.
Regarding the processing of specific files as the loss of salary from which I currently benefit, it would be good for a person to be assigned to the file so as not to have"&amp;" several interlocutors at the same time.")</f>
        <v>Very good processing of files efficiently. Very attentive and conscientious agent.
Regarding the processing of specific files as the loss of salary from which I currently benefit, it would be good for a person to be assigned to the file so as not to have several interlocutors at the same time.</v>
      </c>
    </row>
    <row r="199" ht="15.75" customHeight="1">
      <c r="A199" s="3">
        <v>2.0</v>
      </c>
      <c r="B199" s="3" t="s">
        <v>659</v>
      </c>
      <c r="C199" s="3" t="s">
        <v>660</v>
      </c>
      <c r="D199" s="3" t="s">
        <v>131</v>
      </c>
      <c r="E199" s="3" t="s">
        <v>27</v>
      </c>
      <c r="F199" s="3" t="s">
        <v>15</v>
      </c>
      <c r="G199" s="3" t="s">
        <v>661</v>
      </c>
      <c r="H199" s="3" t="s">
        <v>237</v>
      </c>
      <c r="I199" s="3" t="str">
        <f>IFERROR(__xludf.DUMMYFUNCTION("GOOGLETRANSLATE(C199,""fr"",""en"")"),"Disastrous quality service, very mismanagement of complaints.
Take 500 euros concerning a car rental provided for in the contract. Having admitted having forgotten to extend car rental by 5 days (thing that can happen) and being aware of the error, I a"&amp;"m kindly answered to wait 4 days to recover this sum. In the meantime, blocked (I have to stop living for 4 days) but nothing is done on their part to solve the problem quickly. Great service !!")</f>
        <v>Disastrous quality service, very mismanagement of complaints.
Take 500 euros concerning a car rental provided for in the contract. Having admitted having forgotten to extend car rental by 5 days (thing that can happen) and being aware of the error, I am kindly answered to wait 4 days to recover this sum. In the meantime, blocked (I have to stop living for 4 days) but nothing is done on their part to solve the problem quickly. Great service !!</v>
      </c>
    </row>
    <row r="200" ht="15.75" customHeight="1">
      <c r="A200" s="3">
        <v>1.0</v>
      </c>
      <c r="B200" s="3" t="s">
        <v>662</v>
      </c>
      <c r="C200" s="3" t="s">
        <v>663</v>
      </c>
      <c r="D200" s="3" t="s">
        <v>53</v>
      </c>
      <c r="E200" s="3" t="s">
        <v>27</v>
      </c>
      <c r="F200" s="3" t="s">
        <v>15</v>
      </c>
      <c r="G200" s="3" t="s">
        <v>664</v>
      </c>
      <c r="H200" s="3" t="s">
        <v>99</v>
      </c>
      <c r="I200" s="3" t="str">
        <f>IFERROR(__xludf.DUMMYFUNCTION("GOOGLETRANSLATE(C200,""fr"",""en"")"),"Lamentable !!! Following the deadline for my auto contract and the increase I decide to terminate for cheaper insurance and better guaranteed so it takes care of the procedures for termination with Direct Insurance which ultimately claims 6 € 71 it is not"&amp;" Not for the amount but for the principle. The end of the contract is August 27 and my new insurance takes over on August 28 but on the phone the unpleasant advisor means that in fact the problem is not them but my new insurance which should have secured "&amp;"me from From August 27 so I am liable for 1 day of insurance in addition to 6 € 71 because ultimately the last day of insurance is August 26 and the deadline on August 27 so we play on poor understanding in order to win 1 day what's more. Consider that if"&amp;" I multiply 6 € 71 which is supposed to be supposed to be 1 additional day per 365 days, it gives us a total of € 2412 while I pay the year 250 € ?? find the mistake! Insurance honesty is not a legend! For my part, Direct Insurance Remember this name !! T"&amp;"o flee absolutely ...")</f>
        <v>Lamentable !!! Following the deadline for my auto contract and the increase I decide to terminate for cheaper insurance and better guaranteed so it takes care of the procedures for termination with Direct Insurance which ultimately claims 6 € 71 it is not Not for the amount but for the principle. The end of the contract is August 27 and my new insurance takes over on August 28 but on the phone the unpleasant advisor means that in fact the problem is not them but my new insurance which should have secured me from From August 27 so I am liable for 1 day of insurance in addition to 6 € 71 because ultimately the last day of insurance is August 26 and the deadline on August 27 so we play on poor understanding in order to win 1 day what's more. Consider that if I multiply 6 € 71 which is supposed to be supposed to be 1 additional day per 365 days, it gives us a total of € 2412 while I pay the year 250 € ?? find the mistake! Insurance honesty is not a legend! For my part, Direct Insurance Remember this name !! To flee absolutely ...</v>
      </c>
    </row>
    <row r="201" ht="15.75" customHeight="1">
      <c r="A201" s="3">
        <v>4.0</v>
      </c>
      <c r="B201" s="3" t="s">
        <v>665</v>
      </c>
      <c r="C201" s="3" t="s">
        <v>666</v>
      </c>
      <c r="D201" s="3" t="s">
        <v>97</v>
      </c>
      <c r="E201" s="3" t="s">
        <v>81</v>
      </c>
      <c r="F201" s="3" t="s">
        <v>15</v>
      </c>
      <c r="G201" s="3" t="s">
        <v>667</v>
      </c>
      <c r="H201" s="3" t="s">
        <v>99</v>
      </c>
      <c r="I201" s="3" t="str">
        <f>IFERROR(__xludf.DUMMYFUNCTION("GOOGLETRANSLATE(C201,""fr"",""en"")"),"I am satisfied and the prices suit me
I just ensured my second motorcycles
I have confidence and everything is done online with a lot of facilites;")</f>
        <v>I am satisfied and the prices suit me
I just ensured my second motorcycles
I have confidence and everything is done online with a lot of facilites;</v>
      </c>
    </row>
    <row r="202" ht="15.75" customHeight="1">
      <c r="A202" s="3">
        <v>1.0</v>
      </c>
      <c r="B202" s="3" t="s">
        <v>668</v>
      </c>
      <c r="C202" s="3" t="s">
        <v>669</v>
      </c>
      <c r="D202" s="3" t="s">
        <v>670</v>
      </c>
      <c r="E202" s="3" t="s">
        <v>27</v>
      </c>
      <c r="F202" s="3" t="s">
        <v>15</v>
      </c>
      <c r="G202" s="3" t="s">
        <v>671</v>
      </c>
      <c r="H202" s="3" t="s">
        <v>672</v>
      </c>
      <c r="I202" s="3" t="str">
        <f>IFERROR(__xludf.DUMMYFUNCTION("GOOGLETRANSLATE(C202,""fr"",""en"")"),"Increase in too large prices no concentrated discount")</f>
        <v>Increase in too large prices no concentrated discount</v>
      </c>
    </row>
    <row r="203" ht="15.75" customHeight="1">
      <c r="A203" s="3">
        <v>1.0</v>
      </c>
      <c r="B203" s="3" t="s">
        <v>673</v>
      </c>
      <c r="C203" s="3" t="s">
        <v>674</v>
      </c>
      <c r="D203" s="3" t="s">
        <v>53</v>
      </c>
      <c r="E203" s="3" t="s">
        <v>27</v>
      </c>
      <c r="F203" s="3" t="s">
        <v>15</v>
      </c>
      <c r="G203" s="3" t="s">
        <v>675</v>
      </c>
      <c r="H203" s="3" t="s">
        <v>676</v>
      </c>
      <c r="I203" s="3" t="str">
        <f>IFERROR(__xludf.DUMMYFUNCTION("GOOGLETRANSLATE(C203,""fr"",""en"")"),"See the least")</f>
        <v>See the least</v>
      </c>
    </row>
    <row r="204" ht="15.75" customHeight="1">
      <c r="A204" s="3">
        <v>3.0</v>
      </c>
      <c r="B204" s="3" t="s">
        <v>677</v>
      </c>
      <c r="C204" s="3" t="s">
        <v>678</v>
      </c>
      <c r="D204" s="3" t="s">
        <v>61</v>
      </c>
      <c r="E204" s="3" t="s">
        <v>14</v>
      </c>
      <c r="F204" s="3" t="s">
        <v>15</v>
      </c>
      <c r="G204" s="3" t="s">
        <v>679</v>
      </c>
      <c r="H204" s="3" t="s">
        <v>316</v>
      </c>
      <c r="I204" s="3" t="str">
        <f>IFERROR(__xludf.DUMMYFUNCTION("GOOGLETRANSLATE(C204,""fr"",""en"")"),"I very well was informed by Kadi she was emable is a pacient to answer all my questions.")</f>
        <v>I very well was informed by Kadi she was emable is a pacient to answer all my questions.</v>
      </c>
    </row>
    <row r="205" ht="15.75" customHeight="1">
      <c r="A205" s="3">
        <v>1.0</v>
      </c>
      <c r="B205" s="3" t="s">
        <v>680</v>
      </c>
      <c r="C205" s="3" t="s">
        <v>681</v>
      </c>
      <c r="D205" s="3" t="s">
        <v>228</v>
      </c>
      <c r="E205" s="3" t="s">
        <v>14</v>
      </c>
      <c r="F205" s="3" t="s">
        <v>15</v>
      </c>
      <c r="G205" s="3" t="s">
        <v>682</v>
      </c>
      <c r="H205" s="3" t="s">
        <v>17</v>
      </c>
      <c r="I205" s="3" t="str">
        <f>IFERROR(__xludf.DUMMYFUNCTION("GOOGLETRANSLATE(C205,""fr"",""en"")"),"I have been a member for many years but having no particular health expense, I did not have to complain particularly, if not prices but that I deduce in Madelin law, services offered.
But over this last year, I have encountered unconteited refusal of rei"&amp;"mbursement, in particular concerning adult orthodontics supported according to my contract up to an annual lump sum of € 200. I think I can terminate my contract because I am afraid of the same difficulties concerning the treatment of my son also affiliat"&amp;"ed with the mutual. The treatment of emails is extremely long (a good month to get an answer), the last one I sent even remained unanswered.")</f>
        <v>I have been a member for many years but having no particular health expense, I did not have to complain particularly, if not prices but that I deduce in Madelin law, services offered.
But over this last year, I have encountered unconteited refusal of reimbursement, in particular concerning adult orthodontics supported according to my contract up to an annual lump sum of € 200. I think I can terminate my contract because I am afraid of the same difficulties concerning the treatment of my son also affiliated with the mutual. The treatment of emails is extremely long (a good month to get an answer), the last one I sent even remained unanswered.</v>
      </c>
    </row>
    <row r="206" ht="15.75" customHeight="1">
      <c r="A206" s="3">
        <v>2.0</v>
      </c>
      <c r="B206" s="3" t="s">
        <v>683</v>
      </c>
      <c r="C206" s="3" t="s">
        <v>684</v>
      </c>
      <c r="D206" s="3" t="s">
        <v>61</v>
      </c>
      <c r="E206" s="3" t="s">
        <v>14</v>
      </c>
      <c r="F206" s="3" t="s">
        <v>15</v>
      </c>
      <c r="G206" s="3" t="s">
        <v>685</v>
      </c>
      <c r="H206" s="3" t="s">
        <v>17</v>
      </c>
      <c r="I206" s="3" t="str">
        <f>IFERROR(__xludf.DUMMYFUNCTION("GOOGLETRANSLATE(C206,""fr"",""en"")"),"Disappointed, because following cancellation in October 2020 he continues to take for hospitalization and death, when we terminate a contract we terminate everything! But there, surprise I am told that c apart! MDR not stipulated in the contract! Be caref"&amp;"ul with this mutual, not serious at all! To flee! I also noticed that all negative comments are said to be suspect!")</f>
        <v>Disappointed, because following cancellation in October 2020 he continues to take for hospitalization and death, when we terminate a contract we terminate everything! But there, surprise I am told that c apart! MDR not stipulated in the contract! Be careful with this mutual, not serious at all! To flee! I also noticed that all negative comments are said to be suspect!</v>
      </c>
    </row>
    <row r="207" ht="15.75" customHeight="1">
      <c r="A207" s="3">
        <v>4.0</v>
      </c>
      <c r="B207" s="3" t="s">
        <v>686</v>
      </c>
      <c r="C207" s="3" t="s">
        <v>687</v>
      </c>
      <c r="D207" s="3" t="s">
        <v>37</v>
      </c>
      <c r="E207" s="3" t="s">
        <v>27</v>
      </c>
      <c r="F207" s="3" t="s">
        <v>15</v>
      </c>
      <c r="G207" s="3" t="s">
        <v>688</v>
      </c>
      <c r="H207" s="3" t="s">
        <v>50</v>
      </c>
      <c r="I207" s="3" t="str">
        <f>IFERROR(__xludf.DUMMYFUNCTION("GOOGLETRANSLATE(C207,""fr"",""en"")"),"It was very fast and my interlocutor was of good advice.
At the price level as I had not been insured recently, I find that it was expensive but it remained cheaper than the Macif.")</f>
        <v>It was very fast and my interlocutor was of good advice.
At the price level as I had not been insured recently, I find that it was expensive but it remained cheaper than the Macif.</v>
      </c>
    </row>
    <row r="208" ht="15.75" customHeight="1">
      <c r="A208" s="3">
        <v>1.0</v>
      </c>
      <c r="B208" s="3" t="s">
        <v>689</v>
      </c>
      <c r="C208" s="3" t="s">
        <v>690</v>
      </c>
      <c r="D208" s="3" t="s">
        <v>53</v>
      </c>
      <c r="E208" s="3" t="s">
        <v>27</v>
      </c>
      <c r="F208" s="3" t="s">
        <v>15</v>
      </c>
      <c r="G208" s="3" t="s">
        <v>691</v>
      </c>
      <c r="H208" s="3" t="s">
        <v>17</v>
      </c>
      <c r="I208" s="3" t="str">
        <f>IFERROR(__xludf.DUMMYFUNCTION("GOOGLETRANSLATE(C208,""fr"",""en"")"),"Prices increases every year without even warning! I find its not correct! I have never had an accident, never asking anything, always paid for time.")</f>
        <v>Prices increases every year without even warning! I find its not correct! I have never had an accident, never asking anything, always paid for time.</v>
      </c>
    </row>
    <row r="209" ht="15.75" customHeight="1">
      <c r="A209" s="3">
        <v>2.0</v>
      </c>
      <c r="B209" s="3" t="s">
        <v>692</v>
      </c>
      <c r="C209" s="3" t="s">
        <v>693</v>
      </c>
      <c r="D209" s="3" t="s">
        <v>137</v>
      </c>
      <c r="E209" s="3" t="s">
        <v>27</v>
      </c>
      <c r="F209" s="3" t="s">
        <v>15</v>
      </c>
      <c r="G209" s="3" t="s">
        <v>694</v>
      </c>
      <c r="H209" s="3" t="s">
        <v>672</v>
      </c>
      <c r="I209" s="3" t="str">
        <f>IFERROR(__xludf.DUMMYFUNCTION("GOOGLETRANSLATE(C209,""fr"",""en"")"),"Me and my little boy were the victim of a non -responsible accident and following the violence of the shock, my vehicle was declared irreparable by the expert mandated by the Maïf, an expert who has underlined the real value of my vehicle (L 'Expert sent "&amp;"by the Maïf was intoxicated for more than half of our exchanges, not terrible what!) Throughout the post accident duration, it was I who had to do multiple approaches while the day of the claim We were transported to the hospital and that I was not able t"&amp;"o establish a report but the police were present on the scene. I had to call the convenience store to tell him in which garage he had to deposit my vehicle, call the garage to approve to consider repair deadlines, call the expert and contact several vehic"&amp;"le rental agencies in order to have one to lend Because the garage approve did not. Being on foot in winter with freezing temperatures and all that on my hospital bed in short I find it scandalous because I believe that it's up to them! As I manage to fin"&amp;"d a loan car (the only one is the only one because the availability was exceptional in the rental agencies since it was the holiday season), the mayf me Announcement that I cannot pretend to this vehicle because it is in category B while my accident vehic"&amp;"le was the same, they refused to take care when I did feet and hands to find it and that I went there on my own! I find it shameful from them !!!!!! They do everything to minimize costs without thinking about the victim's damage when I was assured of all "&amp;"risks and victim of a non -responsible accident !!! For my 3 -year -old little boy, they only paid him 400 euros when he had to miss the school following the accident and he had to consult a psychiatrist pedo because he remained shocked and traumatized be"&amp;"cause At the time of the accident, my car landed in a wall. For my part, it's been a little over a year since the disaster has taken place and I have still not been compensated despite multiple solicitations with them !!!!!!! It's revolting! And yet, I me"&amp;"t their expert doctor over 5 months ago and he validated my work stoppages (6 months) because I had rehabilitation in particular physiotherapy, taking medication and health exams . Despite this, the expert minimized my damage and did not take into account"&amp;" my cracked teeth following the accident and my nasal partition deflected because of the shock when I had none of this before and I proven but he did not want to hear anything. I am still waiting for the finalization of this file when the claim manager wi"&amp;"th whom I am in regular contact tells me that I am going to make me an offer in the week following my last exchange a month ago And I still have nothing, she is a liar !!! After reflection and in view of their lies and their bad time, I will have to call "&amp;"on a lawyer in order to assert my rights !!!")</f>
        <v>Me and my little boy were the victim of a non -responsible accident and following the violence of the shock, my vehicle was declared irreparable by the expert mandated by the Maïf, an expert who has underlined the real value of my vehicle (L 'Expert sent by the Maïf was intoxicated for more than half of our exchanges, not terrible what!) Throughout the post accident duration, it was I who had to do multiple approaches while the day of the claim We were transported to the hospital and that I was not able to establish a report but the police were present on the scene. I had to call the convenience store to tell him in which garage he had to deposit my vehicle, call the garage to approve to consider repair deadlines, call the expert and contact several vehicle rental agencies in order to have one to lend Because the garage approve did not. Being on foot in winter with freezing temperatures and all that on my hospital bed in short I find it scandalous because I believe that it's up to them! As I manage to find a loan car (the only one is the only one because the availability was exceptional in the rental agencies since it was the holiday season), the mayf me Announcement that I cannot pretend to this vehicle because it is in category B while my accident vehicle was the same, they refused to take care when I did feet and hands to find it and that I went there on my own! I find it shameful from them !!!!!! They do everything to minimize costs without thinking about the victim's damage when I was assured of all risks and victim of a non -responsible accident !!! For my 3 -year -old little boy, they only paid him 400 euros when he had to miss the school following the accident and he had to consult a psychiatrist pedo because he remained shocked and traumatized because At the time of the accident, my car landed in a wall. For my part, it's been a little over a year since the disaster has taken place and I have still not been compensated despite multiple solicitations with them !!!!!!! It's revolting! And yet, I met their expert doctor over 5 months ago and he validated my work stoppages (6 months) because I had rehabilitation in particular physiotherapy, taking medication and health exams . Despite this, the expert minimized my damage and did not take into account my cracked teeth following the accident and my nasal partition deflected because of the shock when I had none of this before and I proven but he did not want to hear anything. I am still waiting for the finalization of this file when the claim manager with whom I am in regular contact tells me that I am going to make me an offer in the week following my last exchange a month ago And I still have nothing, she is a liar !!! After reflection and in view of their lies and their bad time, I will have to call on a lawyer in order to assert my rights !!!</v>
      </c>
    </row>
    <row r="210" ht="15.75" customHeight="1">
      <c r="A210" s="3">
        <v>4.0</v>
      </c>
      <c r="B210" s="3" t="s">
        <v>695</v>
      </c>
      <c r="C210" s="3" t="s">
        <v>696</v>
      </c>
      <c r="D210" s="3" t="s">
        <v>37</v>
      </c>
      <c r="E210" s="3" t="s">
        <v>27</v>
      </c>
      <c r="F210" s="3" t="s">
        <v>15</v>
      </c>
      <c r="G210" s="3" t="s">
        <v>697</v>
      </c>
      <c r="H210" s="3" t="s">
        <v>99</v>
      </c>
      <c r="I210" s="3" t="str">
        <f>IFERROR(__xludf.DUMMYFUNCTION("GOOGLETRANSLATE(C210,""fr"",""en"")"),"Too bad to always pay a file fees on each new vehicle when you are a customer. Otherwise price level, it is very interesting, and competitive.")</f>
        <v>Too bad to always pay a file fees on each new vehicle when you are a customer. Otherwise price level, it is very interesting, and competitive.</v>
      </c>
    </row>
    <row r="211" ht="15.75" customHeight="1">
      <c r="A211" s="3">
        <v>5.0</v>
      </c>
      <c r="B211" s="3" t="s">
        <v>698</v>
      </c>
      <c r="C211" s="3" t="s">
        <v>699</v>
      </c>
      <c r="D211" s="3" t="s">
        <v>37</v>
      </c>
      <c r="E211" s="3" t="s">
        <v>27</v>
      </c>
      <c r="F211" s="3" t="s">
        <v>15</v>
      </c>
      <c r="G211" s="3" t="s">
        <v>298</v>
      </c>
      <c r="H211" s="3" t="s">
        <v>58</v>
      </c>
      <c r="I211" s="3" t="str">
        <f>IFERROR(__xludf.DUMMYFUNCTION("GOOGLETRANSLATE(C211,""fr"",""en"")"),"I am satisfied thank you the olive level registration it was simple
Everything is nickel
I am delighted to be insured with the olive tree insurance again thank you frankly")</f>
        <v>I am satisfied thank you the olive level registration it was simple
Everything is nickel
I am delighted to be insured with the olive tree insurance again thank you frankly</v>
      </c>
    </row>
    <row r="212" ht="15.75" customHeight="1">
      <c r="A212" s="3">
        <v>5.0</v>
      </c>
      <c r="B212" s="3" t="s">
        <v>700</v>
      </c>
      <c r="C212" s="3" t="s">
        <v>701</v>
      </c>
      <c r="D212" s="3" t="s">
        <v>53</v>
      </c>
      <c r="E212" s="3" t="s">
        <v>27</v>
      </c>
      <c r="F212" s="3" t="s">
        <v>15</v>
      </c>
      <c r="G212" s="3" t="s">
        <v>17</v>
      </c>
      <c r="H212" s="3" t="s">
        <v>17</v>
      </c>
      <c r="I212" s="3" t="str">
        <f>IFERROR(__xludf.DUMMYFUNCTION("GOOGLETRANSLATE(C212,""fr"",""en"")"),"I am satisfied with everything with this insurance really I will not change.
THANK YOU FOR EVERYTHING. As well as the really very happy drive connection.")</f>
        <v>I am satisfied with everything with this insurance really I will not change.
THANK YOU FOR EVERYTHING. As well as the really very happy drive connection.</v>
      </c>
    </row>
    <row r="213" ht="15.75" customHeight="1">
      <c r="A213" s="3">
        <v>5.0</v>
      </c>
      <c r="B213" s="3" t="s">
        <v>702</v>
      </c>
      <c r="C213" s="3" t="s">
        <v>703</v>
      </c>
      <c r="D213" s="3" t="s">
        <v>37</v>
      </c>
      <c r="E213" s="3" t="s">
        <v>27</v>
      </c>
      <c r="F213" s="3" t="s">
        <v>15</v>
      </c>
      <c r="G213" s="3" t="s">
        <v>319</v>
      </c>
      <c r="H213" s="3" t="s">
        <v>17</v>
      </c>
      <c r="I213" s="3" t="str">
        <f>IFERROR(__xludf.DUMMYFUNCTION("GOOGLETRANSLATE(C213,""fr"",""en"")"),"The prices simply suit me.
Sorry for the delay in the papers my computer made the soul so impossible to have been able to finish before today.")</f>
        <v>The prices simply suit me.
Sorry for the delay in the papers my computer made the soul so impossible to have been able to finish before today.</v>
      </c>
    </row>
    <row r="214" ht="15.75" customHeight="1">
      <c r="A214" s="3">
        <v>1.0</v>
      </c>
      <c r="B214" s="3" t="s">
        <v>704</v>
      </c>
      <c r="C214" s="3" t="s">
        <v>705</v>
      </c>
      <c r="D214" s="3" t="s">
        <v>341</v>
      </c>
      <c r="E214" s="3" t="s">
        <v>76</v>
      </c>
      <c r="F214" s="3" t="s">
        <v>15</v>
      </c>
      <c r="G214" s="3" t="s">
        <v>706</v>
      </c>
      <c r="H214" s="3" t="s">
        <v>655</v>
      </c>
      <c r="I214" s="3" t="str">
        <f>IFERROR(__xludf.DUMMYFUNCTION("GOOGLETRANSLATE(C214,""fr"",""en"")"),"To be really disappointed following an accidental breakage of my hob and the phone that was next to it, it has been running in a watery for '3 weeks asks me documents that I have already sent differs, on the responses very unpleasant I Advice in addition "&amp;"to subscribe because in the end the watchwords this to do everything so as not to pay you. He forces you to buy equipment and do not want to refund on invoice !!! I do not have the ways to take a hob at 400 € they tell me you have 2 years to buy, and in t"&amp;"he meantime we cook at the Indian ?? Go see the competition you will not be disappointed and this so much clearer than their lie")</f>
        <v>To be really disappointed following an accidental breakage of my hob and the phone that was next to it, it has been running in a watery for '3 weeks asks me documents that I have already sent differs, on the responses very unpleasant I Advice in addition to subscribe because in the end the watchwords this to do everything so as not to pay you. He forces you to buy equipment and do not want to refund on invoice !!! I do not have the ways to take a hob at 400 € they tell me you have 2 years to buy, and in the meantime we cook at the Indian ?? Go see the competition you will not be disappointed and this so much clearer than their lie</v>
      </c>
    </row>
    <row r="215" ht="15.75" customHeight="1">
      <c r="A215" s="3">
        <v>5.0</v>
      </c>
      <c r="B215" s="3" t="s">
        <v>707</v>
      </c>
      <c r="C215" s="3" t="s">
        <v>708</v>
      </c>
      <c r="D215" s="3" t="s">
        <v>37</v>
      </c>
      <c r="E215" s="3" t="s">
        <v>27</v>
      </c>
      <c r="F215" s="3" t="s">
        <v>15</v>
      </c>
      <c r="G215" s="3" t="s">
        <v>117</v>
      </c>
      <c r="H215" s="3" t="s">
        <v>99</v>
      </c>
      <c r="I215" s="3" t="str">
        <f>IFERROR(__xludf.DUMMYFUNCTION("GOOGLETRANSLATE(C215,""fr"",""en"")"),"Perfect I recommend this Audi S3 insurance Correct REFUS REFUS OF DIRECT Insurance because it is too high so we are here at the olive tree thank you for everything")</f>
        <v>Perfect I recommend this Audi S3 insurance Correct REFUS REFUS OF DIRECT Insurance because it is too high so we are here at the olive tree thank you for everything</v>
      </c>
    </row>
    <row r="216" ht="15.75" customHeight="1">
      <c r="A216" s="3">
        <v>5.0</v>
      </c>
      <c r="B216" s="3" t="s">
        <v>709</v>
      </c>
      <c r="C216" s="3" t="s">
        <v>710</v>
      </c>
      <c r="D216" s="3" t="s">
        <v>26</v>
      </c>
      <c r="E216" s="3" t="s">
        <v>27</v>
      </c>
      <c r="F216" s="3" t="s">
        <v>15</v>
      </c>
      <c r="G216" s="3" t="s">
        <v>145</v>
      </c>
      <c r="H216" s="3" t="s">
        <v>99</v>
      </c>
      <c r="I216" s="3" t="str">
        <f>IFERROR(__xludf.DUMMYFUNCTION("GOOGLETRANSLATE(C216,""fr"",""en"")"),"Hello,
The prices are correct and satisfactory. The service is also very professional and cordial and above all available.
Cordially
Tall family")</f>
        <v>Hello,
The prices are correct and satisfactory. The service is also very professional and cordial and above all available.
Cordially
Tall family</v>
      </c>
    </row>
    <row r="217" ht="15.75" customHeight="1">
      <c r="A217" s="3">
        <v>5.0</v>
      </c>
      <c r="B217" s="3" t="s">
        <v>711</v>
      </c>
      <c r="C217" s="3" t="s">
        <v>712</v>
      </c>
      <c r="D217" s="3" t="s">
        <v>53</v>
      </c>
      <c r="E217" s="3" t="s">
        <v>27</v>
      </c>
      <c r="F217" s="3" t="s">
        <v>15</v>
      </c>
      <c r="G217" s="3" t="s">
        <v>713</v>
      </c>
      <c r="H217" s="3" t="s">
        <v>29</v>
      </c>
      <c r="I217" s="3" t="str">
        <f>IFERROR(__xludf.DUMMYFUNCTION("GOOGLETRANSLATE(C217,""fr"",""en"")"),"I am very satisfied with the service, and the prices charged. Fast and efficient, very good for young permits. Thank you direct insurance ,, I recommend")</f>
        <v>I am very satisfied with the service, and the prices charged. Fast and efficient, very good for young permits. Thank you direct insurance ,, I recommend</v>
      </c>
    </row>
    <row r="218" ht="15.75" customHeight="1">
      <c r="A218" s="3">
        <v>5.0</v>
      </c>
      <c r="B218" s="3" t="s">
        <v>714</v>
      </c>
      <c r="C218" s="3" t="s">
        <v>715</v>
      </c>
      <c r="D218" s="3" t="s">
        <v>37</v>
      </c>
      <c r="E218" s="3" t="s">
        <v>27</v>
      </c>
      <c r="F218" s="3" t="s">
        <v>15</v>
      </c>
      <c r="G218" s="3" t="s">
        <v>461</v>
      </c>
      <c r="H218" s="3" t="s">
        <v>50</v>
      </c>
      <c r="I218" s="3" t="str">
        <f>IFERROR(__xludf.DUMMYFUNCTION("GOOGLETRANSLATE(C218,""fr"",""en"")"),"I am satisfied with the service. Thank you. Very attractive price, competent staff who knew how to respond quickly to my requests. Thank you")</f>
        <v>I am satisfied with the service. Thank you. Very attractive price, competent staff who knew how to respond quickly to my requests. Thank you</v>
      </c>
    </row>
    <row r="219" ht="15.75" customHeight="1">
      <c r="A219" s="3">
        <v>4.0</v>
      </c>
      <c r="B219" s="3" t="s">
        <v>716</v>
      </c>
      <c r="C219" s="3" t="s">
        <v>717</v>
      </c>
      <c r="D219" s="3" t="s">
        <v>53</v>
      </c>
      <c r="E219" s="3" t="s">
        <v>27</v>
      </c>
      <c r="F219" s="3" t="s">
        <v>15</v>
      </c>
      <c r="G219" s="3" t="s">
        <v>718</v>
      </c>
      <c r="H219" s="3" t="s">
        <v>58</v>
      </c>
      <c r="I219" s="3" t="str">
        <f>IFERROR(__xludf.DUMMYFUNCTION("GOOGLETRANSLATE(C219,""fr"",""en"")"),"The contract is a bit long to be completed.
Overall satisfied with the prices and efficiency of Direct Insurance.
I hope that termination with my old insurer will go well.
Cordially.")</f>
        <v>The contract is a bit long to be completed.
Overall satisfied with the prices and efficiency of Direct Insurance.
I hope that termination with my old insurer will go well.
Cordially.</v>
      </c>
    </row>
    <row r="220" ht="15.75" customHeight="1">
      <c r="A220" s="3">
        <v>5.0</v>
      </c>
      <c r="B220" s="3" t="s">
        <v>719</v>
      </c>
      <c r="C220" s="3" t="s">
        <v>720</v>
      </c>
      <c r="D220" s="3" t="s">
        <v>80</v>
      </c>
      <c r="E220" s="3" t="s">
        <v>81</v>
      </c>
      <c r="F220" s="3" t="s">
        <v>15</v>
      </c>
      <c r="G220" s="3" t="s">
        <v>721</v>
      </c>
      <c r="H220" s="3" t="s">
        <v>50</v>
      </c>
      <c r="I220" s="3" t="str">
        <f>IFERROR(__xludf.DUMMYFUNCTION("GOOGLETRANSLATE(C220,""fr"",""en"")"),"I am satisfied with the prices and services offered by this insurance I recommend this insurance to all those who wish to ensure their vehicles")</f>
        <v>I am satisfied with the prices and services offered by this insurance I recommend this insurance to all those who wish to ensure their vehicles</v>
      </c>
    </row>
    <row r="221" ht="15.75" customHeight="1">
      <c r="A221" s="3">
        <v>1.0</v>
      </c>
      <c r="B221" s="3" t="s">
        <v>722</v>
      </c>
      <c r="C221" s="3" t="s">
        <v>723</v>
      </c>
      <c r="D221" s="3" t="s">
        <v>108</v>
      </c>
      <c r="E221" s="3" t="s">
        <v>109</v>
      </c>
      <c r="F221" s="3" t="s">
        <v>15</v>
      </c>
      <c r="G221" s="3" t="s">
        <v>724</v>
      </c>
      <c r="H221" s="3" t="s">
        <v>125</v>
      </c>
      <c r="I221" s="3" t="str">
        <f>IFERROR(__xludf.DUMMYFUNCTION("GOOGLETRANSLATE(C221,""fr"",""en"")"),"I asked on May 29, 2018, by registered letter, the termination of my contract opened for 20 years and the complete restitution of my savings since 1998. However, to date, I have just seen on the site that my money which does not I have always been given t"&amp;"o me has just been placed on another account. I have an advisor who never responds to the email or the phone. What should I do to recover my money? I am destroyed because I need this capital quickly.")</f>
        <v>I asked on May 29, 2018, by registered letter, the termination of my contract opened for 20 years and the complete restitution of my savings since 1998. However, to date, I have just seen on the site that my money which does not I have always been given to me has just been placed on another account. I have an advisor who never responds to the email or the phone. What should I do to recover my money? I am destroyed because I need this capital quickly.</v>
      </c>
    </row>
    <row r="222" ht="15.75" customHeight="1">
      <c r="A222" s="3">
        <v>4.0</v>
      </c>
      <c r="B222" s="3" t="s">
        <v>725</v>
      </c>
      <c r="C222" s="3" t="s">
        <v>726</v>
      </c>
      <c r="D222" s="3" t="s">
        <v>37</v>
      </c>
      <c r="E222" s="3" t="s">
        <v>27</v>
      </c>
      <c r="F222" s="3" t="s">
        <v>15</v>
      </c>
      <c r="G222" s="3" t="s">
        <v>727</v>
      </c>
      <c r="H222" s="3" t="s">
        <v>29</v>
      </c>
      <c r="I222" s="3" t="str">
        <f>IFERROR(__xludf.DUMMYFUNCTION("GOOGLETRANSLATE(C222,""fr"",""en"")"),"Satisfied with the service, we will see on time and we can judge if it is a good agency. I was well received by the customer advisor. Thank you for your welcome.")</f>
        <v>Satisfied with the service, we will see on time and we can judge if it is a good agency. I was well received by the customer advisor. Thank you for your welcome.</v>
      </c>
    </row>
    <row r="223" ht="15.75" customHeight="1">
      <c r="A223" s="3">
        <v>5.0</v>
      </c>
      <c r="B223" s="3" t="s">
        <v>728</v>
      </c>
      <c r="C223" s="3" t="s">
        <v>729</v>
      </c>
      <c r="D223" s="3" t="s">
        <v>37</v>
      </c>
      <c r="E223" s="3" t="s">
        <v>27</v>
      </c>
      <c r="F223" s="3" t="s">
        <v>15</v>
      </c>
      <c r="G223" s="3" t="s">
        <v>691</v>
      </c>
      <c r="H223" s="3" t="s">
        <v>17</v>
      </c>
      <c r="I223" s="3" t="str">
        <f>IFERROR(__xludf.DUMMYFUNCTION("GOOGLETRANSLATE(C223,""fr"",""en"")"),"Very satisfactory price for the guarantees offered. Easy and quick subscription. Very pleasant site interface. Not yet had a claim, to see on the possible care but if I wish to have none!")</f>
        <v>Very satisfactory price for the guarantees offered. Easy and quick subscription. Very pleasant site interface. Not yet had a claim, to see on the possible care but if I wish to have none!</v>
      </c>
    </row>
    <row r="224" ht="15.75" customHeight="1">
      <c r="A224" s="3">
        <v>2.0</v>
      </c>
      <c r="B224" s="3" t="s">
        <v>730</v>
      </c>
      <c r="C224" s="3" t="s">
        <v>731</v>
      </c>
      <c r="D224" s="3" t="s">
        <v>131</v>
      </c>
      <c r="E224" s="3" t="s">
        <v>27</v>
      </c>
      <c r="F224" s="3" t="s">
        <v>15</v>
      </c>
      <c r="G224" s="3" t="s">
        <v>732</v>
      </c>
      <c r="H224" s="3" t="s">
        <v>733</v>
      </c>
      <c r="I224" s="3" t="str">
        <f>IFERROR(__xludf.DUMMYFUNCTION("GOOGLETRANSLATE(C224,""fr"",""en"")"),"When everything is well matmut is good insurer provided for over 20 years bonus 65%")</f>
        <v>When everything is well matmut is good insurer provided for over 20 years bonus 65%</v>
      </c>
    </row>
    <row r="225" ht="15.75" customHeight="1">
      <c r="A225" s="3">
        <v>3.0</v>
      </c>
      <c r="B225" s="3" t="s">
        <v>734</v>
      </c>
      <c r="C225" s="3" t="s">
        <v>735</v>
      </c>
      <c r="D225" s="3" t="s">
        <v>37</v>
      </c>
      <c r="E225" s="3" t="s">
        <v>27</v>
      </c>
      <c r="F225" s="3" t="s">
        <v>15</v>
      </c>
      <c r="G225" s="3" t="s">
        <v>342</v>
      </c>
      <c r="H225" s="3" t="s">
        <v>29</v>
      </c>
      <c r="I225" s="3" t="str">
        <f>IFERROR(__xludf.DUMMYFUNCTION("GOOGLETRANSLATE(C225,""fr"",""en"")"),"Very courteous customer service
Site a little difficult to use.
Very courteous customer service
Site a little difficult to use.
Very courteous customer service
Site a little difficult to use.")</f>
        <v>Very courteous customer service
Site a little difficult to use.
Very courteous customer service
Site a little difficult to use.
Very courteous customer service
Site a little difficult to use.</v>
      </c>
    </row>
    <row r="226" ht="15.75" customHeight="1">
      <c r="A226" s="3">
        <v>1.0</v>
      </c>
      <c r="B226" s="3" t="s">
        <v>736</v>
      </c>
      <c r="C226" s="3" t="s">
        <v>737</v>
      </c>
      <c r="D226" s="3" t="s">
        <v>670</v>
      </c>
      <c r="E226" s="3" t="s">
        <v>27</v>
      </c>
      <c r="F226" s="3" t="s">
        <v>15</v>
      </c>
      <c r="G226" s="3" t="s">
        <v>727</v>
      </c>
      <c r="H226" s="3" t="s">
        <v>29</v>
      </c>
      <c r="I226" s="3" t="str">
        <f>IFERROR(__xludf.DUMMYFUNCTION("GOOGLETRANSLATE(C226,""fr"",""en"")"),"Insurance to flee absolutely !!!! For a simple question asked I am terminated! Unthinkable! I made a phone call to find out if possibly I could ensure my spouse in the second driver and 10 days later I receive a registered letter to announce the terminati"&amp;"on of my auto contract
Having had no sinister or no break from ice but having just asked for information they tell me that my contract will be terminated because my request constitutes ""aggravation of risk"" (my spouse who has had a twisted disaster the"&amp;"re is 4 years)
Instead of informing me that they were unable to insure it they preferred to terminate me without even warning me following my request!
I do not recommend them! If you are looking for insurance go your way!")</f>
        <v>Insurance to flee absolutely !!!! For a simple question asked I am terminated! Unthinkable! I made a phone call to find out if possibly I could ensure my spouse in the second driver and 10 days later I receive a registered letter to announce the termination of my auto contract
Having had no sinister or no break from ice but having just asked for information they tell me that my contract will be terminated because my request constitutes "aggravation of risk" (my spouse who has had a twisted disaster there is 4 years)
Instead of informing me that they were unable to insure it they preferred to terminate me without even warning me following my request!
I do not recommend them! If you are looking for insurance go your way!</v>
      </c>
    </row>
    <row r="227" ht="15.75" customHeight="1">
      <c r="A227" s="3">
        <v>1.0</v>
      </c>
      <c r="B227" s="3" t="s">
        <v>738</v>
      </c>
      <c r="C227" s="3" t="s">
        <v>739</v>
      </c>
      <c r="D227" s="3" t="s">
        <v>131</v>
      </c>
      <c r="E227" s="3" t="s">
        <v>27</v>
      </c>
      <c r="F227" s="3" t="s">
        <v>15</v>
      </c>
      <c r="G227" s="3" t="s">
        <v>740</v>
      </c>
      <c r="H227" s="3" t="s">
        <v>237</v>
      </c>
      <c r="I227" s="3" t="str">
        <f>IFERROR(__xludf.DUMMYFUNCTION("GOOGLETRANSLATE(C227,""fr"",""en"")"),"5 contracts with them! I make a quote to ensure my son and a sports car, no problems I manage to have 3 quotes and even funding for the purchase of this vehicle. Our son being declared at home no claims, he will have 3 Years of license in 2 months, everyt"&amp;"hing is fine! I therefore reserve the vehicle and I go to the agency to validate the quote and there a haughty person who showed me a disdain that I would not have thought possible: ahh but no we do not assure you! I find myself with A vehicle purchased t"&amp;"hat I can no longer ensure and that I recover tomorrow! Of course no dialogue, no agency manager! Well oiled system everything is swarming and the tone is no longer courteous! I do not recommend this insurer which already at the quote stadium is zero, I l"&amp;"et you imagine if you really have a disaster at home! Ahhh yes they even went so far as to tell me that a quote is worth nothing, certainly but for me when we are serious a quote it is a commercial proposal that we are able to provide otherwise it is lyin"&amp;"g flee !!")</f>
        <v>5 contracts with them! I make a quote to ensure my son and a sports car, no problems I manage to have 3 quotes and even funding for the purchase of this vehicle. Our son being declared at home no claims, he will have 3 Years of license in 2 months, everything is fine! I therefore reserve the vehicle and I go to the agency to validate the quote and there a haughty person who showed me a disdain that I would not have thought possible: ahh but no we do not assure you! I find myself with A vehicle purchased that I can no longer ensure and that I recover tomorrow! Of course no dialogue, no agency manager! Well oiled system everything is swarming and the tone is no longer courteous! I do not recommend this insurer which already at the quote stadium is zero, I let you imagine if you really have a disaster at home! Ahhh yes they even went so far as to tell me that a quote is worth nothing, certainly but for me when we are serious a quote it is a commercial proposal that we are able to provide otherwise it is lying flee !!</v>
      </c>
    </row>
    <row r="228" ht="15.75" customHeight="1">
      <c r="A228" s="3">
        <v>2.0</v>
      </c>
      <c r="B228" s="3" t="s">
        <v>741</v>
      </c>
      <c r="C228" s="3" t="s">
        <v>742</v>
      </c>
      <c r="D228" s="3" t="s">
        <v>484</v>
      </c>
      <c r="E228" s="3" t="s">
        <v>48</v>
      </c>
      <c r="F228" s="3" t="s">
        <v>15</v>
      </c>
      <c r="G228" s="3" t="s">
        <v>743</v>
      </c>
      <c r="H228" s="3" t="s">
        <v>205</v>
      </c>
      <c r="I228" s="3" t="str">
        <f>IFERROR(__xludf.DUMMYFUNCTION("GOOGLETRANSLATE(C228,""fr"",""en"")"),"The after -sales service is more than deplorable when you need to change the quota of your contract.
They manage to prioritize a file in 90 days !!!!!
Bravo the emergency !!!!
Satisfaction 0")</f>
        <v>The after -sales service is more than deplorable when you need to change the quota of your contract.
They manage to prioritize a file in 90 days !!!!!
Bravo the emergency !!!!
Satisfaction 0</v>
      </c>
    </row>
    <row r="229" ht="15.75" customHeight="1">
      <c r="A229" s="3">
        <v>1.0</v>
      </c>
      <c r="B229" s="3" t="s">
        <v>744</v>
      </c>
      <c r="C229" s="3" t="s">
        <v>745</v>
      </c>
      <c r="D229" s="3" t="s">
        <v>137</v>
      </c>
      <c r="E229" s="3" t="s">
        <v>76</v>
      </c>
      <c r="F229" s="3" t="s">
        <v>15</v>
      </c>
      <c r="G229" s="3" t="s">
        <v>746</v>
      </c>
      <c r="H229" s="3" t="s">
        <v>266</v>
      </c>
      <c r="I229" s="3" t="str">
        <f>IFERROR(__xludf.DUMMYFUNCTION("GOOGLETRANSLATE(C229,""fr"",""en"")"),"Maif ... Absolutely avoid !!! To solve the contributions no problem ... but in the event of a disaster, no listening of an advisor, any, erroneous information, slowness of the matter of the file, directed towards a so-called expert: Texa Expertises, which"&amp;" does not have Expert that the name is content to receive quotes or invoices, by giving his opinion on compensation .... his fees are exorbitant for the work provided to the detriment of the insured ... No contact by phone! No customer relations -assured "&amp;"to the maif !!! In my case loudly loudly, proven result: no compensation ... !!!")</f>
        <v>Maif ... Absolutely avoid !!! To solve the contributions no problem ... but in the event of a disaster, no listening of an advisor, any, erroneous information, slowness of the matter of the file, directed towards a so-called expert: Texa Expertises, which does not have Expert that the name is content to receive quotes or invoices, by giving his opinion on compensation .... his fees are exorbitant for the work provided to the detriment of the insured ... No contact by phone! No customer relations -assured to the maif !!! In my case loudly loudly, proven result: no compensation ... !!!</v>
      </c>
    </row>
    <row r="230" ht="15.75" customHeight="1">
      <c r="A230" s="3">
        <v>4.0</v>
      </c>
      <c r="B230" s="3" t="s">
        <v>747</v>
      </c>
      <c r="C230" s="3" t="s">
        <v>748</v>
      </c>
      <c r="D230" s="3" t="s">
        <v>53</v>
      </c>
      <c r="E230" s="3" t="s">
        <v>27</v>
      </c>
      <c r="F230" s="3" t="s">
        <v>15</v>
      </c>
      <c r="G230" s="3" t="s">
        <v>502</v>
      </c>
      <c r="H230" s="3" t="s">
        <v>58</v>
      </c>
      <c r="I230" s="3" t="str">
        <f>IFERROR(__xludf.DUMMYFUNCTION("GOOGLETRANSLATE(C230,""fr"",""en"")"),"I am satisfied with the services on my repairs,
The prices are correct and the phone calls almost easy.
We will see with the site.
Here is")</f>
        <v>I am satisfied with the services on my repairs,
The prices are correct and the phone calls almost easy.
We will see with the site.
Here is</v>
      </c>
    </row>
    <row r="231" ht="15.75" customHeight="1">
      <c r="A231" s="3">
        <v>4.0</v>
      </c>
      <c r="B231" s="3" t="s">
        <v>749</v>
      </c>
      <c r="C231" s="3" t="s">
        <v>750</v>
      </c>
      <c r="D231" s="3" t="s">
        <v>37</v>
      </c>
      <c r="E231" s="3" t="s">
        <v>27</v>
      </c>
      <c r="F231" s="3" t="s">
        <v>15</v>
      </c>
      <c r="G231" s="3" t="s">
        <v>743</v>
      </c>
      <c r="H231" s="3" t="s">
        <v>34</v>
      </c>
      <c r="I231" s="3" t="str">
        <f>IFERROR(__xludf.DUMMYFUNCTION("GOOGLETRANSLATE(C231,""fr"",""en"")"),"satisfied . By cons complicate for some online searches
Can't validate my quote
Not easy to have an online advisor when I call")</f>
        <v>satisfied . By cons complicate for some online searches
Can't validate my quote
Not easy to have an online advisor when I call</v>
      </c>
    </row>
    <row r="232" ht="15.75" customHeight="1">
      <c r="A232" s="3">
        <v>2.0</v>
      </c>
      <c r="B232" s="3" t="s">
        <v>751</v>
      </c>
      <c r="C232" s="3" t="s">
        <v>752</v>
      </c>
      <c r="D232" s="3" t="s">
        <v>53</v>
      </c>
      <c r="E232" s="3" t="s">
        <v>27</v>
      </c>
      <c r="F232" s="3" t="s">
        <v>15</v>
      </c>
      <c r="G232" s="3" t="s">
        <v>753</v>
      </c>
      <c r="H232" s="3" t="s">
        <v>655</v>
      </c>
      <c r="I232" s="3" t="str">
        <f>IFERROR(__xludf.DUMMYFUNCTION("GOOGLETRANSLATE(C232,""fr"",""en"")"),"Very interesting the first year, then significant and unjustified increase in the following years (+9% between 2016 and 2017) impossible to have customer service renunciation after 30 minutes of waiting")</f>
        <v>Very interesting the first year, then significant and unjustified increase in the following years (+9% between 2016 and 2017) impossible to have customer service renunciation after 30 minutes of waiting</v>
      </c>
    </row>
    <row r="233" ht="15.75" customHeight="1">
      <c r="A233" s="3">
        <v>1.0</v>
      </c>
      <c r="B233" s="3" t="s">
        <v>754</v>
      </c>
      <c r="C233" s="3" t="s">
        <v>755</v>
      </c>
      <c r="D233" s="3" t="s">
        <v>53</v>
      </c>
      <c r="E233" s="3" t="s">
        <v>27</v>
      </c>
      <c r="F233" s="3" t="s">
        <v>15</v>
      </c>
      <c r="G233" s="3" t="s">
        <v>590</v>
      </c>
      <c r="H233" s="3" t="s">
        <v>58</v>
      </c>
      <c r="I233" s="3" t="str">
        <f>IFERROR(__xludf.DUMMYFUNCTION("GOOGLETRANSLATE(C233,""fr"",""en"")"),"Not satisfied at all, Direct Insurance Shipping Certificate of transfer on 01/11/2021 via the site for transfer DH-316-FG.
Contract suspended instead of resilie !!!!!!!!!!!!!!!!
No reimbursement of the premium too perceived in/15/03/2021
In short work "&amp;"neither does nor to do")</f>
        <v>Not satisfied at all, Direct Insurance Shipping Certificate of transfer on 01/11/2021 via the site for transfer DH-316-FG.
Contract suspended instead of resilie !!!!!!!!!!!!!!!!
No reimbursement of the premium too perceived in/15/03/2021
In short work neither does nor to do</v>
      </c>
    </row>
    <row r="234" ht="15.75" customHeight="1">
      <c r="A234" s="3">
        <v>1.0</v>
      </c>
      <c r="B234" s="3" t="s">
        <v>756</v>
      </c>
      <c r="C234" s="3" t="s">
        <v>757</v>
      </c>
      <c r="D234" s="3" t="s">
        <v>228</v>
      </c>
      <c r="E234" s="3" t="s">
        <v>14</v>
      </c>
      <c r="F234" s="3" t="s">
        <v>15</v>
      </c>
      <c r="G234" s="3" t="s">
        <v>758</v>
      </c>
      <c r="H234" s="3" t="s">
        <v>401</v>
      </c>
      <c r="I234" s="3" t="str">
        <f>IFERROR(__xludf.DUMMYFUNCTION("GOOGLETRANSLATE(C234,""fr"",""en"")"),"Significant increase without reason, mediocre services, reception in a very light agency, late reimbursement, card not transmitted on time, I change mutual because very dissatisfied at the quality price level!")</f>
        <v>Significant increase without reason, mediocre services, reception in a very light agency, late reimbursement, card not transmitted on time, I change mutual because very dissatisfied at the quality price level!</v>
      </c>
    </row>
    <row r="235" ht="15.75" customHeight="1">
      <c r="A235" s="3">
        <v>4.0</v>
      </c>
      <c r="B235" s="3" t="s">
        <v>759</v>
      </c>
      <c r="C235" s="3" t="s">
        <v>760</v>
      </c>
      <c r="D235" s="3" t="s">
        <v>37</v>
      </c>
      <c r="E235" s="3" t="s">
        <v>27</v>
      </c>
      <c r="F235" s="3" t="s">
        <v>15</v>
      </c>
      <c r="G235" s="3" t="s">
        <v>761</v>
      </c>
      <c r="H235" s="3" t="s">
        <v>29</v>
      </c>
      <c r="I235" s="3" t="str">
        <f>IFERROR(__xludf.DUMMYFUNCTION("GOOGLETRANSLATE(C235,""fr"",""en"")"),"I am very happy and I can't wait to have the risk, thank you for your sympathy and everything you put in place for us. Reactive and efficient")</f>
        <v>I am very happy and I can't wait to have the risk, thank you for your sympathy and everything you put in place for us. Reactive and efficient</v>
      </c>
    </row>
    <row r="236" ht="15.75" customHeight="1">
      <c r="A236" s="3">
        <v>5.0</v>
      </c>
      <c r="B236" s="3" t="s">
        <v>762</v>
      </c>
      <c r="C236" s="3" t="s">
        <v>763</v>
      </c>
      <c r="D236" s="3" t="s">
        <v>13</v>
      </c>
      <c r="E236" s="3" t="s">
        <v>14</v>
      </c>
      <c r="F236" s="3" t="s">
        <v>15</v>
      </c>
      <c r="G236" s="3" t="s">
        <v>764</v>
      </c>
      <c r="H236" s="3" t="s">
        <v>94</v>
      </c>
      <c r="I236" s="3" t="str">
        <f>IFERROR(__xludf.DUMMYFUNCTION("GOOGLETRANSLATE(C236,""fr"",""en"")"),"I subscribed with Neoliane there are more than 2 years ago and nothing to say at the top, I was hospitalized and I touched my compensation as planned I am very satisfied by the quality of this insurance")</f>
        <v>I subscribed with Neoliane there are more than 2 years ago and nothing to say at the top, I was hospitalized and I touched my compensation as planned I am very satisfied by the quality of this insurance</v>
      </c>
    </row>
    <row r="237" ht="15.75" customHeight="1">
      <c r="A237" s="3">
        <v>5.0</v>
      </c>
      <c r="B237" s="3" t="s">
        <v>765</v>
      </c>
      <c r="C237" s="3" t="s">
        <v>766</v>
      </c>
      <c r="D237" s="3" t="s">
        <v>53</v>
      </c>
      <c r="E237" s="3" t="s">
        <v>27</v>
      </c>
      <c r="F237" s="3" t="s">
        <v>15</v>
      </c>
      <c r="G237" s="3" t="s">
        <v>767</v>
      </c>
      <c r="H237" s="3" t="s">
        <v>72</v>
      </c>
      <c r="I237" s="3" t="str">
        <f>IFERROR(__xludf.DUMMYFUNCTION("GOOGLETRANSLATE(C237,""fr"",""en"")"),"I am satisfied with direct insurance. Simple and quick to make sure. It's a pleasure . It avoids me to lose half a day in such with the other insurance.")</f>
        <v>I am satisfied with direct insurance. Simple and quick to make sure. It's a pleasure . It avoids me to lose half a day in such with the other insurance.</v>
      </c>
    </row>
    <row r="238" ht="15.75" customHeight="1">
      <c r="A238" s="3">
        <v>2.0</v>
      </c>
      <c r="B238" s="3" t="s">
        <v>768</v>
      </c>
      <c r="C238" s="3" t="s">
        <v>769</v>
      </c>
      <c r="D238" s="3" t="s">
        <v>26</v>
      </c>
      <c r="E238" s="3" t="s">
        <v>27</v>
      </c>
      <c r="F238" s="3" t="s">
        <v>15</v>
      </c>
      <c r="G238" s="3" t="s">
        <v>770</v>
      </c>
      <c r="H238" s="3" t="s">
        <v>401</v>
      </c>
      <c r="I238" s="3" t="str">
        <f>IFERROR(__xludf.DUMMYFUNCTION("GOOGLETRANSLATE(C238,""fr"",""en"")"),"I am scandalized by the deplorable physical/telephone reception which was made to me during a complaint during an appointment for a new subscription ... costs for a simple change of postal address have been to me Billed while I refused to sign the amendme"&amp;"nt! I have been a client for 20 years and have a 50%bonus. Following a last unsuccessful call (haughty person), I decided to break any collaboration with this insurer. My new car will therefore be ensured elsewhere.")</f>
        <v>I am scandalized by the deplorable physical/telephone reception which was made to me during a complaint during an appointment for a new subscription ... costs for a simple change of postal address have been to me Billed while I refused to sign the amendment! I have been a client for 20 years and have a 50%bonus. Following a last unsuccessful call (haughty person), I decided to break any collaboration with this insurer. My new car will therefore be ensured elsewhere.</v>
      </c>
    </row>
    <row r="239" ht="15.75" customHeight="1">
      <c r="A239" s="3">
        <v>1.0</v>
      </c>
      <c r="B239" s="3" t="s">
        <v>771</v>
      </c>
      <c r="C239" s="3" t="s">
        <v>772</v>
      </c>
      <c r="D239" s="3" t="s">
        <v>37</v>
      </c>
      <c r="E239" s="3" t="s">
        <v>27</v>
      </c>
      <c r="F239" s="3" t="s">
        <v>15</v>
      </c>
      <c r="G239" s="3" t="s">
        <v>773</v>
      </c>
      <c r="H239" s="3" t="s">
        <v>428</v>
      </c>
      <c r="I239" s="3" t="str">
        <f>IFERROR(__xludf.DUMMYFUNCTION("GOOGLETRANSLATE(C239,""fr"",""en"")"),"A leaks !!!
Deplorable sinister service does not know how to do its job properly.
Striking by a heavyweight that does not stop there to give in the passage.
And as the claim does not seek to understand or call witnesses. Slice the case A 50/50 becaus"&amp;"e I quote their words do not know how to define the responsibility. I will find myself paying the repairs and a penalty when I was struck
Yes attractive price but if you have any problems go your way.
Above all, do not make any commitment with the Olive"&amp;"r Insurance.")</f>
        <v>A leaks !!!
Deplorable sinister service does not know how to do its job properly.
Striking by a heavyweight that does not stop there to give in the passage.
And as the claim does not seek to understand or call witnesses. Slice the case A 50/50 because I quote their words do not know how to define the responsibility. I will find myself paying the repairs and a penalty when I was struck
Yes attractive price but if you have any problems go your way.
Above all, do not make any commitment with the Oliver Insurance.</v>
      </c>
    </row>
    <row r="240" ht="15.75" customHeight="1">
      <c r="A240" s="3">
        <v>4.0</v>
      </c>
      <c r="B240" s="3" t="s">
        <v>774</v>
      </c>
      <c r="C240" s="3" t="s">
        <v>775</v>
      </c>
      <c r="D240" s="3" t="s">
        <v>37</v>
      </c>
      <c r="E240" s="3" t="s">
        <v>27</v>
      </c>
      <c r="F240" s="3" t="s">
        <v>15</v>
      </c>
      <c r="G240" s="3" t="s">
        <v>767</v>
      </c>
      <c r="H240" s="3" t="s">
        <v>72</v>
      </c>
      <c r="I240" s="3" t="str">
        <f>IFERROR(__xludf.DUMMYFUNCTION("GOOGLETRANSLATE(C240,""fr"",""en"")"),"I have subscribed to my car insurance by phone. I was very well informed by the advisor who was available and listening to my request. It was done in a few minutes and I am satisfied with this offer. I will recommend this insurance to my friends.")</f>
        <v>I have subscribed to my car insurance by phone. I was very well informed by the advisor who was available and listening to my request. It was done in a few minutes and I am satisfied with this offer. I will recommend this insurance to my friends.</v>
      </c>
    </row>
    <row r="241" ht="15.75" customHeight="1">
      <c r="A241" s="3">
        <v>5.0</v>
      </c>
      <c r="B241" s="3" t="s">
        <v>776</v>
      </c>
      <c r="C241" s="3" t="s">
        <v>777</v>
      </c>
      <c r="D241" s="3" t="s">
        <v>53</v>
      </c>
      <c r="E241" s="3" t="s">
        <v>27</v>
      </c>
      <c r="F241" s="3" t="s">
        <v>15</v>
      </c>
      <c r="G241" s="3" t="s">
        <v>778</v>
      </c>
      <c r="H241" s="3" t="s">
        <v>50</v>
      </c>
      <c r="I241" s="3" t="str">
        <f>IFERROR(__xludf.DUMMYFUNCTION("GOOGLETRANSLATE(C241,""fr"",""en"")"),"Serious and very easy insurance to contact in case of concerns.
I advise it to anyone needing insurance can be expensive and with very suitable protections.")</f>
        <v>Serious and very easy insurance to contact in case of concerns.
I advise it to anyone needing insurance can be expensive and with very suitable protections.</v>
      </c>
    </row>
    <row r="242" ht="15.75" customHeight="1">
      <c r="A242" s="3">
        <v>3.0</v>
      </c>
      <c r="B242" s="3" t="s">
        <v>779</v>
      </c>
      <c r="C242" s="3" t="s">
        <v>780</v>
      </c>
      <c r="D242" s="3" t="s">
        <v>327</v>
      </c>
      <c r="E242" s="3" t="s">
        <v>27</v>
      </c>
      <c r="F242" s="3" t="s">
        <v>15</v>
      </c>
      <c r="G242" s="3" t="s">
        <v>781</v>
      </c>
      <c r="H242" s="3" t="s">
        <v>159</v>
      </c>
      <c r="I242" s="3" t="str">
        <f>IFERROR(__xludf.DUMMYFUNCTION("GOOGLETRANSLATE(C242,""fr"",""en"")"),"Whether car or mutual stay far from this insurance
Lots of bad faith, so -called not received despite the insurer's response .....
You are not entitled but by lifting the way you are entitled
For example I can't make you an email, the person who takes "&amp;"care of the emails is not there .....
I strongly advise against I make available recordings and letters (contradictory) to all associations such as chosen or 50 million consumption
")</f>
        <v>Whether car or mutual stay far from this insurance
Lots of bad faith, so -called not received despite the insurer's response .....
You are not entitled but by lifting the way you are entitled
For example I can't make you an email, the person who takes care of the emails is not there .....
I strongly advise against I make available recordings and letters (contradictory) to all associations such as chosen or 50 million consumption
</v>
      </c>
    </row>
    <row r="243" ht="15.75" customHeight="1">
      <c r="A243" s="3">
        <v>5.0</v>
      </c>
      <c r="B243" s="3" t="s">
        <v>782</v>
      </c>
      <c r="C243" s="3" t="s">
        <v>783</v>
      </c>
      <c r="D243" s="3" t="s">
        <v>37</v>
      </c>
      <c r="E243" s="3" t="s">
        <v>27</v>
      </c>
      <c r="F243" s="3" t="s">
        <v>15</v>
      </c>
      <c r="G243" s="3" t="s">
        <v>632</v>
      </c>
      <c r="H243" s="3" t="s">
        <v>23</v>
      </c>
      <c r="I243" s="3" t="str">
        <f>IFERROR(__xludf.DUMMYFUNCTION("GOOGLETRANSLATE(C243,""fr"",""en"")"),"I am satisfied with the price
Services offer
I hope that in the future everything will be fine
Price better than my old insurance
To see later")</f>
        <v>I am satisfied with the price
Services offer
I hope that in the future everything will be fine
Price better than my old insurance
To see later</v>
      </c>
    </row>
    <row r="244" ht="15.75" customHeight="1">
      <c r="A244" s="3">
        <v>5.0</v>
      </c>
      <c r="B244" s="3" t="s">
        <v>784</v>
      </c>
      <c r="C244" s="3" t="s">
        <v>785</v>
      </c>
      <c r="D244" s="3" t="s">
        <v>26</v>
      </c>
      <c r="E244" s="3" t="s">
        <v>27</v>
      </c>
      <c r="F244" s="3" t="s">
        <v>15</v>
      </c>
      <c r="G244" s="3" t="s">
        <v>786</v>
      </c>
      <c r="H244" s="3" t="s">
        <v>99</v>
      </c>
      <c r="I244" s="3" t="str">
        <f>IFERROR(__xludf.DUMMYFUNCTION("GOOGLETRANSLATE(C244,""fr"",""en"")"),"Relentless I am satisfied with the speed
I would like to insure my VAE bike is it possible to use my car less to do you do discounts?")</f>
        <v>Relentless I am satisfied with the speed
I would like to insure my VAE bike is it possible to use my car less to do you do discounts?</v>
      </c>
    </row>
    <row r="245" ht="15.75" customHeight="1">
      <c r="A245" s="3">
        <v>1.0</v>
      </c>
      <c r="B245" s="3" t="s">
        <v>787</v>
      </c>
      <c r="C245" s="3" t="s">
        <v>788</v>
      </c>
      <c r="D245" s="3" t="s">
        <v>53</v>
      </c>
      <c r="E245" s="3" t="s">
        <v>27</v>
      </c>
      <c r="F245" s="3" t="s">
        <v>15</v>
      </c>
      <c r="G245" s="3" t="s">
        <v>789</v>
      </c>
      <c r="H245" s="3" t="s">
        <v>29</v>
      </c>
      <c r="I245" s="3" t="str">
        <f>IFERROR(__xludf.DUMMYFUNCTION("GOOGLETRANSLATE(C245,""fr"",""en"")"),"To flee !!! lamentable service, incompetence is limited an AR ....
Interlocutors who do not know how to deal with the customer, it hangs up at any time in rebelote with another advisor who is anything but adviser. In short, to avoid frankly, it sucks fro"&amp;"m null. Too too disappointed! It is a shame duty of such practices")</f>
        <v>To flee !!! lamentable service, incompetence is limited an AR ....
Interlocutors who do not know how to deal with the customer, it hangs up at any time in rebelote with another advisor who is anything but adviser. In short, to avoid frankly, it sucks from null. Too too disappointed! It is a shame duty of such practices</v>
      </c>
    </row>
    <row r="246" ht="15.75" customHeight="1">
      <c r="A246" s="3">
        <v>5.0</v>
      </c>
      <c r="B246" s="3" t="s">
        <v>790</v>
      </c>
      <c r="C246" s="3" t="s">
        <v>791</v>
      </c>
      <c r="D246" s="3" t="s">
        <v>57</v>
      </c>
      <c r="E246" s="3" t="s">
        <v>21</v>
      </c>
      <c r="F246" s="3" t="s">
        <v>15</v>
      </c>
      <c r="G246" s="3" t="s">
        <v>298</v>
      </c>
      <c r="H246" s="3" t="s">
        <v>58</v>
      </c>
      <c r="I246" s="3" t="str">
        <f>IFERROR(__xludf.DUMMYFUNCTION("GOOGLETRANSLATE(C246,""fr"",""en"")"),"Excellent information transmitted by the MGP correspondent following my request. Everything is clear. The waiting period has been correct. Continue like that.")</f>
        <v>Excellent information transmitted by the MGP correspondent following my request. Everything is clear. The waiting period has been correct. Continue like that.</v>
      </c>
    </row>
    <row r="247" ht="15.75" customHeight="1">
      <c r="A247" s="3">
        <v>4.0</v>
      </c>
      <c r="B247" s="3" t="s">
        <v>792</v>
      </c>
      <c r="C247" s="3" t="s">
        <v>793</v>
      </c>
      <c r="D247" s="3" t="s">
        <v>670</v>
      </c>
      <c r="E247" s="3" t="s">
        <v>27</v>
      </c>
      <c r="F247" s="3" t="s">
        <v>15</v>
      </c>
      <c r="G247" s="3" t="s">
        <v>204</v>
      </c>
      <c r="H247" s="3" t="s">
        <v>205</v>
      </c>
      <c r="I247" s="3" t="str">
        <f>IFERROR(__xludf.DUMMYFUNCTION("GOOGLETRANSLATE(C247,""fr"",""en"")"),"The Euro Fil service is good. I had a glass problem twice and they were listening and we do the necessary for the regulations. When I ask for information they are listening. For the moment I am satisfied.")</f>
        <v>The Euro Fil service is good. I had a glass problem twice and they were listening and we do the necessary for the regulations. When I ask for information they are listening. For the moment I am satisfied.</v>
      </c>
    </row>
    <row r="248" ht="15.75" customHeight="1">
      <c r="A248" s="3">
        <v>1.0</v>
      </c>
      <c r="B248" s="3" t="s">
        <v>794</v>
      </c>
      <c r="C248" s="3" t="s">
        <v>795</v>
      </c>
      <c r="D248" s="3" t="s">
        <v>137</v>
      </c>
      <c r="E248" s="3" t="s">
        <v>76</v>
      </c>
      <c r="F248" s="3" t="s">
        <v>15</v>
      </c>
      <c r="G248" s="3" t="s">
        <v>796</v>
      </c>
      <c r="H248" s="3" t="s">
        <v>34</v>
      </c>
      <c r="I248" s="3" t="str">
        <f>IFERROR(__xludf.DUMMYFUNCTION("GOOGLETRANSLATE(C248,""fr"",""en"")"),"A broken portal encrypted by the partner company and a 30 % lower refund despite an all -inclusive contract !!!!
We pay a fortune to say that it is perfectly reimbursed and when the claim comes, we see that the insurance under esteem everything and does "&amp;"not reimburse almost nothing.
I pay more than 2000 euros per year in insurance with them, I will quickly go !!
do in the same way")</f>
        <v>A broken portal encrypted by the partner company and a 30 % lower refund despite an all -inclusive contract !!!!
We pay a fortune to say that it is perfectly reimbursed and when the claim comes, we see that the insurance under esteem everything and does not reimburse almost nothing.
I pay more than 2000 euros per year in insurance with them, I will quickly go !!
do in the same way</v>
      </c>
    </row>
    <row r="249" ht="15.75" customHeight="1">
      <c r="A249" s="3">
        <v>4.0</v>
      </c>
      <c r="B249" s="3" t="s">
        <v>797</v>
      </c>
      <c r="C249" s="3" t="s">
        <v>798</v>
      </c>
      <c r="D249" s="3" t="s">
        <v>53</v>
      </c>
      <c r="E249" s="3" t="s">
        <v>27</v>
      </c>
      <c r="F249" s="3" t="s">
        <v>15</v>
      </c>
      <c r="G249" s="3" t="s">
        <v>799</v>
      </c>
      <c r="H249" s="3" t="s">
        <v>99</v>
      </c>
      <c r="I249" s="3" t="str">
        <f>IFERROR(__xludf.DUMMYFUNCTION("GOOGLETRANSLATE(C249,""fr"",""en"")"),"I am satisfied, great speed and efficiency of the service, the attractive prices. Only downside, the site interface which does not always highlight the amount of franchises")</f>
        <v>I am satisfied, great speed and efficiency of the service, the attractive prices. Only downside, the site interface which does not always highlight the amount of franchises</v>
      </c>
    </row>
    <row r="250" ht="15.75" customHeight="1">
      <c r="A250" s="3">
        <v>5.0</v>
      </c>
      <c r="B250" s="3" t="s">
        <v>800</v>
      </c>
      <c r="C250" s="3" t="s">
        <v>801</v>
      </c>
      <c r="D250" s="3" t="s">
        <v>37</v>
      </c>
      <c r="E250" s="3" t="s">
        <v>27</v>
      </c>
      <c r="F250" s="3" t="s">
        <v>15</v>
      </c>
      <c r="G250" s="3" t="s">
        <v>105</v>
      </c>
      <c r="H250" s="3" t="s">
        <v>17</v>
      </c>
      <c r="I250" s="3" t="str">
        <f>IFERROR(__xludf.DUMMYFUNCTION("GOOGLETRANSLATE(C250,""fr"",""en"")"),"Simple and not expensive.
Although I have consulted a price comparison, the olive tree was much cheaper than the others. The advisor validated all the guarantees and the conditions well.")</f>
        <v>Simple and not expensive.
Although I have consulted a price comparison, the olive tree was much cheaper than the others. The advisor validated all the guarantees and the conditions well.</v>
      </c>
    </row>
    <row r="251" ht="15.75" customHeight="1">
      <c r="A251" s="3">
        <v>3.0</v>
      </c>
      <c r="B251" s="3" t="s">
        <v>802</v>
      </c>
      <c r="C251" s="3" t="s">
        <v>803</v>
      </c>
      <c r="D251" s="3" t="s">
        <v>804</v>
      </c>
      <c r="E251" s="3" t="s">
        <v>805</v>
      </c>
      <c r="F251" s="3" t="s">
        <v>15</v>
      </c>
      <c r="G251" s="3" t="s">
        <v>806</v>
      </c>
      <c r="H251" s="3" t="s">
        <v>316</v>
      </c>
      <c r="I251" s="3" t="str">
        <f>IFERROR(__xludf.DUMMYFUNCTION("GOOGLETRANSLATE(C251,""fr"",""en"")"),"I am very satisfied with the assurance that Assur O'Poil offers for my 10 year old Beagle dog.
The staff ""customer advisor"" very available until late at night, and contact you by phone if you have more relevant questions.
If I can recommend this insur"&amp;"ance, I do it without hesitation. Thanks to the whole team!")</f>
        <v>I am very satisfied with the assurance that Assur O'Poil offers for my 10 year old Beagle dog.
The staff "customer advisor" very available until late at night, and contact you by phone if you have more relevant questions.
If I can recommend this insurance, I do it without hesitation. Thanks to the whole team!</v>
      </c>
    </row>
    <row r="252" ht="15.75" customHeight="1">
      <c r="A252" s="3">
        <v>2.0</v>
      </c>
      <c r="B252" s="3" t="s">
        <v>807</v>
      </c>
      <c r="C252" s="3" t="s">
        <v>808</v>
      </c>
      <c r="D252" s="3" t="s">
        <v>53</v>
      </c>
      <c r="E252" s="3" t="s">
        <v>27</v>
      </c>
      <c r="F252" s="3" t="s">
        <v>15</v>
      </c>
      <c r="G252" s="3" t="s">
        <v>809</v>
      </c>
      <c r="H252" s="3" t="s">
        <v>99</v>
      </c>
      <c r="I252" s="3" t="str">
        <f>IFERROR(__xludf.DUMMYFUNCTION("GOOGLETRANSLATE(C252,""fr"",""en"")"),"Hello,
Since I lived for 6 years abroad I did not have the opportunity to get bonuses. At the age of 27 without having had no problems with my previous vehicles I find that the price is very expensive.
Vehicle price: € 1,000 insurance cost: € 540
Maybe"&amp;" you could adapt the prices for these kinds of exceptional situations.
Have a good day :)")</f>
        <v>Hello,
Since I lived for 6 years abroad I did not have the opportunity to get bonuses. At the age of 27 without having had no problems with my previous vehicles I find that the price is very expensive.
Vehicle price: € 1,000 insurance cost: € 540
Maybe you could adapt the prices for these kinds of exceptional situations.
Have a good day :)</v>
      </c>
    </row>
    <row r="253" ht="15.75" customHeight="1">
      <c r="A253" s="3">
        <v>1.0</v>
      </c>
      <c r="B253" s="3" t="s">
        <v>810</v>
      </c>
      <c r="C253" s="3" t="s">
        <v>811</v>
      </c>
      <c r="D253" s="3" t="s">
        <v>53</v>
      </c>
      <c r="E253" s="3" t="s">
        <v>27</v>
      </c>
      <c r="F253" s="3" t="s">
        <v>15</v>
      </c>
      <c r="G253" s="3" t="s">
        <v>50</v>
      </c>
      <c r="H253" s="3" t="s">
        <v>50</v>
      </c>
      <c r="I253" s="3" t="str">
        <f>IFERROR(__xludf.DUMMYFUNCTION("GOOGLETRANSLATE(C253,""fr"",""en"")"),"Too expensive especially for customers without penalty and faithful ... you are more expensive than competition. No gesture despite my request by phone .......")</f>
        <v>Too expensive especially for customers without penalty and faithful ... you are more expensive than competition. No gesture despite my request by phone .......</v>
      </c>
    </row>
    <row r="254" ht="15.75" customHeight="1">
      <c r="A254" s="3">
        <v>1.0</v>
      </c>
      <c r="B254" s="3" t="s">
        <v>812</v>
      </c>
      <c r="C254" s="3" t="s">
        <v>813</v>
      </c>
      <c r="D254" s="3" t="s">
        <v>53</v>
      </c>
      <c r="E254" s="3" t="s">
        <v>27</v>
      </c>
      <c r="F254" s="3" t="s">
        <v>15</v>
      </c>
      <c r="G254" s="3" t="s">
        <v>814</v>
      </c>
      <c r="H254" s="3" t="s">
        <v>39</v>
      </c>
      <c r="I254" s="3" t="str">
        <f>IFERROR(__xludf.DUMMYFUNCTION("GOOGLETRANSLATE(C254,""fr"",""en"")"),"More and more dear its changes prices as its insurance offer with the YouDrive box quite a bit to see where is his car but I am very disappointed")</f>
        <v>More and more dear its changes prices as its insurance offer with the YouDrive box quite a bit to see where is his car but I am very disappointed</v>
      </c>
    </row>
    <row r="255" ht="15.75" customHeight="1">
      <c r="A255" s="3">
        <v>5.0</v>
      </c>
      <c r="B255" s="3" t="s">
        <v>815</v>
      </c>
      <c r="C255" s="3" t="s">
        <v>816</v>
      </c>
      <c r="D255" s="3" t="s">
        <v>53</v>
      </c>
      <c r="E255" s="3" t="s">
        <v>27</v>
      </c>
      <c r="F255" s="3" t="s">
        <v>15</v>
      </c>
      <c r="G255" s="3" t="s">
        <v>99</v>
      </c>
      <c r="H255" s="3" t="s">
        <v>99</v>
      </c>
      <c r="I255" s="3" t="str">
        <f>IFERROR(__xludf.DUMMYFUNCTION("GOOGLETRANSLATE(C255,""fr"",""en"")"),"Hyper simple and hyper satisfied with the price and services
What can I say more? Reduce the number of characters requests to validate the notice")</f>
        <v>Hyper simple and hyper satisfied with the price and services
What can I say more? Reduce the number of characters requests to validate the notice</v>
      </c>
    </row>
    <row r="256" ht="15.75" customHeight="1">
      <c r="A256" s="3">
        <v>1.0</v>
      </c>
      <c r="B256" s="3" t="s">
        <v>817</v>
      </c>
      <c r="C256" s="3" t="s">
        <v>818</v>
      </c>
      <c r="D256" s="3" t="s">
        <v>97</v>
      </c>
      <c r="E256" s="3" t="s">
        <v>81</v>
      </c>
      <c r="F256" s="3" t="s">
        <v>15</v>
      </c>
      <c r="G256" s="3" t="s">
        <v>819</v>
      </c>
      <c r="H256" s="3" t="s">
        <v>347</v>
      </c>
      <c r="I256" s="3" t="str">
        <f>IFERROR(__xludf.DUMMYFUNCTION("GOOGLETRANSLATE(C256,""fr"",""en"")"),"1. Customer service not at all polished
2. Deposit - Any following. Refund - Several months.
3. Very expensive price, for example for 70 euros/month you have worse conditions than for 35 euros/month at Maif.
Conclusion: Insurance company to avoid!")</f>
        <v>1. Customer service not at all polished
2. Deposit - Any following. Refund - Several months.
3. Very expensive price, for example for 70 euros/month you have worse conditions than for 35 euros/month at Maif.
Conclusion: Insurance company to avoid!</v>
      </c>
    </row>
    <row r="257" ht="15.75" customHeight="1">
      <c r="A257" s="3">
        <v>4.0</v>
      </c>
      <c r="B257" s="3" t="s">
        <v>820</v>
      </c>
      <c r="C257" s="3" t="s">
        <v>821</v>
      </c>
      <c r="D257" s="3" t="s">
        <v>80</v>
      </c>
      <c r="E257" s="3" t="s">
        <v>81</v>
      </c>
      <c r="F257" s="3" t="s">
        <v>15</v>
      </c>
      <c r="G257" s="3" t="s">
        <v>809</v>
      </c>
      <c r="H257" s="3" t="s">
        <v>99</v>
      </c>
      <c r="I257" s="3" t="str">
        <f>IFERROR(__xludf.DUMMYFUNCTION("GOOGLETRANSLATE(C257,""fr"",""en"")"),"I am satisfied with the prices offered. The approach was simple and quick, the advisers are reactive.
It is a pity that the options of bodily injury is not included in any basic risk insurance.")</f>
        <v>I am satisfied with the prices offered. The approach was simple and quick, the advisers are reactive.
It is a pity that the options of bodily injury is not included in any basic risk insurance.</v>
      </c>
    </row>
    <row r="258" ht="15.75" customHeight="1">
      <c r="A258" s="3">
        <v>1.0</v>
      </c>
      <c r="B258" s="3" t="s">
        <v>822</v>
      </c>
      <c r="C258" s="3" t="s">
        <v>823</v>
      </c>
      <c r="D258" s="3" t="s">
        <v>123</v>
      </c>
      <c r="E258" s="3" t="s">
        <v>76</v>
      </c>
      <c r="F258" s="3" t="s">
        <v>15</v>
      </c>
      <c r="G258" s="3" t="s">
        <v>824</v>
      </c>
      <c r="H258" s="3" t="s">
        <v>205</v>
      </c>
      <c r="I258" s="3" t="str">
        <f>IFERROR(__xludf.DUMMYFUNCTION("GOOGLETRANSLATE(C258,""fr"",""en"")"),"Extremely disappointed by this provider.
Insurance that does not trust his client. It is unacceptable.
MAAF insurance does not know how to treat special cases. When she does not know, she prefers to close the file and leave it unanswered, without any co"&amp;"mpensation.
The customer can provide the evidence, but Maaf remains on his positions, because he does not have the written answer black on white. She prefers to disappoint a client to find a solution for the latter.
The officials of the complaint servic"&amp;"e give a very bad image of their company. Aside from adopting a loose attitude because they hide behind their assistant to avoid confronting the customer directly, they do not take any responsibilities before a difficulty. To say ""no"" to the customer re"&amp;"mains their favorite response.
Development is not sufficient to join this provider.
I do not recommend it.
")</f>
        <v>Extremely disappointed by this provider.
Insurance that does not trust his client. It is unacceptable.
MAAF insurance does not know how to treat special cases. When she does not know, she prefers to close the file and leave it unanswered, without any compensation.
The customer can provide the evidence, but Maaf remains on his positions, because he does not have the written answer black on white. She prefers to disappoint a client to find a solution for the latter.
The officials of the complaint service give a very bad image of their company. Aside from adopting a loose attitude because they hide behind their assistant to avoid confronting the customer directly, they do not take any responsibilities before a difficulty. To say "no" to the customer remains their favorite response.
Development is not sufficient to join this provider.
I do not recommend it.
</v>
      </c>
    </row>
    <row r="259" ht="15.75" customHeight="1">
      <c r="A259" s="3">
        <v>5.0</v>
      </c>
      <c r="B259" s="3" t="s">
        <v>825</v>
      </c>
      <c r="C259" s="3" t="s">
        <v>826</v>
      </c>
      <c r="D259" s="3" t="s">
        <v>53</v>
      </c>
      <c r="E259" s="3" t="s">
        <v>27</v>
      </c>
      <c r="F259" s="3" t="s">
        <v>15</v>
      </c>
      <c r="G259" s="3" t="s">
        <v>827</v>
      </c>
      <c r="H259" s="3" t="s">
        <v>29</v>
      </c>
      <c r="I259" s="3" t="str">
        <f>IFERROR(__xludf.DUMMYFUNCTION("GOOGLETRANSLATE(C259,""fr"",""en"")"),"Really fast and efficient. The quote is done in a few minutes, everything is clear and especially the prices are cheap.
The guarantees are also not very excessive compared to other insurance")</f>
        <v>Really fast and efficient. The quote is done in a few minutes, everything is clear and especially the prices are cheap.
The guarantees are also not very excessive compared to other insurance</v>
      </c>
    </row>
    <row r="260" ht="15.75" customHeight="1">
      <c r="A260" s="3">
        <v>1.0</v>
      </c>
      <c r="B260" s="3" t="s">
        <v>828</v>
      </c>
      <c r="C260" s="3" t="s">
        <v>829</v>
      </c>
      <c r="D260" s="3" t="s">
        <v>37</v>
      </c>
      <c r="E260" s="3" t="s">
        <v>27</v>
      </c>
      <c r="F260" s="3" t="s">
        <v>15</v>
      </c>
      <c r="G260" s="3" t="s">
        <v>830</v>
      </c>
      <c r="H260" s="3" t="s">
        <v>17</v>
      </c>
      <c r="I260" s="3" t="str">
        <f>IFERROR(__xludf.DUMMYFUNCTION("GOOGLETRANSLATE(C260,""fr"",""en"")"),"I am satisfied with service. The prices suit me.
I was received very well during my calls. Everything has been done so that the exchanges go very well.")</f>
        <v>I am satisfied with service. The prices suit me.
I was received very well during my calls. Everything has been done so that the exchanges go very well.</v>
      </c>
    </row>
    <row r="261" ht="15.75" customHeight="1">
      <c r="A261" s="3">
        <v>3.0</v>
      </c>
      <c r="B261" s="3" t="s">
        <v>831</v>
      </c>
      <c r="C261" s="3" t="s">
        <v>832</v>
      </c>
      <c r="D261" s="3" t="s">
        <v>399</v>
      </c>
      <c r="E261" s="3" t="s">
        <v>48</v>
      </c>
      <c r="F261" s="3" t="s">
        <v>15</v>
      </c>
      <c r="G261" s="3" t="s">
        <v>833</v>
      </c>
      <c r="H261" s="3" t="s">
        <v>382</v>
      </c>
      <c r="I261" s="3" t="str">
        <f>IFERROR(__xludf.DUMMYFUNCTION("GOOGLETRANSLATE(C261,""fr"",""en"")"),"Thank you: c a r d i f,
Despite the hassle with infinite paperwork to hit the head against a wall, they always miss a paper, even with an acknowledgment of reception, and they are said to say (this is the negative part)
I advise you, to send all your "&amp;"mail and file, send them with acknowledgment of receipt and to keep double letters, and all your file,
I am unbeatable on this side there, and it pays, I have won thousands of euros, yes I said well won, because they reimbursed more than I have contribut"&amp;"ed, they pay my monthly payments to the mortgage to 100/100 for more than 10 years, and it's not over, as a result, they have sold the entire loan that remained (5 0 0 0 euros) fifty thousand euros,
 So I just thanked them,
Thank you Cardif,
 ""Mario"""&amp;"
no luck at the lottery,
 My luck was at Cardif, lol
I certify being insured with the company for which I have submitted an opinion and attests not to work in a company in the insurance sector (insurance broker, insurance agent and general insurance "&amp;"agent). of the company for which I have filed an opinion and attests not to work in a company in the insurance sector (insurance broker, insurance agent and general insurance agent).")</f>
        <v>Thank you: c a r d i f,
Despite the hassle with infinite paperwork to hit the head against a wall, they always miss a paper, even with an acknowledgment of reception, and they are said to say (this is the negative part)
I advise you, to send all your mail and file, send them with acknowledgment of receipt and to keep double letters, and all your file,
I am unbeatable on this side there, and it pays, I have won thousands of euros, yes I said well won, because they reimbursed more than I have contributed, they pay my monthly payments to the mortgage to 100/100 for more than 10 years, and it's not over, as a result, they have sold the entire loan that remained (5 0 0 0 euros) fifty thousand euros,
 So I just thanked them,
Thank you Cardif,
 "Mario"
no luck at the lottery,
 My luck was at Cardif, lol
I certify being insured with the company for which I have submitted an opinion and attests not to work in a company in the insurance sector (insurance broker, insurance agent and general insurance agent). of the company for which I have filed an opinion and attests not to work in a company in the insurance sector (insurance broker, insurance agent and general insurance agent).</v>
      </c>
    </row>
    <row r="262" ht="15.75" customHeight="1">
      <c r="A262" s="3">
        <v>3.0</v>
      </c>
      <c r="B262" s="3" t="s">
        <v>834</v>
      </c>
      <c r="C262" s="3" t="s">
        <v>835</v>
      </c>
      <c r="D262" s="3" t="s">
        <v>26</v>
      </c>
      <c r="E262" s="3" t="s">
        <v>27</v>
      </c>
      <c r="F262" s="3" t="s">
        <v>15</v>
      </c>
      <c r="G262" s="3" t="s">
        <v>145</v>
      </c>
      <c r="H262" s="3" t="s">
        <v>99</v>
      </c>
      <c r="I262" s="3" t="str">
        <f>IFERROR(__xludf.DUMMYFUNCTION("GOOGLETRANSLATE(C262,""fr"",""en"")"),"Satisfied but still expensive sometimes a little poorly informed about the different possible formulas.
Good customer and pleasant relationship
Reactive and professionals")</f>
        <v>Satisfied but still expensive sometimes a little poorly informed about the different possible formulas.
Good customer and pleasant relationship
Reactive and professionals</v>
      </c>
    </row>
    <row r="263" ht="15.75" customHeight="1">
      <c r="A263" s="3">
        <v>2.0</v>
      </c>
      <c r="B263" s="3" t="s">
        <v>836</v>
      </c>
      <c r="C263" s="3" t="s">
        <v>837</v>
      </c>
      <c r="D263" s="3" t="s">
        <v>53</v>
      </c>
      <c r="E263" s="3" t="s">
        <v>27</v>
      </c>
      <c r="F263" s="3" t="s">
        <v>15</v>
      </c>
      <c r="G263" s="3" t="s">
        <v>838</v>
      </c>
      <c r="H263" s="3" t="s">
        <v>335</v>
      </c>
      <c r="I263" s="3" t="str">
        <f>IFERROR(__xludf.DUMMYFUNCTION("GOOGLETRANSLATE(C263,""fr"",""en"")"),"Despite an exchange of many email, Direct Assurance does not want to recalculate my bonus coefficient. I had been the victim of a hanging 2 years ago and had lost my bonus. The file is finally classified as ""not responsible"" after the 2 years of legal w"&amp;"aiting, (during which obviously the penalty rate applies) and they do not proceed to the recalculate of my coefficient, despite the many supporting documents that I bring .")</f>
        <v>Despite an exchange of many email, Direct Assurance does not want to recalculate my bonus coefficient. I had been the victim of a hanging 2 years ago and had lost my bonus. The file is finally classified as "not responsible" after the 2 years of legal waiting, (during which obviously the penalty rate applies) and they do not proceed to the recalculate of my coefficient, despite the many supporting documents that I bring .</v>
      </c>
    </row>
    <row r="264" ht="15.75" customHeight="1">
      <c r="A264" s="3">
        <v>1.0</v>
      </c>
      <c r="B264" s="3" t="s">
        <v>839</v>
      </c>
      <c r="C264" s="3" t="s">
        <v>840</v>
      </c>
      <c r="D264" s="3" t="s">
        <v>341</v>
      </c>
      <c r="E264" s="3" t="s">
        <v>48</v>
      </c>
      <c r="F264" s="3" t="s">
        <v>15</v>
      </c>
      <c r="G264" s="3" t="s">
        <v>607</v>
      </c>
      <c r="H264" s="3" t="s">
        <v>597</v>
      </c>
      <c r="I264" s="3" t="str">
        <f>IFERROR(__xludf.DUMMYFUNCTION("GOOGLETRANSLATE(C264,""fr"",""en"")"),"Hello I just went into an invaliditer 2nd category and I am refused the reimbursement of my Imobiliare deadlines I am considered 90/100 in the incapacity to work but at 15/100 in my daily life so nothing is taken care of the lamentable and If a none no on"&amp;"e in my situation I want to go back in contact with you to set up an association for going to it is people who destroy family thank you")</f>
        <v>Hello I just went into an invaliditer 2nd category and I am refused the reimbursement of my Imobiliare deadlines I am considered 90/100 in the incapacity to work but at 15/100 in my daily life so nothing is taken care of the lamentable and If a none no one in my situation I want to go back in contact with you to set up an association for going to it is people who destroy family thank you</v>
      </c>
    </row>
    <row r="265" ht="15.75" customHeight="1">
      <c r="A265" s="3">
        <v>1.0</v>
      </c>
      <c r="B265" s="3" t="s">
        <v>841</v>
      </c>
      <c r="C265" s="3" t="s">
        <v>842</v>
      </c>
      <c r="D265" s="3" t="s">
        <v>42</v>
      </c>
      <c r="E265" s="3" t="s">
        <v>21</v>
      </c>
      <c r="F265" s="3" t="s">
        <v>15</v>
      </c>
      <c r="G265" s="3" t="s">
        <v>843</v>
      </c>
      <c r="H265" s="3" t="s">
        <v>844</v>
      </c>
      <c r="I265" s="3" t="str">
        <f>IFERROR(__xludf.DUMMYFUNCTION("GOOGLETRANSLATE(C265,""fr"",""en"")"),"To flee absolutely, you are sick, AG2R will make you more sick, AG2R will always be there to break down.
You are sick and hospitalized, we control you
In case you and the fraud hospital.
I go on treatment deadlines, the forum is largely echoed… ..
Jus"&amp;"t be aware that if you get sick
In September, reimbursements will take place at the end of January ...
I arrive at the node of the problem, the amount of compensation, nothing is more mysterious especially
When you are as a month in portability.
My em"&amp;"ployer having not taken contributions from
slice A and slice B I naively thought
also be compensated as a result but
No it's only on edge A;
The superb AG2R advice see with your easy portability employer…. When requesting the contract in order to be a"&amp;"ble to act against possibly against the employer no response
Written, orally it was indicated to me it is out of the question to give you this contract; We know which edge they are from.
The only element I have is that I must be compensated 80% on the t"&amp;"ranche A so I do the calculation, that done (41,088/365) x0.8 = € 90.05
Rest assured, I never had this sum
I currently have € 76.60 or 68 %/d;
I asked for explanations on this situation,
Response after 8 weeks: you owe us
€ 1,191 made us an immediate"&amp;" check
With two copies of incomrenghensible screen.
After analysis, while AG2R had not taken taxes because I am in ALD and therefore exempt for months, it suddenly dies that taxes must be taken;
A little taxation is my field, when you are in ALD, the s"&amp;"ums paid by social security are exempt from taxes, the sums paid by the complementary organizations are subject
at taxes when this contract is imposed by the collective agreement in my case that of real estate, or the guarantees provided for by the CCN
"&amp;"real estate have not been applied (unfortunately) so it is an optional contract and the payments are not liable for tax,
AG2R response, it is an automatic calculation see with taxes ...
What contractually allows you to
take the CSG/CRDS while continuin"&amp;"g to assert
that you pay 80 % no response;
Can I have customer service, we don't have a customer service, it sees ...
They are all drawing and you are nothing, it is the pot of
land against e iron pot;
Regarding a joint organization, there are repres"&amp;"entatives of employees in the authorities, can a member of the community give me contact details because I no longer know what to do.
")</f>
        <v>To flee absolutely, you are sick, AG2R will make you more sick, AG2R will always be there to break down.
You are sick and hospitalized, we control you
In case you and the fraud hospital.
I go on treatment deadlines, the forum is largely echoed… ..
Just be aware that if you get sick
In September, reimbursements will take place at the end of January ...
I arrive at the node of the problem, the amount of compensation, nothing is more mysterious especially
When you are as a month in portability.
My employer having not taken contributions from
slice A and slice B I naively thought
also be compensated as a result but
No it's only on edge A;
The superb AG2R advice see with your easy portability employer…. When requesting the contract in order to be able to act against possibly against the employer no response
Written, orally it was indicated to me it is out of the question to give you this contract; We know which edge they are from.
The only element I have is that I must be compensated 80% on the tranche A so I do the calculation, that done (41,088/365) x0.8 = € 90.05
Rest assured, I never had this sum
I currently have € 76.60 or 68 %/d;
I asked for explanations on this situation,
Response after 8 weeks: you owe us
€ 1,191 made us an immediate check
With two copies of incomrenghensible screen.
After analysis, while AG2R had not taken taxes because I am in ALD and therefore exempt for months, it suddenly dies that taxes must be taken;
A little taxation is my field, when you are in ALD, the sums paid by social security are exempt from taxes, the sums paid by the complementary organizations are subject
at taxes when this contract is imposed by the collective agreement in my case that of real estate, or the guarantees provided for by the CCN
real estate have not been applied (unfortunately) so it is an optional contract and the payments are not liable for tax,
AG2R response, it is an automatic calculation see with taxes ...
What contractually allows you to
take the CSG/CRDS while continuing to assert
that you pay 80 % no response;
Can I have customer service, we don't have a customer service, it sees ...
They are all drawing and you are nothing, it is the pot of
land against e iron pot;
Regarding a joint organization, there are representatives of employees in the authorities, can a member of the community give me contact details because I no longer know what to do.
</v>
      </c>
    </row>
    <row r="266" ht="15.75" customHeight="1">
      <c r="A266" s="3">
        <v>2.0</v>
      </c>
      <c r="B266" s="3" t="s">
        <v>845</v>
      </c>
      <c r="C266" s="3" t="s">
        <v>846</v>
      </c>
      <c r="D266" s="3" t="s">
        <v>53</v>
      </c>
      <c r="E266" s="3" t="s">
        <v>27</v>
      </c>
      <c r="F266" s="3" t="s">
        <v>15</v>
      </c>
      <c r="G266" s="3" t="s">
        <v>847</v>
      </c>
      <c r="H266" s="3" t="s">
        <v>431</v>
      </c>
      <c r="I266" s="3" t="str">
        <f>IFERROR(__xludf.DUMMYFUNCTION("GOOGLETRANSLATE(C266,""fr"",""en"")"),"International assistance really not up to it")</f>
        <v>International assistance really not up to it</v>
      </c>
    </row>
    <row r="267" ht="15.75" customHeight="1">
      <c r="A267" s="3">
        <v>1.0</v>
      </c>
      <c r="B267" s="3" t="s">
        <v>848</v>
      </c>
      <c r="C267" s="3" t="s">
        <v>849</v>
      </c>
      <c r="D267" s="3" t="s">
        <v>123</v>
      </c>
      <c r="E267" s="3" t="s">
        <v>27</v>
      </c>
      <c r="F267" s="3" t="s">
        <v>15</v>
      </c>
      <c r="G267" s="3" t="s">
        <v>850</v>
      </c>
      <c r="H267" s="3" t="s">
        <v>347</v>
      </c>
      <c r="I267" s="3" t="str">
        <f>IFERROR(__xludf.DUMMYFUNCTION("GOOGLETRANSLATE(C267,""fr"",""en"")"),"After a fire from my criminal fire vehicle (Kawazaki Z750) I ask for a commercial gesture at my deductible (which I specify that I have been forced to have when I signed a contract) which amounts to 400 euros and nothing , I have been a member for more th"&amp;"an 20 years and never a claim. I specify that I was all risk. Results 3 less contract for them and poor ad with my contacts.")</f>
        <v>After a fire from my criminal fire vehicle (Kawazaki Z750) I ask for a commercial gesture at my deductible (which I specify that I have been forced to have when I signed a contract) which amounts to 400 euros and nothing , I have been a member for more than 20 years and never a claim. I specify that I was all risk. Results 3 less contract for them and poor ad with my contacts.</v>
      </c>
    </row>
    <row r="268" ht="15.75" customHeight="1">
      <c r="A268" s="3">
        <v>5.0</v>
      </c>
      <c r="B268" s="3" t="s">
        <v>851</v>
      </c>
      <c r="C268" s="3" t="s">
        <v>852</v>
      </c>
      <c r="D268" s="3" t="s">
        <v>37</v>
      </c>
      <c r="E268" s="3" t="s">
        <v>27</v>
      </c>
      <c r="F268" s="3" t="s">
        <v>15</v>
      </c>
      <c r="G268" s="3" t="s">
        <v>316</v>
      </c>
      <c r="H268" s="3" t="s">
        <v>316</v>
      </c>
      <c r="I268" s="3" t="str">
        <f>IFERROR(__xludf.DUMMYFUNCTION("GOOGLETRANSLATE(C268,""fr"",""en"")"),"Very happy and very intend to be at the ollivier fast insurance. Serious .. just .. and availability at the very fast and very friendly telephonne in addition.")</f>
        <v>Very happy and very intend to be at the ollivier fast insurance. Serious .. just .. and availability at the very fast and very friendly telephonne in addition.</v>
      </c>
    </row>
    <row r="269" ht="15.75" customHeight="1">
      <c r="A269" s="3">
        <v>5.0</v>
      </c>
      <c r="B269" s="3" t="s">
        <v>853</v>
      </c>
      <c r="C269" s="3" t="s">
        <v>854</v>
      </c>
      <c r="D269" s="3" t="s">
        <v>53</v>
      </c>
      <c r="E269" s="3" t="s">
        <v>27</v>
      </c>
      <c r="F269" s="3" t="s">
        <v>15</v>
      </c>
      <c r="G269" s="3" t="s">
        <v>855</v>
      </c>
      <c r="H269" s="3" t="s">
        <v>50</v>
      </c>
      <c r="I269" s="3" t="str">
        <f>IFERROR(__xludf.DUMMYFUNCTION("GOOGLETRANSLATE(C269,""fr"",""en"")"),"Hello,
I just subscribed and for the moment I am satisfied.
I needed to contact customer service for an error on my part when subscribing. Very welcome and very pleasant people. ++++")</f>
        <v>Hello,
I just subscribed and for the moment I am satisfied.
I needed to contact customer service for an error on my part when subscribing. Very welcome and very pleasant people. ++++</v>
      </c>
    </row>
    <row r="270" ht="15.75" customHeight="1">
      <c r="A270" s="3">
        <v>1.0</v>
      </c>
      <c r="B270" s="3" t="s">
        <v>856</v>
      </c>
      <c r="C270" s="3" t="s">
        <v>857</v>
      </c>
      <c r="D270" s="3" t="s">
        <v>26</v>
      </c>
      <c r="E270" s="3" t="s">
        <v>76</v>
      </c>
      <c r="F270" s="3" t="s">
        <v>15</v>
      </c>
      <c r="G270" s="3" t="s">
        <v>858</v>
      </c>
      <c r="H270" s="3" t="s">
        <v>604</v>
      </c>
      <c r="I270" s="3" t="str">
        <f>IFERROR(__xludf.DUMMYFUNCTION("GOOGLETRANSLATE(C270,""fr"",""en"")"),"I strongly recommend this fictitious insurance, or else, make sure you never have a problem. GMF Insurance Charleville-Mézières, who has a nice storefront, but empty of gray matter, brilliant and breathtaking for his total incompetence. Undoubtedly inhuma"&amp;"n")</f>
        <v>I strongly recommend this fictitious insurance, or else, make sure you never have a problem. GMF Insurance Charleville-Mézières, who has a nice storefront, but empty of gray matter, brilliant and breathtaking for his total incompetence. Undoubtedly inhuman</v>
      </c>
    </row>
    <row r="271" ht="15.75" customHeight="1">
      <c r="A271" s="3">
        <v>1.0</v>
      </c>
      <c r="B271" s="3" t="s">
        <v>859</v>
      </c>
      <c r="C271" s="3" t="s">
        <v>860</v>
      </c>
      <c r="D271" s="3" t="s">
        <v>53</v>
      </c>
      <c r="E271" s="3" t="s">
        <v>27</v>
      </c>
      <c r="F271" s="3" t="s">
        <v>15</v>
      </c>
      <c r="G271" s="3" t="s">
        <v>688</v>
      </c>
      <c r="H271" s="3" t="s">
        <v>50</v>
      </c>
      <c r="I271" s="3" t="str">
        <f>IFERROR(__xludf.DUMMYFUNCTION("GOOGLETRANSLATE(C271,""fr"",""en"")"),"Satisfied with the service insofar as I never had a problem ...
My ASURANCE AUTO is far too expensive for the services you offer me. I am waiting for the anniversary of my contract to change insurance.")</f>
        <v>Satisfied with the service insofar as I never had a problem ...
My ASURANCE AUTO is far too expensive for the services you offer me. I am waiting for the anniversary of my contract to change insurance.</v>
      </c>
    </row>
    <row r="272" ht="15.75" customHeight="1">
      <c r="A272" s="3">
        <v>4.0</v>
      </c>
      <c r="B272" s="3" t="s">
        <v>861</v>
      </c>
      <c r="C272" s="3" t="s">
        <v>862</v>
      </c>
      <c r="D272" s="3" t="s">
        <v>97</v>
      </c>
      <c r="E272" s="3" t="s">
        <v>81</v>
      </c>
      <c r="F272" s="3" t="s">
        <v>15</v>
      </c>
      <c r="G272" s="3" t="s">
        <v>863</v>
      </c>
      <c r="H272" s="3" t="s">
        <v>604</v>
      </c>
      <c r="I272" s="3" t="str">
        <f>IFERROR(__xludf.DUMMYFUNCTION("GOOGLETRANSLATE(C272,""fr"",""en"")"),"I have been loyal to AMV for a few years as much for the car as the motorcycle and I am very happy with the service, the reception and especially the prices and especially the ease in the processing of requests following changes of the gray card")</f>
        <v>I have been loyal to AMV for a few years as much for the car as the motorcycle and I am very happy with the service, the reception and especially the prices and especially the ease in the processing of requests following changes of the gray card</v>
      </c>
    </row>
    <row r="273" ht="15.75" customHeight="1">
      <c r="A273" s="3">
        <v>2.0</v>
      </c>
      <c r="B273" s="3" t="s">
        <v>864</v>
      </c>
      <c r="C273" s="3" t="s">
        <v>865</v>
      </c>
      <c r="D273" s="3" t="s">
        <v>108</v>
      </c>
      <c r="E273" s="3" t="s">
        <v>27</v>
      </c>
      <c r="F273" s="3" t="s">
        <v>15</v>
      </c>
      <c r="G273" s="3" t="s">
        <v>866</v>
      </c>
      <c r="H273" s="3" t="s">
        <v>266</v>
      </c>
      <c r="I273" s="3" t="str">
        <f>IFERROR(__xludf.DUMMYFUNCTION("GOOGLETRANSLATE(C273,""fr"",""en"")"),"At AXA, loyalty is only little rewarded. I gathered my auto and home contracts in the same agency. In August, I subscribe to a contract for a second car (Clio 4 of 2014, 75 hp), with confidence, and there my AXA advisor takes me as expensive as my old car"&amp;" insurance (Santa Fe 2) which Over 10 years (bonus 50). He takes me out a more recent clio on the clio so more expensive to justify the quote.
I sign with confidence and to have a preferential rate with all my contracts at home.
Out of curiosity, I la"&amp;"unch on the internet 2 simulations of quotes at Pif with large brands, I come across quotes from 100 to 140th cheaper year -round.
I go back to see my AXA advisor who ""bealed"" like what he cannot adjust to all the quotes ""of the world"" and that I h"&amp;"ad to make quotes before ... He offers to reimburse me 60th by check and We talk more about it ... if not happy, termination in 1 year according to the Hamon law.
There I remain taped ...
It is true I should have made quotes before coming and stop liv"&amp;"ing in the world of cakes.
Too naive: it does not exist the preferential rates unless your advisor is a family member ... :)
I will play the competition and get all my contracts out of occasion. 1 contract or more in an agency, it does not change anyt"&amp;"hing. Ditto for 10 years loyalty in my former AXA agency, has never brought me anything. If, the advisor made an effort to adjust to the quote I brought him. But even that, I saw that after a year of seniority, all could do it so lol.
It gave me a good"&amp;" lesson.")</f>
        <v>At AXA, loyalty is only little rewarded. I gathered my auto and home contracts in the same agency. In August, I subscribe to a contract for a second car (Clio 4 of 2014, 75 hp), with confidence, and there my AXA advisor takes me as expensive as my old car insurance (Santa Fe 2) which Over 10 years (bonus 50). He takes me out a more recent clio on the clio so more expensive to justify the quote.
I sign with confidence and to have a preferential rate with all my contracts at home.
Out of curiosity, I launch on the internet 2 simulations of quotes at Pif with large brands, I come across quotes from 100 to 140th cheaper year -round.
I go back to see my AXA advisor who "bealed" like what he cannot adjust to all the quotes "of the world" and that I had to make quotes before ... He offers to reimburse me 60th by check and We talk more about it ... if not happy, termination in 1 year according to the Hamon law.
There I remain taped ...
It is true I should have made quotes before coming and stop living in the world of cakes.
Too naive: it does not exist the preferential rates unless your advisor is a family member ... :)
I will play the competition and get all my contracts out of occasion. 1 contract or more in an agency, it does not change anything. Ditto for 10 years loyalty in my former AXA agency, has never brought me anything. If, the advisor made an effort to adjust to the quote I brought him. But even that, I saw that after a year of seniority, all could do it so lol.
It gave me a good lesson.</v>
      </c>
    </row>
    <row r="274" ht="15.75" customHeight="1">
      <c r="A274" s="3">
        <v>3.0</v>
      </c>
      <c r="B274" s="3" t="s">
        <v>867</v>
      </c>
      <c r="C274" s="3" t="s">
        <v>868</v>
      </c>
      <c r="D274" s="3" t="s">
        <v>327</v>
      </c>
      <c r="E274" s="3" t="s">
        <v>76</v>
      </c>
      <c r="F274" s="3" t="s">
        <v>15</v>
      </c>
      <c r="G274" s="3" t="s">
        <v>869</v>
      </c>
      <c r="H274" s="3" t="s">
        <v>230</v>
      </c>
      <c r="I274" s="3" t="str">
        <f>IFERROR(__xludf.DUMMYFUNCTION("GOOGLETRANSLATE(C274,""fr"",""en"")"),"Unable to solve a small dispute, it does not return to the return of it, insurance involved !!!!! So she can't do anything what the phone is for between company ????")</f>
        <v>Unable to solve a small dispute, it does not return to the return of it, insurance involved !!!!! So she can't do anything what the phone is for between company ????</v>
      </c>
    </row>
    <row r="275" ht="15.75" customHeight="1">
      <c r="A275" s="3">
        <v>5.0</v>
      </c>
      <c r="B275" s="3" t="s">
        <v>870</v>
      </c>
      <c r="C275" s="3" t="s">
        <v>871</v>
      </c>
      <c r="D275" s="3" t="s">
        <v>53</v>
      </c>
      <c r="E275" s="3" t="s">
        <v>27</v>
      </c>
      <c r="F275" s="3" t="s">
        <v>15</v>
      </c>
      <c r="G275" s="3" t="s">
        <v>872</v>
      </c>
      <c r="H275" s="3" t="s">
        <v>99</v>
      </c>
      <c r="I275" s="3" t="str">
        <f>IFERROR(__xludf.DUMMYFUNCTION("GOOGLETRANSLATE(C275,""fr"",""en"")"),"I am satisfied with this insurance and I recommend it, fast and reliable service, and they are listening, the prices of its competition in general C more than OK for me.")</f>
        <v>I am satisfied with this insurance and I recommend it, fast and reliable service, and they are listening, the prices of its competition in general C more than OK for me.</v>
      </c>
    </row>
    <row r="276" ht="15.75" customHeight="1">
      <c r="A276" s="3">
        <v>1.0</v>
      </c>
      <c r="B276" s="3" t="s">
        <v>873</v>
      </c>
      <c r="C276" s="3" t="s">
        <v>874</v>
      </c>
      <c r="D276" s="3" t="s">
        <v>37</v>
      </c>
      <c r="E276" s="3" t="s">
        <v>27</v>
      </c>
      <c r="F276" s="3" t="s">
        <v>15</v>
      </c>
      <c r="G276" s="3" t="s">
        <v>875</v>
      </c>
      <c r="H276" s="3" t="s">
        <v>230</v>
      </c>
      <c r="I276" s="3" t="str">
        <f>IFERROR(__xludf.DUMMYFUNCTION("GOOGLETRANSLATE(C276,""fr"",""en"")"),"I wanted to make a second vehicle at home insure. After having been strolled long from one service to the other to speak to an advisor, begins a long discussion which leads to a significant increase in my basic insurance (+12 euros/month). 45 euros/month "&amp;"for a Fiat Panda while many of their competitors offer less than 25 euros/month with the same guarantees. No doubt, it's time to change your insurance.")</f>
        <v>I wanted to make a second vehicle at home insure. After having been strolled long from one service to the other to speak to an advisor, begins a long discussion which leads to a significant increase in my basic insurance (+12 euros/month). 45 euros/month for a Fiat Panda while many of their competitors offer less than 25 euros/month with the same guarantees. No doubt, it's time to change your insurance.</v>
      </c>
    </row>
    <row r="277" ht="15.75" customHeight="1">
      <c r="A277" s="3">
        <v>1.0</v>
      </c>
      <c r="B277" s="3" t="s">
        <v>876</v>
      </c>
      <c r="C277" s="3" t="s">
        <v>877</v>
      </c>
      <c r="D277" s="3" t="s">
        <v>75</v>
      </c>
      <c r="E277" s="3" t="s">
        <v>109</v>
      </c>
      <c r="F277" s="3" t="s">
        <v>15</v>
      </c>
      <c r="G277" s="3" t="s">
        <v>878</v>
      </c>
      <c r="H277" s="3" t="s">
        <v>879</v>
      </c>
      <c r="I277" s="3" t="str">
        <f>IFERROR(__xludf.DUMMYFUNCTION("GOOGLETRANSLATE(C277,""fr"",""en"")"),"Assurance mediocre tjr no transfer for my wife despite a well -made and complete and heitier file well identified I advise against allianz because their customer and ineffective customer service no follow -up and we are waiting for us and as if by chance "&amp;"that he answers this automatic response without background problem")</f>
        <v>Assurance mediocre tjr no transfer for my wife despite a well -made and complete and heitier file well identified I advise against allianz because their customer and ineffective customer service no follow -up and we are waiting for us and as if by chance that he answers this automatic response without background problem</v>
      </c>
    </row>
    <row r="278" ht="15.75" customHeight="1">
      <c r="A278" s="3">
        <v>5.0</v>
      </c>
      <c r="B278" s="3" t="s">
        <v>880</v>
      </c>
      <c r="C278" s="3" t="s">
        <v>881</v>
      </c>
      <c r="D278" s="3" t="s">
        <v>80</v>
      </c>
      <c r="E278" s="3" t="s">
        <v>81</v>
      </c>
      <c r="F278" s="3" t="s">
        <v>15</v>
      </c>
      <c r="G278" s="3" t="s">
        <v>523</v>
      </c>
      <c r="H278" s="3" t="s">
        <v>50</v>
      </c>
      <c r="I278" s="3" t="str">
        <f>IFERROR(__xludf.DUMMYFUNCTION("GOOGLETRANSLATE(C278,""fr"",""en"")"),"Super fast! Pleasantly surprised on the prices! I strongly advise! Second insurance and super happy with their service! One of the best")</f>
        <v>Super fast! Pleasantly surprised on the prices! I strongly advise! Second insurance and super happy with their service! One of the best</v>
      </c>
    </row>
    <row r="279" ht="15.75" customHeight="1">
      <c r="A279" s="3">
        <v>3.0</v>
      </c>
      <c r="B279" s="3" t="s">
        <v>882</v>
      </c>
      <c r="C279" s="3" t="s">
        <v>883</v>
      </c>
      <c r="D279" s="3" t="s">
        <v>137</v>
      </c>
      <c r="E279" s="3" t="s">
        <v>27</v>
      </c>
      <c r="F279" s="3" t="s">
        <v>15</v>
      </c>
      <c r="G279" s="3" t="s">
        <v>884</v>
      </c>
      <c r="H279" s="3" t="s">
        <v>58</v>
      </c>
      <c r="I279" s="3" t="str">
        <f>IFERROR(__xludf.DUMMYFUNCTION("GOOGLETRANSLATE(C279,""fr"",""en"")"),"After 40 years of insurance with only 1 addict, today he refuses me the assurance of a 20 year old clio and the worst is that I don't know why?")</f>
        <v>After 40 years of insurance with only 1 addict, today he refuses me the assurance of a 20 year old clio and the worst is that I don't know why?</v>
      </c>
    </row>
    <row r="280" ht="15.75" customHeight="1">
      <c r="A280" s="3">
        <v>3.0</v>
      </c>
      <c r="B280" s="3" t="s">
        <v>885</v>
      </c>
      <c r="C280" s="3" t="s">
        <v>886</v>
      </c>
      <c r="D280" s="3" t="s">
        <v>53</v>
      </c>
      <c r="E280" s="3" t="s">
        <v>27</v>
      </c>
      <c r="F280" s="3" t="s">
        <v>15</v>
      </c>
      <c r="G280" s="3" t="s">
        <v>316</v>
      </c>
      <c r="H280" s="3" t="s">
        <v>316</v>
      </c>
      <c r="I280" s="3" t="str">
        <f>IFERROR(__xludf.DUMMYFUNCTION("GOOGLETRANSLATE(C280,""fr"",""en"")"),"When I made the comparison with my insurance, I saw that they do not have so much experience in insurance, because they are very lacking on their proposals in terms of warranty.")</f>
        <v>When I made the comparison with my insurance, I saw that they do not have so much experience in insurance, because they are very lacking on their proposals in terms of warranty.</v>
      </c>
    </row>
    <row r="281" ht="15.75" customHeight="1">
      <c r="A281" s="3">
        <v>4.0</v>
      </c>
      <c r="B281" s="3" t="s">
        <v>887</v>
      </c>
      <c r="C281" s="3" t="s">
        <v>888</v>
      </c>
      <c r="D281" s="3" t="s">
        <v>37</v>
      </c>
      <c r="E281" s="3" t="s">
        <v>27</v>
      </c>
      <c r="F281" s="3" t="s">
        <v>15</v>
      </c>
      <c r="G281" s="3" t="s">
        <v>889</v>
      </c>
      <c r="H281" s="3" t="s">
        <v>17</v>
      </c>
      <c r="I281" s="3" t="str">
        <f>IFERROR(__xludf.DUMMYFUNCTION("GOOGLETRANSLATE(C281,""fr"",""en"")"),"The telephone exchange following the request for a quote was very enriching, the information was very clear by an enthusiastic and dynamic person. I recommend")</f>
        <v>The telephone exchange following the request for a quote was very enriching, the information was very clear by an enthusiastic and dynamic person. I recommend</v>
      </c>
    </row>
    <row r="282" ht="15.75" customHeight="1">
      <c r="A282" s="3">
        <v>4.0</v>
      </c>
      <c r="B282" s="3" t="s">
        <v>890</v>
      </c>
      <c r="C282" s="3" t="s">
        <v>891</v>
      </c>
      <c r="D282" s="3" t="s">
        <v>37</v>
      </c>
      <c r="E282" s="3" t="s">
        <v>27</v>
      </c>
      <c r="F282" s="3" t="s">
        <v>15</v>
      </c>
      <c r="G282" s="3" t="s">
        <v>461</v>
      </c>
      <c r="H282" s="3" t="s">
        <v>50</v>
      </c>
      <c r="I282" s="3" t="str">
        <f>IFERROR(__xludf.DUMMYFUNCTION("GOOGLETRANSLATE(C282,""fr"",""en"")"),"I am satisfied with my contracts within the Oliver Insurance. Pricing is reasonable. I would gladly recommend the Oliver Insurance to my loved ones.")</f>
        <v>I am satisfied with my contracts within the Oliver Insurance. Pricing is reasonable. I would gladly recommend the Oliver Insurance to my loved ones.</v>
      </c>
    </row>
    <row r="283" ht="15.75" customHeight="1">
      <c r="A283" s="3">
        <v>5.0</v>
      </c>
      <c r="B283" s="3" t="s">
        <v>892</v>
      </c>
      <c r="C283" s="3" t="s">
        <v>893</v>
      </c>
      <c r="D283" s="3" t="s">
        <v>53</v>
      </c>
      <c r="E283" s="3" t="s">
        <v>27</v>
      </c>
      <c r="F283" s="3" t="s">
        <v>15</v>
      </c>
      <c r="G283" s="3" t="s">
        <v>28</v>
      </c>
      <c r="H283" s="3" t="s">
        <v>29</v>
      </c>
      <c r="I283" s="3" t="str">
        <f>IFERROR(__xludf.DUMMYFUNCTION("GOOGLETRANSLATE(C283,""fr"",""en"")"),"Perfect, attractive price, simple steps and more sponsorship.
I will highly recommend this insurer. Especially I did not know.
But my husband recommended it to me.")</f>
        <v>Perfect, attractive price, simple steps and more sponsorship.
I will highly recommend this insurer. Especially I did not know.
But my husband recommended it to me.</v>
      </c>
    </row>
    <row r="284" ht="15.75" customHeight="1">
      <c r="A284" s="3">
        <v>2.0</v>
      </c>
      <c r="B284" s="3" t="s">
        <v>894</v>
      </c>
      <c r="C284" s="3" t="s">
        <v>895</v>
      </c>
      <c r="D284" s="3" t="s">
        <v>387</v>
      </c>
      <c r="E284" s="3" t="s">
        <v>81</v>
      </c>
      <c r="F284" s="3" t="s">
        <v>15</v>
      </c>
      <c r="G284" s="3" t="s">
        <v>896</v>
      </c>
      <c r="H284" s="3" t="s">
        <v>29</v>
      </c>
      <c r="I284" s="3" t="str">
        <f>IFERROR(__xludf.DUMMYFUNCTION("GOOGLETRANSLATE(C284,""fr"",""en"")"),"Shabby, shabby, shabby.
You can easily trust the bad comments. Incompetent staff, they are mistaken on all the documents they send, they never answer questions or requests for change, they take you when the vehicle has been sold for several months, the r"&amp;"eimbursement calculations are false ... Assur good plan subcontracted to a subcontractor which itself is a subcontractor.
I don't recommend anyone.")</f>
        <v>Shabby, shabby, shabby.
You can easily trust the bad comments. Incompetent staff, they are mistaken on all the documents they send, they never answer questions or requests for change, they take you when the vehicle has been sold for several months, the reimbursement calculations are false ... Assur good plan subcontracted to a subcontractor which itself is a subcontractor.
I don't recommend anyone.</v>
      </c>
    </row>
    <row r="285" ht="15.75" customHeight="1">
      <c r="A285" s="3">
        <v>2.0</v>
      </c>
      <c r="B285" s="3" t="s">
        <v>897</v>
      </c>
      <c r="C285" s="3" t="s">
        <v>898</v>
      </c>
      <c r="D285" s="3" t="s">
        <v>327</v>
      </c>
      <c r="E285" s="3" t="s">
        <v>27</v>
      </c>
      <c r="F285" s="3" t="s">
        <v>15</v>
      </c>
      <c r="G285" s="3" t="s">
        <v>899</v>
      </c>
      <c r="H285" s="3" t="s">
        <v>230</v>
      </c>
      <c r="I285" s="3" t="str">
        <f>IFERROR(__xludf.DUMMYFUNCTION("GOOGLETRANSLATE(C285,""fr"",""en"")"),"Very disappointed, following a change of vehicle, big problems initially modify the insurance because the drivers were not gratified to the right name (2 cars) after several years, therefore modifications as well as the parking of the garage vehicles or n"&amp;"ot made The necessary but the new insurances have not been well informed, reversed, we start again .... and then the latest insurance of the new vehicle goes until 05/12/2018? for what reasons ? No way of knowing, moreover, I sent a letter with supporting"&amp;" documents and predica was not bothered to broadcast my mail to my bank .... why ???? The advisor could not tell me more ..... so .....
 ")</f>
        <v>Very disappointed, following a change of vehicle, big problems initially modify the insurance because the drivers were not gratified to the right name (2 cars) after several years, therefore modifications as well as the parking of the garage vehicles or not made The necessary but the new insurances have not been well informed, reversed, we start again .... and then the latest insurance of the new vehicle goes until 05/12/2018? for what reasons ? No way of knowing, moreover, I sent a letter with supporting documents and predica was not bothered to broadcast my mail to my bank .... why ???? The advisor could not tell me more ..... so .....
 </v>
      </c>
    </row>
    <row r="286" ht="15.75" customHeight="1">
      <c r="A286" s="3">
        <v>1.0</v>
      </c>
      <c r="B286" s="3" t="s">
        <v>900</v>
      </c>
      <c r="C286" s="3" t="s">
        <v>901</v>
      </c>
      <c r="D286" s="3" t="s">
        <v>75</v>
      </c>
      <c r="E286" s="3" t="s">
        <v>76</v>
      </c>
      <c r="F286" s="3" t="s">
        <v>15</v>
      </c>
      <c r="G286" s="3" t="s">
        <v>902</v>
      </c>
      <c r="H286" s="3" t="s">
        <v>94</v>
      </c>
      <c r="I286" s="3" t="str">
        <f>IFERROR(__xludf.DUMMYFUNCTION("GOOGLETRANSLATE(C286,""fr"",""en"")"),"I strongly advise against this insurance. The service is disastrous, shabby services, information does not exist. I terminated the contract. Never again Allianz !!!")</f>
        <v>I strongly advise against this insurance. The service is disastrous, shabby services, information does not exist. I terminated the contract. Never again Allianz !!!</v>
      </c>
    </row>
    <row r="287" ht="15.75" customHeight="1">
      <c r="A287" s="3">
        <v>3.0</v>
      </c>
      <c r="B287" s="3" t="s">
        <v>903</v>
      </c>
      <c r="C287" s="3" t="s">
        <v>904</v>
      </c>
      <c r="D287" s="3" t="s">
        <v>53</v>
      </c>
      <c r="E287" s="3" t="s">
        <v>27</v>
      </c>
      <c r="F287" s="3" t="s">
        <v>15</v>
      </c>
      <c r="G287" s="3" t="s">
        <v>905</v>
      </c>
      <c r="H287" s="3" t="s">
        <v>58</v>
      </c>
      <c r="I287" s="3" t="str">
        <f>IFERROR(__xludf.DUMMYFUNCTION("GOOGLETRANSLATE(C287,""fr"",""en"")"),"Whenever I want to connect to the application I can't do it. I have to request a password reinitialation. I also can't wait to transfer my gray card")</f>
        <v>Whenever I want to connect to the application I can't do it. I have to request a password reinitialation. I also can't wait to transfer my gray card</v>
      </c>
    </row>
    <row r="288" ht="15.75" customHeight="1">
      <c r="A288" s="3">
        <v>5.0</v>
      </c>
      <c r="B288" s="3" t="s">
        <v>906</v>
      </c>
      <c r="C288" s="3" t="s">
        <v>907</v>
      </c>
      <c r="D288" s="3" t="s">
        <v>26</v>
      </c>
      <c r="E288" s="3" t="s">
        <v>27</v>
      </c>
      <c r="F288" s="3" t="s">
        <v>15</v>
      </c>
      <c r="G288" s="3" t="s">
        <v>908</v>
      </c>
      <c r="H288" s="3" t="s">
        <v>99</v>
      </c>
      <c r="I288" s="3" t="str">
        <f>IFERROR(__xludf.DUMMYFUNCTION("GOOGLETRANSLATE(C288,""fr"",""en"")"),"For many years at GMF not much to say; However, I regret the time that the treatment of my last disaster home took and not having an interlocutor is quite frustrating but this current situation is not the best either")</f>
        <v>For many years at GMF not much to say; However, I regret the time that the treatment of my last disaster home took and not having an interlocutor is quite frustrating but this current situation is not the best either</v>
      </c>
    </row>
    <row r="289" ht="15.75" customHeight="1">
      <c r="A289" s="3">
        <v>3.0</v>
      </c>
      <c r="B289" s="3" t="s">
        <v>909</v>
      </c>
      <c r="C289" s="3" t="s">
        <v>910</v>
      </c>
      <c r="D289" s="3" t="s">
        <v>37</v>
      </c>
      <c r="E289" s="3" t="s">
        <v>27</v>
      </c>
      <c r="F289" s="3" t="s">
        <v>15</v>
      </c>
      <c r="G289" s="3" t="s">
        <v>911</v>
      </c>
      <c r="H289" s="3" t="s">
        <v>655</v>
      </c>
      <c r="I289" s="3" t="str">
        <f>IFERROR(__xludf.DUMMYFUNCTION("GOOGLETRANSLATE(C289,""fr"",""en"")"),"Hello,
I also advise against subscribing to ""L’Olivier Assurance"". If this is extremely easy to be a customer there, it is quite different when you want to terminate a contract following the sale of a vehicle. Let me explain:
In May 2016, I sell my ve"&amp;"hicle (insured for 4 years at home) following the sale. I use their platform to declare the sale of the VL and provide them with the photo of the declaration of sale. Wanting to do, I also add the photo of the barred gray card (average quality but readabl"&amp;"e). I receive an email indicating that ""the olive assurance"" has taken my request into consideration.
I therefore expect to receive a refund for too perceived of the subscription.
Well no!!! Worse than that !!!!
In July, I note that ""the olive assur"&amp;"ance"" punctuates me a subscription for the year 2016-2017 .... sic !!!!
Don't panic I send a letter. There are only those who do nothing that make no mistakes.
Well no, there is also ""the olive assurance"" !!!!!!
""The Olivier Insurance"" asks me to "&amp;"provide them with the declaration of sale with better quality. I tell them that even if the quality is not perfect, the information is perfectly readable. I tell them that I no longer live in France and that the transfer certificate is in the prefecture. "&amp;"Still wanting to do well, I pass on them a document reserved for prefectures (synthetic sheet of the VL registration system. Document can not be more official) they remain blocked on their desire not to get things done and continue to ask me for a documen"&amp;"t which is no longer in my possession. In short I immediately understand that ""the olive assurance"" wishes to drag things. This technique used by ""the olive assurance"" is known.
I am still fighting and will keep you informed of the advance.
In short"&amp;", assurance to avoid and not recommend.
")</f>
        <v>Hello,
I also advise against subscribing to "L’Olivier Assurance". If this is extremely easy to be a customer there, it is quite different when you want to terminate a contract following the sale of a vehicle. Let me explain:
In May 2016, I sell my vehicle (insured for 4 years at home) following the sale. I use their platform to declare the sale of the VL and provide them with the photo of the declaration of sale. Wanting to do, I also add the photo of the barred gray card (average quality but readable). I receive an email indicating that "the olive assurance" has taken my request into consideration.
I therefore expect to receive a refund for too perceived of the subscription.
Well no!!! Worse than that !!!!
In July, I note that "the olive assurance" punctuates me a subscription for the year 2016-2017 .... sic !!!!
Don't panic I send a letter. There are only those who do nothing that make no mistakes.
Well no, there is also "the olive assurance" !!!!!!
"The Olivier Insurance" asks me to provide them with the declaration of sale with better quality. I tell them that even if the quality is not perfect, the information is perfectly readable. I tell them that I no longer live in France and that the transfer certificate is in the prefecture. Still wanting to do well, I pass on them a document reserved for prefectures (synthetic sheet of the VL registration system. Document can not be more official) they remain blocked on their desire not to get things done and continue to ask me for a document which is no longer in my possession. In short I immediately understand that "the olive assurance" wishes to drag things. This technique used by "the olive assurance" is known.
I am still fighting and will keep you informed of the advance.
In short, assurance to avoid and not recommend.
</v>
      </c>
    </row>
    <row r="290" ht="15.75" customHeight="1">
      <c r="A290" s="3">
        <v>4.0</v>
      </c>
      <c r="B290" s="3" t="s">
        <v>912</v>
      </c>
      <c r="C290" s="3" t="s">
        <v>913</v>
      </c>
      <c r="D290" s="3" t="s">
        <v>97</v>
      </c>
      <c r="E290" s="3" t="s">
        <v>81</v>
      </c>
      <c r="F290" s="3" t="s">
        <v>15</v>
      </c>
      <c r="G290" s="3" t="s">
        <v>505</v>
      </c>
      <c r="H290" s="3" t="s">
        <v>506</v>
      </c>
      <c r="I290" s="3" t="str">
        <f>IFERROR(__xludf.DUMMYFUNCTION("GOOGLETRANSLATE(C290,""fr"",""en"")"),"Very good value for money, insurance specialized in motorcycles, I would have liked the prices to drop a little")</f>
        <v>Very good value for money, insurance specialized in motorcycles, I would have liked the prices to drop a little</v>
      </c>
    </row>
    <row r="291" ht="15.75" customHeight="1">
      <c r="A291" s="3">
        <v>2.0</v>
      </c>
      <c r="B291" s="3" t="s">
        <v>914</v>
      </c>
      <c r="C291" s="3" t="s">
        <v>915</v>
      </c>
      <c r="D291" s="3" t="s">
        <v>53</v>
      </c>
      <c r="E291" s="3" t="s">
        <v>27</v>
      </c>
      <c r="F291" s="3" t="s">
        <v>15</v>
      </c>
      <c r="G291" s="3" t="s">
        <v>688</v>
      </c>
      <c r="H291" s="3" t="s">
        <v>50</v>
      </c>
      <c r="I291" s="3" t="str">
        <f>IFERROR(__xludf.DUMMYFUNCTION("GOOGLETRANSLATE(C291,""fr"",""en"")"),"It is unfortunate to note an increase in my annual subscription when my vehicle is older one year old and I have 50% bonus for over 9 years so no accident declared for 20 years!?! In addition, your response of June 19, 2021 does not retain the customer th"&amp;"at I am. Cordially. Alain Schaff")</f>
        <v>It is unfortunate to note an increase in my annual subscription when my vehicle is older one year old and I have 50% bonus for over 9 years so no accident declared for 20 years!?! In addition, your response of June 19, 2021 does not retain the customer that I am. Cordially. Alain Schaff</v>
      </c>
    </row>
    <row r="292" ht="15.75" customHeight="1">
      <c r="A292" s="3">
        <v>4.0</v>
      </c>
      <c r="B292" s="3" t="s">
        <v>916</v>
      </c>
      <c r="C292" s="3" t="s">
        <v>917</v>
      </c>
      <c r="D292" s="3" t="s">
        <v>57</v>
      </c>
      <c r="E292" s="3" t="s">
        <v>14</v>
      </c>
      <c r="F292" s="3" t="s">
        <v>15</v>
      </c>
      <c r="G292" s="3" t="s">
        <v>918</v>
      </c>
      <c r="H292" s="3" t="s">
        <v>139</v>
      </c>
      <c r="I292" s="3" t="str">
        <f>IFERROR(__xludf.DUMMYFUNCTION("GOOGLETRANSLATE(C292,""fr"",""en"")"),"Always had great interlocutors who without knowing it have helped me to face difficult situations.")</f>
        <v>Always had great interlocutors who without knowing it have helped me to face difficult situations.</v>
      </c>
    </row>
    <row r="293" ht="15.75" customHeight="1">
      <c r="A293" s="3">
        <v>5.0</v>
      </c>
      <c r="B293" s="3" t="s">
        <v>919</v>
      </c>
      <c r="C293" s="3" t="s">
        <v>920</v>
      </c>
      <c r="D293" s="3" t="s">
        <v>53</v>
      </c>
      <c r="E293" s="3" t="s">
        <v>27</v>
      </c>
      <c r="F293" s="3" t="s">
        <v>15</v>
      </c>
      <c r="G293" s="3" t="s">
        <v>491</v>
      </c>
      <c r="H293" s="3" t="s">
        <v>58</v>
      </c>
      <c r="I293" s="3" t="str">
        <f>IFERROR(__xludf.DUMMYFUNCTION("GOOGLETRANSLATE(C293,""fr"",""en"")"),"A huge thank you for your understanding, for the refund from the sale.
I will come back to you soon for the home and sponsorship")</f>
        <v>A huge thank you for your understanding, for the refund from the sale.
I will come back to you soon for the home and sponsorship</v>
      </c>
    </row>
    <row r="294" ht="15.75" customHeight="1">
      <c r="A294" s="3">
        <v>1.0</v>
      </c>
      <c r="B294" s="3" t="s">
        <v>921</v>
      </c>
      <c r="C294" s="3" t="s">
        <v>922</v>
      </c>
      <c r="D294" s="3" t="s">
        <v>247</v>
      </c>
      <c r="E294" s="3" t="s">
        <v>27</v>
      </c>
      <c r="F294" s="3" t="s">
        <v>15</v>
      </c>
      <c r="G294" s="3" t="s">
        <v>923</v>
      </c>
      <c r="H294" s="3" t="s">
        <v>428</v>
      </c>
      <c r="I294" s="3" t="str">
        <f>IFERROR(__xludf.DUMMYFUNCTION("GOOGLETRANSLATE(C294,""fr"",""en"")"),"I allow myself to put an opinion on this insurance which according to several echoes is a super insurance, my family being insured at home for their automobiles told me of their professionalism so I rushed to call them with confidence for apply for a quot"&amp;"e. Obviously I sent by email all the information they needed so that I could receive a return as soon as possible. After 3 weeks of waiting, I decide to relaunch the request for a quote and I did not receive any return. Yesterday, Thursday 04/04/2021 I de"&amp;"cided to directly call their number which is therefore 0969394949 to request an automotive insurance quote since they could not answer me via my email. And I had the patience to wait 1 whole day in order to have a correct quote because I had a first lady "&amp;"who gave me a first quote at 112 € at all risk, a second man at 150 € in All risks and a third man telling me that according to the file that the other two first correspondents had created the seat had refused my request and did not want to ensure me. I d"&amp;"o not find that this insurance is professional, they are only for money, did not expect you to have an answer by email or mail address. On the other hand, they quickly respond to the phone. But after an entire day to wait, I am very disappointed with the "&amp;"waste of time they caused me. A whole day to tell me that ultimately the seat does not accept to make sure and why? He has no excuse. Oh yes! I had a 100% responsible accident in 3 years of license, of course he did not tell me but I am not beaped deep do"&amp;"wn of head and to read the comments, they want our money because everything related to reparations after a disaster looks at them in any way, because everything you can declare they become blind. Insurance to flee. I have things to add but it would be the"&amp;"ir acordé too much importance for nothing. They will lose all their customers to start with me and my family.")</f>
        <v>I allow myself to put an opinion on this insurance which according to several echoes is a super insurance, my family being insured at home for their automobiles told me of their professionalism so I rushed to call them with confidence for apply for a quote. Obviously I sent by email all the information they needed so that I could receive a return as soon as possible. After 3 weeks of waiting, I decide to relaunch the request for a quote and I did not receive any return. Yesterday, Thursday 04/04/2021 I decided to directly call their number which is therefore 0969394949 to request an automotive insurance quote since they could not answer me via my email. And I had the patience to wait 1 whole day in order to have a correct quote because I had a first lady who gave me a first quote at 112 € at all risk, a second man at 150 € in All risks and a third man telling me that according to the file that the other two first correspondents had created the seat had refused my request and did not want to ensure me. I do not find that this insurance is professional, they are only for money, did not expect you to have an answer by email or mail address. On the other hand, they quickly respond to the phone. But after an entire day to wait, I am very disappointed with the waste of time they caused me. A whole day to tell me that ultimately the seat does not accept to make sure and why? He has no excuse. Oh yes! I had a 100% responsible accident in 3 years of license, of course he did not tell me but I am not beaped deep down of head and to read the comments, they want our money because everything related to reparations after a disaster looks at them in any way, because everything you can declare they become blind. Insurance to flee. I have things to add but it would be their acordé too much importance for nothing. They will lose all their customers to start with me and my family.</v>
      </c>
    </row>
    <row r="295" ht="15.75" customHeight="1">
      <c r="A295" s="3">
        <v>4.0</v>
      </c>
      <c r="B295" s="3" t="s">
        <v>924</v>
      </c>
      <c r="C295" s="3" t="s">
        <v>925</v>
      </c>
      <c r="D295" s="3" t="s">
        <v>53</v>
      </c>
      <c r="E295" s="3" t="s">
        <v>27</v>
      </c>
      <c r="F295" s="3" t="s">
        <v>15</v>
      </c>
      <c r="G295" s="3" t="s">
        <v>926</v>
      </c>
      <c r="H295" s="3" t="s">
        <v>58</v>
      </c>
      <c r="I295" s="3" t="str">
        <f>IFERROR(__xludf.DUMMYFUNCTION("GOOGLETRANSLATE(C295,""fr"",""en"")"),"The online service is very clear and structured.
The prices: they are very good but I went into a better category of bonus this year but the overall price of insurance increased by more than 2%. This goes against my expectation, my subscription should "&amp;"have dropped, especially since the number of claims in 2020 had to be lower because of the confinements.")</f>
        <v>The online service is very clear and structured.
The prices: they are very good but I went into a better category of bonus this year but the overall price of insurance increased by more than 2%. This goes against my expectation, my subscription should have dropped, especially since the number of claims in 2020 had to be lower because of the confinements.</v>
      </c>
    </row>
    <row r="296" ht="15.75" customHeight="1">
      <c r="A296" s="3">
        <v>1.0</v>
      </c>
      <c r="B296" s="3" t="s">
        <v>927</v>
      </c>
      <c r="C296" s="3" t="s">
        <v>928</v>
      </c>
      <c r="D296" s="3" t="s">
        <v>37</v>
      </c>
      <c r="E296" s="3" t="s">
        <v>27</v>
      </c>
      <c r="F296" s="3" t="s">
        <v>15</v>
      </c>
      <c r="G296" s="3" t="s">
        <v>577</v>
      </c>
      <c r="H296" s="3" t="s">
        <v>72</v>
      </c>
      <c r="I296" s="3" t="str">
        <f>IFERROR(__xludf.DUMMYFUNCTION("GOOGLETRANSLATE(C296,""fr"",""en"")"),"I try to understand why a loss statement for function vehicles does not suit you: it is specified on it that I have had no claim for more than 5 years, which should be enough to calculate the amount of the police of assurance.")</f>
        <v>I try to understand why a loss statement for function vehicles does not suit you: it is specified on it that I have had no claim for more than 5 years, which should be enough to calculate the amount of the police of assurance.</v>
      </c>
    </row>
    <row r="297" ht="15.75" customHeight="1">
      <c r="A297" s="3">
        <v>5.0</v>
      </c>
      <c r="B297" s="3" t="s">
        <v>929</v>
      </c>
      <c r="C297" s="3" t="s">
        <v>930</v>
      </c>
      <c r="D297" s="3" t="s">
        <v>37</v>
      </c>
      <c r="E297" s="3" t="s">
        <v>27</v>
      </c>
      <c r="F297" s="3" t="s">
        <v>15</v>
      </c>
      <c r="G297" s="3" t="s">
        <v>931</v>
      </c>
      <c r="H297" s="3" t="s">
        <v>72</v>
      </c>
      <c r="I297" s="3" t="str">
        <f>IFERROR(__xludf.DUMMYFUNCTION("GOOGLETRANSLATE(C297,""fr"",""en"")"),"Really very satisfied, customer service is very responsive, a real pleasure to have real people who know how to answer questions and who take the time for their customers")</f>
        <v>Really very satisfied, customer service is very responsive, a real pleasure to have real people who know how to answer questions and who take the time for their customers</v>
      </c>
    </row>
    <row r="298" ht="15.75" customHeight="1">
      <c r="A298" s="3">
        <v>2.0</v>
      </c>
      <c r="B298" s="3" t="s">
        <v>932</v>
      </c>
      <c r="C298" s="3" t="s">
        <v>933</v>
      </c>
      <c r="D298" s="3" t="s">
        <v>670</v>
      </c>
      <c r="E298" s="3" t="s">
        <v>27</v>
      </c>
      <c r="F298" s="3" t="s">
        <v>15</v>
      </c>
      <c r="G298" s="3" t="s">
        <v>934</v>
      </c>
      <c r="H298" s="3" t="s">
        <v>513</v>
      </c>
      <c r="I298" s="3" t="str">
        <f>IFERROR(__xludf.DUMMYFUNCTION("GOOGLETRANSLATE(C298,""fr"",""en"")"),"Our caravan was stolen in November 2019 and since no news of a repayment proposal. After multiple calls, still there the same answer. Current file where you will be contacted next week. We dare not imagine what it would have been in the event of a disaste"&amp;"r for our home.")</f>
        <v>Our caravan was stolen in November 2019 and since no news of a repayment proposal. After multiple calls, still there the same answer. Current file where you will be contacted next week. We dare not imagine what it would have been in the event of a disaster for our home.</v>
      </c>
    </row>
    <row r="299" ht="15.75" customHeight="1">
      <c r="A299" s="3">
        <v>2.0</v>
      </c>
      <c r="B299" s="3" t="s">
        <v>935</v>
      </c>
      <c r="C299" s="3" t="s">
        <v>936</v>
      </c>
      <c r="D299" s="3" t="s">
        <v>85</v>
      </c>
      <c r="E299" s="3" t="s">
        <v>27</v>
      </c>
      <c r="F299" s="3" t="s">
        <v>15</v>
      </c>
      <c r="G299" s="3" t="s">
        <v>937</v>
      </c>
      <c r="H299" s="3" t="s">
        <v>230</v>
      </c>
      <c r="I299" s="3" t="str">
        <f>IFERROR(__xludf.DUMMYFUNCTION("GOOGLETRANSLATE(C299,""fr"",""en"")"),"I have subscribed and paid for the annual contribution hastily in less than 30 minutes now I am asked for documents constantly that I already sent I don't know what to do can be helpful at the end of the month of the certificate Will I be reimbursing in p"&amp;"rorata or will I lose everything and be resilled? To flee")</f>
        <v>I have subscribed and paid for the annual contribution hastily in less than 30 minutes now I am asked for documents constantly that I already sent I don't know what to do can be helpful at the end of the month of the certificate Will I be reimbursing in prorata or will I lose everything and be resilled? To flee</v>
      </c>
    </row>
    <row r="300" ht="15.75" customHeight="1">
      <c r="A300" s="3">
        <v>2.0</v>
      </c>
      <c r="B300" s="3" t="s">
        <v>938</v>
      </c>
      <c r="C300" s="3" t="s">
        <v>939</v>
      </c>
      <c r="D300" s="3" t="s">
        <v>42</v>
      </c>
      <c r="E300" s="3" t="s">
        <v>21</v>
      </c>
      <c r="F300" s="3" t="s">
        <v>15</v>
      </c>
      <c r="G300" s="3" t="s">
        <v>940</v>
      </c>
      <c r="H300" s="3" t="s">
        <v>195</v>
      </c>
      <c r="I300" s="3" t="str">
        <f>IFERROR(__xludf.DUMMYFUNCTION("GOOGLETRANSLATE(C300,""fr"",""en"")"),"In disability cat 2 for several years I have not receive my D (disability since 02/2018
I have such a regular, returned the documents by post and by internet without obtaining a response
I had to insist heavy for a resadyblz hoping for another answer th"&amp;"an ""you have to wait yet to seize"" impossible to know if the file is full of them at home
manager of the manager you have to wait or return a file and another period of or weeks because a lot of delay
For a sheet where there has been no change for yea"&amp;"rs I am told not to worry they will pay me the sums due but while waiting for my bank is in red")</f>
        <v>In disability cat 2 for several years I have not receive my D (disability since 02/2018
I have such a regular, returned the documents by post and by internet without obtaining a response
I had to insist heavy for a resadyblz hoping for another answer than "you have to wait yet to seize" impossible to know if the file is full of them at home
manager of the manager you have to wait or return a file and another period of or weeks because a lot of delay
For a sheet where there has been no change for years I am told not to worry they will pay me the sums due but while waiting for my bank is in red</v>
      </c>
    </row>
    <row r="301" ht="15.75" customHeight="1">
      <c r="A301" s="3">
        <v>5.0</v>
      </c>
      <c r="B301" s="3" t="s">
        <v>941</v>
      </c>
      <c r="C301" s="3" t="s">
        <v>942</v>
      </c>
      <c r="D301" s="3" t="s">
        <v>13</v>
      </c>
      <c r="E301" s="3" t="s">
        <v>14</v>
      </c>
      <c r="F301" s="3" t="s">
        <v>15</v>
      </c>
      <c r="G301" s="3" t="s">
        <v>943</v>
      </c>
      <c r="H301" s="3" t="s">
        <v>655</v>
      </c>
      <c r="I301" s="3" t="str">
        <f>IFERROR(__xludf.DUMMYFUNCTION("GOOGLETRANSLATE(C301,""fr"",""en"")"),"I did not know Néoliane before I warn for 2016 and after a year I can say that I am satisfied because I still needed fast reimbursements this year and I was reassured to see that I have taken care of . So I can advise her because I am still one more year "&amp;"and I wired my parents because after 60 years the senior prices are also interesting.")</f>
        <v>I did not know Néoliane before I warn for 2016 and after a year I can say that I am satisfied because I still needed fast reimbursements this year and I was reassured to see that I have taken care of . So I can advise her because I am still one more year and I wired my parents because after 60 years the senior prices are also interesting.</v>
      </c>
    </row>
    <row r="302" ht="15.75" customHeight="1">
      <c r="A302" s="3">
        <v>1.0</v>
      </c>
      <c r="B302" s="3" t="s">
        <v>944</v>
      </c>
      <c r="C302" s="3" t="s">
        <v>945</v>
      </c>
      <c r="D302" s="3" t="s">
        <v>247</v>
      </c>
      <c r="E302" s="3" t="s">
        <v>21</v>
      </c>
      <c r="F302" s="3" t="s">
        <v>15</v>
      </c>
      <c r="G302" s="3" t="s">
        <v>946</v>
      </c>
      <c r="H302" s="3" t="s">
        <v>266</v>
      </c>
      <c r="I302" s="3" t="str">
        <f>IFERROR(__xludf.DUMMYFUNCTION("GOOGLETRANSLATE(C302,""fr"",""en"")"),"Ssurated for 1 countless number of year (loyalty to this insurance) I have just had 1 life accident (bike) the cpam my disability second category formal prohibition of working for the Macif and its doctor my disability does not exceed 10 % so no compensat"&amp;"ion ..........")</f>
        <v>Ssurated for 1 countless number of year (loyalty to this insurance) I have just had 1 life accident (bike) the cpam my disability second category formal prohibition of working for the Macif and its doctor my disability does not exceed 10 % so no compensation ..........</v>
      </c>
    </row>
    <row r="303" ht="15.75" customHeight="1">
      <c r="A303" s="3">
        <v>1.0</v>
      </c>
      <c r="B303" s="3" t="s">
        <v>947</v>
      </c>
      <c r="C303" s="3" t="s">
        <v>948</v>
      </c>
      <c r="D303" s="3" t="s">
        <v>13</v>
      </c>
      <c r="E303" s="3" t="s">
        <v>14</v>
      </c>
      <c r="F303" s="3" t="s">
        <v>15</v>
      </c>
      <c r="G303" s="3" t="s">
        <v>205</v>
      </c>
      <c r="H303" s="3" t="s">
        <v>205</v>
      </c>
      <c r="I303" s="3" t="str">
        <f>IFERROR(__xludf.DUMMYFUNCTION("GOOGLETRANSLATE(C303,""fr"",""en"")"),"Since the beginning of the year, teletransmission has still not been implemented despite numerous shipments of the law certificate; So no reimbursements. I have sent them the Soci reimbursement sheets directly since September 23, of course no response des"&amp;"pite two cost of phones. It is unmissible!
I absolutely say this mutual.")</f>
        <v>Since the beginning of the year, teletransmission has still not been implemented despite numerous shipments of the law certificate; So no reimbursements. I have sent them the Soci reimbursement sheets directly since September 23, of course no response despite two cost of phones. It is unmissible!
I absolutely say this mutual.</v>
      </c>
    </row>
    <row r="304" ht="15.75" customHeight="1">
      <c r="A304" s="3">
        <v>5.0</v>
      </c>
      <c r="B304" s="3" t="s">
        <v>949</v>
      </c>
      <c r="C304" s="3" t="s">
        <v>950</v>
      </c>
      <c r="D304" s="3" t="s">
        <v>37</v>
      </c>
      <c r="E304" s="3" t="s">
        <v>27</v>
      </c>
      <c r="F304" s="3" t="s">
        <v>15</v>
      </c>
      <c r="G304" s="3" t="s">
        <v>281</v>
      </c>
      <c r="H304" s="3" t="s">
        <v>29</v>
      </c>
      <c r="I304" s="3" t="str">
        <f>IFERROR(__xludf.DUMMYFUNCTION("GOOGLETRANSLATE(C304,""fr"",""en"")"),"I am satisfied with everyone at the olive tree and my contract I recommend to friends and strongly to people who want insurance at less cost")</f>
        <v>I am satisfied with everyone at the olive tree and my contract I recommend to friends and strongly to people who want insurance at less cost</v>
      </c>
    </row>
    <row r="305" ht="15.75" customHeight="1">
      <c r="A305" s="3">
        <v>4.0</v>
      </c>
      <c r="B305" s="3" t="s">
        <v>951</v>
      </c>
      <c r="C305" s="3" t="s">
        <v>952</v>
      </c>
      <c r="D305" s="3" t="s">
        <v>80</v>
      </c>
      <c r="E305" s="3" t="s">
        <v>81</v>
      </c>
      <c r="F305" s="3" t="s">
        <v>15</v>
      </c>
      <c r="G305" s="3" t="s">
        <v>953</v>
      </c>
      <c r="H305" s="3" t="s">
        <v>29</v>
      </c>
      <c r="I305" s="3" t="str">
        <f>IFERROR(__xludf.DUMMYFUNCTION("GOOGLETRANSLATE(C305,""fr"",""en"")"),"I am satisfied with the service, efficient, fast, useful, practical, with my thanks, cordially, your dedicated property Quentin Rey. reachable at 0630")</f>
        <v>I am satisfied with the service, efficient, fast, useful, practical, with my thanks, cordially, your dedicated property Quentin Rey. reachable at 0630</v>
      </c>
    </row>
    <row r="306" ht="15.75" customHeight="1">
      <c r="A306" s="3">
        <v>3.0</v>
      </c>
      <c r="B306" s="3" t="s">
        <v>954</v>
      </c>
      <c r="C306" s="3" t="s">
        <v>955</v>
      </c>
      <c r="D306" s="3" t="s">
        <v>228</v>
      </c>
      <c r="E306" s="3" t="s">
        <v>14</v>
      </c>
      <c r="F306" s="3" t="s">
        <v>15</v>
      </c>
      <c r="G306" s="3" t="s">
        <v>956</v>
      </c>
      <c r="H306" s="3" t="s">
        <v>90</v>
      </c>
      <c r="I306" s="3" t="str">
        <f>IFERROR(__xludf.DUMMYFUNCTION("GOOGLETRANSLATE(C306,""fr"",""en"")"),"It's my mutual for 24 years, I am very satisfied.")</f>
        <v>It's my mutual for 24 years, I am very satisfied.</v>
      </c>
    </row>
    <row r="307" ht="15.75" customHeight="1">
      <c r="A307" s="3">
        <v>1.0</v>
      </c>
      <c r="B307" s="3" t="s">
        <v>957</v>
      </c>
      <c r="C307" s="3" t="s">
        <v>958</v>
      </c>
      <c r="D307" s="3" t="s">
        <v>65</v>
      </c>
      <c r="E307" s="3" t="s">
        <v>14</v>
      </c>
      <c r="F307" s="3" t="s">
        <v>15</v>
      </c>
      <c r="G307" s="3" t="s">
        <v>590</v>
      </c>
      <c r="H307" s="3" t="s">
        <v>58</v>
      </c>
      <c r="I307" s="3" t="str">
        <f>IFERROR(__xludf.DUMMYFUNCTION("GOOGLETRANSLATE(C307,""fr"",""en"")"),"Frankly it is a disaster !!! We can neither have them on the phone nor by e_mail I even send a registered letter without answer !!!!! A total fiasco I do not recommend it !!!!!! No refund since February make medical visit to pay from my pocket without rei"&amp;"mbursement but they do not forget the direct debit every month !!!!!!!!! no better than their competitor (April) who to trust ,, ??? ?????
")</f>
        <v>Frankly it is a disaster !!! We can neither have them on the phone nor by e_mail I even send a registered letter without answer !!!!! A total fiasco I do not recommend it !!!!!! No refund since February make medical visit to pay from my pocket without reimbursement but they do not forget the direct debit every month !!!!!!!!! no better than their competitor (April) who to trust ,, ??? ?????
</v>
      </c>
    </row>
    <row r="308" ht="15.75" customHeight="1">
      <c r="A308" s="3">
        <v>4.0</v>
      </c>
      <c r="B308" s="3" t="s">
        <v>959</v>
      </c>
      <c r="C308" s="3" t="s">
        <v>960</v>
      </c>
      <c r="D308" s="3" t="s">
        <v>97</v>
      </c>
      <c r="E308" s="3" t="s">
        <v>81</v>
      </c>
      <c r="F308" s="3" t="s">
        <v>15</v>
      </c>
      <c r="G308" s="3" t="s">
        <v>799</v>
      </c>
      <c r="H308" s="3" t="s">
        <v>99</v>
      </c>
      <c r="I308" s="3" t="str">
        <f>IFERROR(__xludf.DUMMYFUNCTION("GOOGLETRANSLATE(C308,""fr"",""en"")"),"I am satisfied with your prices and simplicity to take out my insurance contract as well as detailed explanations of the commitment of the two parties")</f>
        <v>I am satisfied with your prices and simplicity to take out my insurance contract as well as detailed explanations of the commitment of the two parties</v>
      </c>
    </row>
    <row r="309" ht="15.75" customHeight="1">
      <c r="A309" s="3">
        <v>3.0</v>
      </c>
      <c r="B309" s="3" t="s">
        <v>961</v>
      </c>
      <c r="C309" s="3" t="s">
        <v>962</v>
      </c>
      <c r="D309" s="3" t="s">
        <v>85</v>
      </c>
      <c r="E309" s="3" t="s">
        <v>27</v>
      </c>
      <c r="F309" s="3" t="s">
        <v>15</v>
      </c>
      <c r="G309" s="3" t="s">
        <v>963</v>
      </c>
      <c r="H309" s="3" t="s">
        <v>964</v>
      </c>
      <c r="I309" s="3" t="str">
        <f>IFERROR(__xludf.DUMMYFUNCTION("GOOGLETRANSLATE(C309,""fr"",""en"")"),"N ° 287.183
It’s wrong with this company. The price is attractive, of course,. But we don't have real advisers on the phone.
I paid the annual subscription, then had to call to have a provisional certificate
 I sent all the requested documents and from"&amp;" nothing more does not move. When we call customer service you come across a call center which even finds it to analyze 2 documents, and which obviously has no power.")</f>
        <v>N ° 287.183
It’s wrong with this company. The price is attractive, of course,. But we don't have real advisers on the phone.
I paid the annual subscription, then had to call to have a provisional certificate
 I sent all the requested documents and from nothing more does not move. When we call customer service you come across a call center which even finds it to analyze 2 documents, and which obviously has no power.</v>
      </c>
    </row>
    <row r="310" ht="15.75" customHeight="1">
      <c r="A310" s="3">
        <v>4.0</v>
      </c>
      <c r="B310" s="3" t="s">
        <v>965</v>
      </c>
      <c r="C310" s="3" t="s">
        <v>966</v>
      </c>
      <c r="D310" s="3" t="s">
        <v>53</v>
      </c>
      <c r="E310" s="3" t="s">
        <v>27</v>
      </c>
      <c r="F310" s="3" t="s">
        <v>15</v>
      </c>
      <c r="G310" s="3" t="s">
        <v>145</v>
      </c>
      <c r="H310" s="3" t="s">
        <v>99</v>
      </c>
      <c r="I310" s="3" t="str">
        <f>IFERROR(__xludf.DUMMYFUNCTION("GOOGLETRANSLATE(C310,""fr"",""en"")"),"I am satisfied at the rate level
I am satisfied with the processing time
I just subscribed to you I will give you an opinion a little later
")</f>
        <v>I am satisfied at the rate level
I am satisfied with the processing time
I just subscribed to you I will give you an opinion a little later
</v>
      </c>
    </row>
    <row r="311" ht="15.75" customHeight="1">
      <c r="A311" s="3">
        <v>1.0</v>
      </c>
      <c r="B311" s="3" t="s">
        <v>967</v>
      </c>
      <c r="C311" s="3" t="s">
        <v>968</v>
      </c>
      <c r="D311" s="3" t="s">
        <v>804</v>
      </c>
      <c r="E311" s="3" t="s">
        <v>805</v>
      </c>
      <c r="F311" s="3" t="s">
        <v>15</v>
      </c>
      <c r="G311" s="3" t="s">
        <v>969</v>
      </c>
      <c r="H311" s="3" t="s">
        <v>378</v>
      </c>
      <c r="I311" s="3" t="str">
        <f>IFERROR(__xludf.DUMMYFUNCTION("GOOGLETRANSLATE(C311,""fr"",""en"")"),"Assures since September 2020 for my dog ​​she has made a sprain with installation alle and radio ... I sent the care sheet as well as the invoice and a certificate from the veterioraire there is the date on the invoice and sue The certificate. We ask my v"&amp;"eto to explain the circumstances of the accident ... It cannot be present at my place my veto to follow my female dog ... Null insurance I will oppose and unmanageable personnel and who tells anyway to flee ... I sent by email the papers told me that no. "&amp;"I will enter the competent authorities")</f>
        <v>Assures since September 2020 for my dog ​​she has made a sprain with installation alle and radio ... I sent the care sheet as well as the invoice and a certificate from the veterioraire there is the date on the invoice and sue The certificate. We ask my veto to explain the circumstances of the accident ... It cannot be present at my place my veto to follow my female dog ... Null insurance I will oppose and unmanageable personnel and who tells anyway to flee ... I sent by email the papers told me that no. I will enter the competent authorities</v>
      </c>
    </row>
    <row r="312" ht="15.75" customHeight="1">
      <c r="A312" s="3">
        <v>1.0</v>
      </c>
      <c r="B312" s="3" t="s">
        <v>970</v>
      </c>
      <c r="C312" s="3" t="s">
        <v>971</v>
      </c>
      <c r="D312" s="3" t="s">
        <v>53</v>
      </c>
      <c r="E312" s="3" t="s">
        <v>27</v>
      </c>
      <c r="F312" s="3" t="s">
        <v>15</v>
      </c>
      <c r="G312" s="3" t="s">
        <v>972</v>
      </c>
      <c r="H312" s="3" t="s">
        <v>520</v>
      </c>
      <c r="I312" s="3" t="str">
        <f>IFERROR(__xludf.DUMMYFUNCTION("GOOGLETRANSLATE(C312,""fr"",""en"")"),"+ 25% in 1 year and all this without responsible accident.")</f>
        <v>+ 25% in 1 year and all this without responsible accident.</v>
      </c>
    </row>
    <row r="313" ht="15.75" customHeight="1">
      <c r="A313" s="3">
        <v>2.0</v>
      </c>
      <c r="B313" s="3" t="s">
        <v>973</v>
      </c>
      <c r="C313" s="3" t="s">
        <v>974</v>
      </c>
      <c r="D313" s="3" t="s">
        <v>345</v>
      </c>
      <c r="E313" s="3" t="s">
        <v>21</v>
      </c>
      <c r="F313" s="3" t="s">
        <v>15</v>
      </c>
      <c r="G313" s="3" t="s">
        <v>830</v>
      </c>
      <c r="H313" s="3" t="s">
        <v>17</v>
      </c>
      <c r="I313" s="3" t="str">
        <f>IFERROR(__xludf.DUMMYFUNCTION("GOOGLETRANSLATE(C313,""fr"",""en"")"),"Always having to run after my salary maintenance, I spend my time writing emails ...! I properly send all papers, supporting documents and others ... proof that I am half-treatment and in sick leave but there is always a lot of delay! There, I am still wa"&amp;"iting for my salary maintenance of January, February and March !!! Despite the reminders, they answer me ""never"" (where to tell me ""I send your request to the service concerned"") while waiting, the bills fall and because of them I will have to pay agi"&amp;"os to my bank !! !
To recover the monthly payment of mutual provident, there are people but to complete the half-treatment of their members if necessary, there is no one!
What is the point of paying for a mutual provident if in case of absolute necessit"&amp;"y it is not there to make your job?!")</f>
        <v>Always having to run after my salary maintenance, I spend my time writing emails ...! I properly send all papers, supporting documents and others ... proof that I am half-treatment and in sick leave but there is always a lot of delay! There, I am still waiting for my salary maintenance of January, February and March !!! Despite the reminders, they answer me "never" (where to tell me "I send your request to the service concerned") while waiting, the bills fall and because of them I will have to pay agios to my bank !! !
To recover the monthly payment of mutual provident, there are people but to complete the half-treatment of their members if necessary, there is no one!
What is the point of paying for a mutual provident if in case of absolute necessity it is not there to make your job?!</v>
      </c>
    </row>
    <row r="314" ht="15.75" customHeight="1">
      <c r="A314" s="3">
        <v>5.0</v>
      </c>
      <c r="B314" s="3" t="s">
        <v>975</v>
      </c>
      <c r="C314" s="3" t="s">
        <v>976</v>
      </c>
      <c r="D314" s="3" t="s">
        <v>37</v>
      </c>
      <c r="E314" s="3" t="s">
        <v>27</v>
      </c>
      <c r="F314" s="3" t="s">
        <v>15</v>
      </c>
      <c r="G314" s="3" t="s">
        <v>977</v>
      </c>
      <c r="H314" s="3" t="s">
        <v>99</v>
      </c>
      <c r="I314" s="3" t="str">
        <f>IFERROR(__xludf.DUMMYFUNCTION("GOOGLETRANSLATE(C314,""fr"",""en"")"),"Everything is perfect, I am particularly satisfied with the service, prices and telephone advisers who were able to inform me and tell me the most suitable formula.")</f>
        <v>Everything is perfect, I am particularly satisfied with the service, prices and telephone advisers who were able to inform me and tell me the most suitable formula.</v>
      </c>
    </row>
    <row r="315" ht="15.75" customHeight="1">
      <c r="A315" s="3">
        <v>2.0</v>
      </c>
      <c r="B315" s="3" t="s">
        <v>978</v>
      </c>
      <c r="C315" s="3" t="s">
        <v>979</v>
      </c>
      <c r="D315" s="3" t="s">
        <v>228</v>
      </c>
      <c r="E315" s="3" t="s">
        <v>14</v>
      </c>
      <c r="F315" s="3" t="s">
        <v>15</v>
      </c>
      <c r="G315" s="3" t="s">
        <v>980</v>
      </c>
      <c r="H315" s="3" t="s">
        <v>672</v>
      </c>
      <c r="I315" s="3" t="str">
        <f>IFERROR(__xludf.DUMMYFUNCTION("GOOGLETRANSLATE(C315,""fr"",""en"")"),"A demonic administrative. Impossible to terminate my child when he found work and the mutual of his employer was compulsory")</f>
        <v>A demonic administrative. Impossible to terminate my child when he found work and the mutual of his employer was compulsory</v>
      </c>
    </row>
    <row r="316" ht="15.75" customHeight="1">
      <c r="A316" s="3">
        <v>4.0</v>
      </c>
      <c r="B316" s="3" t="s">
        <v>981</v>
      </c>
      <c r="C316" s="3" t="s">
        <v>982</v>
      </c>
      <c r="D316" s="3" t="s">
        <v>37</v>
      </c>
      <c r="E316" s="3" t="s">
        <v>27</v>
      </c>
      <c r="F316" s="3" t="s">
        <v>15</v>
      </c>
      <c r="G316" s="3" t="s">
        <v>983</v>
      </c>
      <c r="H316" s="3" t="s">
        <v>34</v>
      </c>
      <c r="I316" s="3" t="str">
        <f>IFERROR(__xludf.DUMMYFUNCTION("GOOGLETRANSLATE(C316,""fr"",""en"")"),"I am satisfied the price of my car insurance is much cheaper than that of my bank in an essential tier formula, very reactive customer service based in France")</f>
        <v>I am satisfied the price of my car insurance is much cheaper than that of my bank in an essential tier formula, very reactive customer service based in France</v>
      </c>
    </row>
    <row r="317" ht="15.75" customHeight="1">
      <c r="A317" s="3">
        <v>1.0</v>
      </c>
      <c r="B317" s="3" t="s">
        <v>984</v>
      </c>
      <c r="C317" s="3" t="s">
        <v>985</v>
      </c>
      <c r="D317" s="3" t="s">
        <v>399</v>
      </c>
      <c r="E317" s="3" t="s">
        <v>109</v>
      </c>
      <c r="F317" s="3" t="s">
        <v>15</v>
      </c>
      <c r="G317" s="3" t="s">
        <v>986</v>
      </c>
      <c r="H317" s="3" t="s">
        <v>183</v>
      </c>
      <c r="I317" s="3" t="str">
        <f>IFERROR(__xludf.DUMMYFUNCTION("GOOGLETRANSLATE(C317,""fr"",""en"")"),"Following the death of my mother-in-law, we provided our BNP agency with the death certificate. The financial advisor has certified us that we would have news from the succession and cardif service for the life insurance party within 8 days. After 8 long "&amp;"weeks, we were always without any news. We had to contact the 2 services ourselves. Cardif sent the request for supporting documents for life insurance after more than 8 weeks. The succession service did not contact us because of ""significant delay"" whe"&amp;"n on our side we already had the act of notoriety of the notary (simple succession because a single heiress + my wife beneficiary namely in life insurance)
To date, more than 2 months after the death, the funeral pumps have not even received the slightes"&amp;"t euros despite our reminders and those of the funeral company. These 2 services play the watch so as not to pour anything and drag the deadlines. I sent everything by registered mail. Now will we be set? Only god knows. We must touch mutual aid but for l"&amp;"ack of acquitted invoice we will be out of delay by lack of the bank! What a quality of service !!!")</f>
        <v>Following the death of my mother-in-law, we provided our BNP agency with the death certificate. The financial advisor has certified us that we would have news from the succession and cardif service for the life insurance party within 8 days. After 8 long weeks, we were always without any news. We had to contact the 2 services ourselves. Cardif sent the request for supporting documents for life insurance after more than 8 weeks. The succession service did not contact us because of "significant delay" when on our side we already had the act of notoriety of the notary (simple succession because a single heiress + my wife beneficiary namely in life insurance)
To date, more than 2 months after the death, the funeral pumps have not even received the slightest euros despite our reminders and those of the funeral company. These 2 services play the watch so as not to pour anything and drag the deadlines. I sent everything by registered mail. Now will we be set? Only god knows. We must touch mutual aid but for lack of acquitted invoice we will be out of delay by lack of the bank! What a quality of service !!!</v>
      </c>
    </row>
    <row r="318" ht="15.75" customHeight="1">
      <c r="A318" s="3">
        <v>4.0</v>
      </c>
      <c r="B318" s="3" t="s">
        <v>987</v>
      </c>
      <c r="C318" s="3" t="s">
        <v>988</v>
      </c>
      <c r="D318" s="3" t="s">
        <v>32</v>
      </c>
      <c r="E318" s="3" t="s">
        <v>14</v>
      </c>
      <c r="F318" s="3" t="s">
        <v>15</v>
      </c>
      <c r="G318" s="3" t="s">
        <v>989</v>
      </c>
      <c r="H318" s="3" t="s">
        <v>159</v>
      </c>
      <c r="I318" s="3" t="str">
        <f>IFERROR(__xludf.DUMMYFUNCTION("GOOGLETRANSLATE(C318,""fr"",""en"")"),"Can make an effort on the decrease in contributions in 2021 COVVID has helped a lot in this direction
Otherwise insurance that fulfills its function the reimbursements are on time
The answers to messages are a bit long 4/5 days before reading")</f>
        <v>Can make an effort on the decrease in contributions in 2021 COVVID has helped a lot in this direction
Otherwise insurance that fulfills its function the reimbursements are on time
The answers to messages are a bit long 4/5 days before reading</v>
      </c>
    </row>
    <row r="319" ht="15.75" customHeight="1">
      <c r="A319" s="3">
        <v>4.0</v>
      </c>
      <c r="B319" s="3" t="s">
        <v>990</v>
      </c>
      <c r="C319" s="3" t="s">
        <v>991</v>
      </c>
      <c r="D319" s="3" t="s">
        <v>26</v>
      </c>
      <c r="E319" s="3" t="s">
        <v>27</v>
      </c>
      <c r="F319" s="3" t="s">
        <v>15</v>
      </c>
      <c r="G319" s="3" t="s">
        <v>992</v>
      </c>
      <c r="H319" s="3" t="s">
        <v>23</v>
      </c>
      <c r="I319" s="3" t="str">
        <f>IFERROR(__xludf.DUMMYFUNCTION("GOOGLETRANSLATE(C319,""fr"",""en"")"),"I am satisfied with the services and the availability of agents. The management center located in the South West is competent and friendly. The management center in charge of my attack leaves something to be desired. I always wait for the agent's response"&amp;" in charge of my file after several recommended letters and calls. from Grenoble. Finally I drop. I will ask another insurance which Pacifica manages the file.")</f>
        <v>I am satisfied with the services and the availability of agents. The management center located in the South West is competent and friendly. The management center in charge of my attack leaves something to be desired. I always wait for the agent's response in charge of my file after several recommended letters and calls. from Grenoble. Finally I drop. I will ask another insurance which Pacifica manages the file.</v>
      </c>
    </row>
    <row r="320" ht="15.75" customHeight="1">
      <c r="A320" s="3">
        <v>2.0</v>
      </c>
      <c r="B320" s="3" t="s">
        <v>993</v>
      </c>
      <c r="C320" s="3" t="s">
        <v>994</v>
      </c>
      <c r="D320" s="3" t="s">
        <v>37</v>
      </c>
      <c r="E320" s="3" t="s">
        <v>27</v>
      </c>
      <c r="F320" s="3" t="s">
        <v>15</v>
      </c>
      <c r="G320" s="3" t="s">
        <v>995</v>
      </c>
      <c r="H320" s="3" t="s">
        <v>733</v>
      </c>
      <c r="I320" s="3" t="str">
        <f>IFERROR(__xludf.DUMMYFUNCTION("GOOGLETRANSLATE(C320,""fr"",""en"")"),"In dispute for a disaster that the olive assurance does not want to take into account despite that I am insured any risk and at the maximum level. I asked to send myself their refusal by mail or email that I can turn around, I have still received nothing."&amp;" The olive assurance, perfect if nothing happens to you. Things get complicated with a responsible disaster ...")</f>
        <v>In dispute for a disaster that the olive assurance does not want to take into account despite that I am insured any risk and at the maximum level. I asked to send myself their refusal by mail or email that I can turn around, I have still received nothing. The olive assurance, perfect if nothing happens to you. Things get complicated with a responsible disaster ...</v>
      </c>
    </row>
    <row r="321" ht="15.75" customHeight="1">
      <c r="A321" s="3">
        <v>1.0</v>
      </c>
      <c r="B321" s="3" t="s">
        <v>996</v>
      </c>
      <c r="C321" s="3" t="s">
        <v>997</v>
      </c>
      <c r="D321" s="3" t="s">
        <v>53</v>
      </c>
      <c r="E321" s="3" t="s">
        <v>27</v>
      </c>
      <c r="F321" s="3" t="s">
        <v>15</v>
      </c>
      <c r="G321" s="3" t="s">
        <v>998</v>
      </c>
      <c r="H321" s="3" t="s">
        <v>17</v>
      </c>
      <c r="I321" s="3" t="str">
        <f>IFERROR(__xludf.DUMMYFUNCTION("GOOGLETRANSLATE(C321,""fr"",""en"")"),"I am not satisfied because still no green card, I no longer receive it and no follow -up, never calling and annual increase in the subscription for no reason ...")</f>
        <v>I am not satisfied because still no green card, I no longer receive it and no follow -up, never calling and annual increase in the subscription for no reason ...</v>
      </c>
    </row>
    <row r="322" ht="15.75" customHeight="1">
      <c r="A322" s="3">
        <v>4.0</v>
      </c>
      <c r="B322" s="3" t="s">
        <v>999</v>
      </c>
      <c r="C322" s="3" t="s">
        <v>1000</v>
      </c>
      <c r="D322" s="3" t="s">
        <v>61</v>
      </c>
      <c r="E322" s="3" t="s">
        <v>14</v>
      </c>
      <c r="F322" s="3" t="s">
        <v>15</v>
      </c>
      <c r="G322" s="3" t="s">
        <v>1001</v>
      </c>
      <c r="H322" s="3" t="s">
        <v>230</v>
      </c>
      <c r="I322" s="3" t="str">
        <f>IFERROR(__xludf.DUMMYFUNCTION("GOOGLETRANSLATE(C322,""fr"",""en"")"),"Very good report, listening ... good proposals ........")</f>
        <v>Very good report, listening ... good proposals ........</v>
      </c>
    </row>
    <row r="323" ht="15.75" customHeight="1">
      <c r="A323" s="3">
        <v>2.0</v>
      </c>
      <c r="B323" s="3" t="s">
        <v>1002</v>
      </c>
      <c r="C323" s="3" t="s">
        <v>1003</v>
      </c>
      <c r="D323" s="3" t="s">
        <v>85</v>
      </c>
      <c r="E323" s="3" t="s">
        <v>27</v>
      </c>
      <c r="F323" s="3" t="s">
        <v>15</v>
      </c>
      <c r="G323" s="3" t="s">
        <v>1004</v>
      </c>
      <c r="H323" s="3" t="s">
        <v>1005</v>
      </c>
      <c r="I323" s="3" t="str">
        <f>IFERROR(__xludf.DUMMYFUNCTION("GOOGLETRANSLATE(C323,""fr"",""en"")"),"Customer 276463. First positive contact by phone on Friday November 10, 2017, friendly advisor and very specific questions, suitable explanations, quote compliant at the price announced on the phone. Documents sent the same evening and confirmation reques"&amp;"t email sent on Monday, November 13, 2017. Answers from their fast share in two hours and another in the evening accusing good reception of the documents sent in attachments and explaining to wait for the confirmation of termination of my former assurance"&amp;". Call the next day to my ex insurance who confirms they sent them confirmation. After reading the negative opinions on the net I decide their envoy on Tuesday 14 with more extensive requests, especially if the only documents requested. From the whole is "&amp;"not complicated by answers, revived on Wednesday 15, no answers. On Thursday 16 I decided to make a quote from another insurer for safety. This one offers me better prices and as no active insurance response on Thursday evening I decide to retract. I send"&amp;" them an email explaining my decision with a double compliant as an attachment of what I send them the next day in registered letter with reception notice. So Friday 17 shipments of all this in AR. Answer on Saturday 18 on their share apologizing and expl"&amp;"aining computer concerns and asking to confirm my decision on the finalization of the contract. Answer in stride with the copy of the letter, no response from them again, relaunches the same evening. Tuesday 21 response from them telling me that he did no"&amp;"t receive the letter AR while on the La Poste website it was given on Monday 20 and saying that he could not open the attachment and asking me for the dismissal to the PDF. Answer in the process with a still attached the copy of the letter this time in PD"&amp;"F. Tuesday no response from them and receipt of the acknowledgment of receipt of the Post Gased on the 20th with Active Insurance buffer. For two other email sent with the same copy in an attachment plus the scan of the acknowledgment of receipt. No news "&amp;"since yesterday. Now let's talk about the surcharged number it is clearly indicated on their sites and my bank practices the same thing but not at this exorbitant rate. 0.80 per minute that is 48 euros per hour, it is morally and deontologically limited i"&amp;"n my opinion. Now let's talk about the withdrawal fees is this legal? I don't really know I will find out. To be quite honest they are indeed indicated on the initial quote but since the departure advisor insists heavily to have the first regulation in CB"&amp;" we are tempted to read it only after seeing since she sends her Live on the phone at the same time as it requests payment. In addition, the still 60 euros plus 20 euros in file fees seem to me morally. I advise extreme vigilance and for my part hope to b"&amp;"e reimbursed one day after my withdrawal within 14 legal days.")</f>
        <v>Customer 276463. First positive contact by phone on Friday November 10, 2017, friendly advisor and very specific questions, suitable explanations, quote compliant at the price announced on the phone. Documents sent the same evening and confirmation request email sent on Monday, November 13, 2017. Answers from their fast share in two hours and another in the evening accusing good reception of the documents sent in attachments and explaining to wait for the confirmation of termination of my former assurance. Call the next day to my ex insurance who confirms they sent them confirmation. After reading the negative opinions on the net I decide their envoy on Tuesday 14 with more extensive requests, especially if the only documents requested. From the whole is not complicated by answers, revived on Wednesday 15, no answers. On Thursday 16 I decided to make a quote from another insurer for safety. This one offers me better prices and as no active insurance response on Thursday evening I decide to retract. I send them an email explaining my decision with a double compliant as an attachment of what I send them the next day in registered letter with reception notice. So Friday 17 shipments of all this in AR. Answer on Saturday 18 on their share apologizing and explaining computer concerns and asking to confirm my decision on the finalization of the contract. Answer in stride with the copy of the letter, no response from them again, relaunches the same evening. Tuesday 21 response from them telling me that he did not receive the letter AR while on the La Poste website it was given on Monday 20 and saying that he could not open the attachment and asking me for the dismissal to the PDF. Answer in the process with a still attached the copy of the letter this time in PDF. Tuesday no response from them and receipt of the acknowledgment of receipt of the Post Gased on the 20th with Active Insurance buffer. For two other email sent with the same copy in an attachment plus the scan of the acknowledgment of receipt. No news since yesterday. Now let's talk about the surcharged number it is clearly indicated on their sites and my bank practices the same thing but not at this exorbitant rate. 0.80 per minute that is 48 euros per hour, it is morally and deontologically limited in my opinion. Now let's talk about the withdrawal fees is this legal? I don't really know I will find out. To be quite honest they are indeed indicated on the initial quote but since the departure advisor insists heavily to have the first regulation in CB we are tempted to read it only after seeing since she sends her Live on the phone at the same time as it requests payment. In addition, the still 60 euros plus 20 euros in file fees seem to me morally. I advise extreme vigilance and for my part hope to be reimbursed one day after my withdrawal within 14 legal days.</v>
      </c>
    </row>
    <row r="324" ht="15.75" customHeight="1">
      <c r="A324" s="3">
        <v>5.0</v>
      </c>
      <c r="B324" s="3" t="s">
        <v>1006</v>
      </c>
      <c r="C324" s="3" t="s">
        <v>1007</v>
      </c>
      <c r="D324" s="3" t="s">
        <v>37</v>
      </c>
      <c r="E324" s="3" t="s">
        <v>27</v>
      </c>
      <c r="F324" s="3" t="s">
        <v>15</v>
      </c>
      <c r="G324" s="3" t="s">
        <v>1008</v>
      </c>
      <c r="H324" s="3" t="s">
        <v>513</v>
      </c>
      <c r="I324" s="3" t="str">
        <f>IFERROR(__xludf.DUMMYFUNCTION("GOOGLETRANSLATE(C324,""fr"",""en"")"),"Service that quickly answers the phone and pleasantly.")</f>
        <v>Service that quickly answers the phone and pleasantly.</v>
      </c>
    </row>
    <row r="325" ht="15.75" customHeight="1">
      <c r="A325" s="3">
        <v>4.0</v>
      </c>
      <c r="B325" s="3" t="s">
        <v>1009</v>
      </c>
      <c r="C325" s="3" t="s">
        <v>1010</v>
      </c>
      <c r="D325" s="3" t="s">
        <v>37</v>
      </c>
      <c r="E325" s="3" t="s">
        <v>27</v>
      </c>
      <c r="F325" s="3" t="s">
        <v>15</v>
      </c>
      <c r="G325" s="3" t="s">
        <v>1011</v>
      </c>
      <c r="H325" s="3" t="s">
        <v>23</v>
      </c>
      <c r="I325" s="3" t="str">
        <f>IFERROR(__xludf.DUMMYFUNCTION("GOOGLETRANSLATE(C325,""fr"",""en"")"),"Satisfactory with regard to the thin services provided in relation to the price offered but I believe that it is the same problem with all the insurance")</f>
        <v>Satisfactory with regard to the thin services provided in relation to the price offered but I believe that it is the same problem with all the insurance</v>
      </c>
    </row>
    <row r="326" ht="15.75" customHeight="1">
      <c r="A326" s="3">
        <v>3.0</v>
      </c>
      <c r="B326" s="3" t="s">
        <v>1012</v>
      </c>
      <c r="C326" s="3" t="s">
        <v>1013</v>
      </c>
      <c r="D326" s="3" t="s">
        <v>80</v>
      </c>
      <c r="E326" s="3" t="s">
        <v>81</v>
      </c>
      <c r="F326" s="3" t="s">
        <v>15</v>
      </c>
      <c r="G326" s="3" t="s">
        <v>523</v>
      </c>
      <c r="H326" s="3" t="s">
        <v>50</v>
      </c>
      <c r="I326" s="3" t="str">
        <f>IFERROR(__xludf.DUMMYFUNCTION("GOOGLETRANSLATE(C326,""fr"",""en"")"),"I am completely satisfied at the moment of the service and the information that the advisers have been able to bring me.
Simple, fast, efficient and attentive")</f>
        <v>I am completely satisfied at the moment of the service and the information that the advisers have been able to bring me.
Simple, fast, efficient and attentive</v>
      </c>
    </row>
    <row r="327" ht="15.75" customHeight="1">
      <c r="A327" s="3">
        <v>1.0</v>
      </c>
      <c r="B327" s="3" t="s">
        <v>1014</v>
      </c>
      <c r="C327" s="3" t="s">
        <v>1015</v>
      </c>
      <c r="D327" s="3" t="s">
        <v>53</v>
      </c>
      <c r="E327" s="3" t="s">
        <v>76</v>
      </c>
      <c r="F327" s="3" t="s">
        <v>15</v>
      </c>
      <c r="G327" s="3" t="s">
        <v>986</v>
      </c>
      <c r="H327" s="3" t="s">
        <v>183</v>
      </c>
      <c r="I327" s="3" t="str">
        <f>IFERROR(__xludf.DUMMYFUNCTION("GOOGLETRANSLATE(C327,""fr"",""en"")"),"Company not reliable. I have a damage file of waters which dates from almost 2 years and still not resolved because they do everything not to reimburse me, he seeks all the excuses not to do so so how to trust this kind of business ?? ? I have also termin"&amp;"ated 2 of my contracts and I have one left that I will soon be terminated and I am not talking to you about non -existent and arrogant customer service, it must be said that the platforms are found The foreigner and difficult to make themselves understood"&amp;" with people who have difficulty expressing themselves in French. In short in any case I strongly advise against this insurance company. FYI I found cheaper for the same guarantees.")</f>
        <v>Company not reliable. I have a damage file of waters which dates from almost 2 years and still not resolved because they do everything not to reimburse me, he seeks all the excuses not to do so so how to trust this kind of business ?? ? I have also terminated 2 of my contracts and I have one left that I will soon be terminated and I am not talking to you about non -existent and arrogant customer service, it must be said that the platforms are found The foreigner and difficult to make themselves understood with people who have difficulty expressing themselves in French. In short in any case I strongly advise against this insurance company. FYI I found cheaper for the same guarantees.</v>
      </c>
    </row>
    <row r="328" ht="15.75" customHeight="1">
      <c r="A328" s="3">
        <v>5.0</v>
      </c>
      <c r="B328" s="3" t="s">
        <v>1016</v>
      </c>
      <c r="C328" s="3" t="s">
        <v>1017</v>
      </c>
      <c r="D328" s="3" t="s">
        <v>37</v>
      </c>
      <c r="E328" s="3" t="s">
        <v>27</v>
      </c>
      <c r="F328" s="3" t="s">
        <v>15</v>
      </c>
      <c r="G328" s="3" t="s">
        <v>1018</v>
      </c>
      <c r="H328" s="3" t="s">
        <v>50</v>
      </c>
      <c r="I328" s="3" t="str">
        <f>IFERROR(__xludf.DUMMYFUNCTION("GOOGLETRANSLATE(C328,""fr"",""en"")"),"Quick and easy subscription, very attractive rates for a young driver. The services offered are also interesting. I strongly recommend.")</f>
        <v>Quick and easy subscription, very attractive rates for a young driver. The services offered are also interesting. I strongly recommend.</v>
      </c>
    </row>
    <row r="329" ht="15.75" customHeight="1">
      <c r="A329" s="3">
        <v>3.0</v>
      </c>
      <c r="B329" s="3" t="s">
        <v>1019</v>
      </c>
      <c r="C329" s="3" t="s">
        <v>1020</v>
      </c>
      <c r="D329" s="3" t="s">
        <v>61</v>
      </c>
      <c r="E329" s="3" t="s">
        <v>14</v>
      </c>
      <c r="F329" s="3" t="s">
        <v>15</v>
      </c>
      <c r="G329" s="3" t="s">
        <v>1021</v>
      </c>
      <c r="H329" s="3" t="s">
        <v>1022</v>
      </c>
      <c r="I329" s="3" t="str">
        <f>IFERROR(__xludf.DUMMYFUNCTION("GOOGLETRANSLATE(C329,""fr"",""en"")"),"I don't understand the comments below; Santiane and a broker and not an insurer !!")</f>
        <v>I don't understand the comments below; Santiane and a broker and not an insurer !!</v>
      </c>
    </row>
    <row r="330" ht="15.75" customHeight="1">
      <c r="A330" s="3">
        <v>1.0</v>
      </c>
      <c r="B330" s="3" t="s">
        <v>1023</v>
      </c>
      <c r="C330" s="3" t="s">
        <v>1024</v>
      </c>
      <c r="D330" s="3" t="s">
        <v>53</v>
      </c>
      <c r="E330" s="3" t="s">
        <v>27</v>
      </c>
      <c r="F330" s="3" t="s">
        <v>15</v>
      </c>
      <c r="G330" s="3" t="s">
        <v>1025</v>
      </c>
      <c r="H330" s="3" t="s">
        <v>69</v>
      </c>
      <c r="I330" s="3" t="str">
        <f>IFERROR(__xludf.DUMMYFUNCTION("GOOGLETRANSLATE(C330,""fr"",""en"")"),"Am very surprised that positive comments are absent from page 1 to 26 ... After there is a majority of negative comments and they all have their avatar. We could doubt the latest comments, while their advertising campaign has resumed TV. For my part, bad "&amp;"experience. 1st discount year, 2nd year stored, 3rd year you pay the high price!")</f>
        <v>Am very surprised that positive comments are absent from page 1 to 26 ... After there is a majority of negative comments and they all have their avatar. We could doubt the latest comments, while their advertising campaign has resumed TV. For my part, bad experience. 1st discount year, 2nd year stored, 3rd year you pay the high price!</v>
      </c>
    </row>
    <row r="331" ht="15.75" customHeight="1">
      <c r="A331" s="3">
        <v>3.0</v>
      </c>
      <c r="B331" s="3" t="s">
        <v>1026</v>
      </c>
      <c r="C331" s="3" t="s">
        <v>1027</v>
      </c>
      <c r="D331" s="3" t="s">
        <v>37</v>
      </c>
      <c r="E331" s="3" t="s">
        <v>27</v>
      </c>
      <c r="F331" s="3" t="s">
        <v>15</v>
      </c>
      <c r="G331" s="3" t="s">
        <v>1028</v>
      </c>
      <c r="H331" s="3" t="s">
        <v>50</v>
      </c>
      <c r="I331" s="3" t="str">
        <f>IFERROR(__xludf.DUMMYFUNCTION("GOOGLETRANSLATE(C331,""fr"",""en"")"),"I am satisfied ; The prices suit me; I await my new fefinitive green card; And so as agreed the samples are monthly payment I hope!")</f>
        <v>I am satisfied ; The prices suit me; I await my new fefinitive green card; And so as agreed the samples are monthly payment I hope!</v>
      </c>
    </row>
    <row r="332" ht="15.75" customHeight="1">
      <c r="A332" s="3">
        <v>3.0</v>
      </c>
      <c r="B332" s="3" t="s">
        <v>1029</v>
      </c>
      <c r="C332" s="3" t="s">
        <v>1030</v>
      </c>
      <c r="D332" s="3" t="s">
        <v>37</v>
      </c>
      <c r="E332" s="3" t="s">
        <v>27</v>
      </c>
      <c r="F332" s="3" t="s">
        <v>15</v>
      </c>
      <c r="G332" s="3" t="s">
        <v>396</v>
      </c>
      <c r="H332" s="3" t="s">
        <v>29</v>
      </c>
      <c r="I332" s="3" t="str">
        <f>IFERROR(__xludf.DUMMYFUNCTION("GOOGLETRANSLATE(C332,""fr"",""en"")"),"I am satisfied with the customer service who quickly contacted me in order to finalize my insurance contract by phone, I am nevertheless a little on the reserve because the advisor on the phone announced to me 37 €/ month while reading of the contract the"&amp;"re is a question of € 42/month.")</f>
        <v>I am satisfied with the customer service who quickly contacted me in order to finalize my insurance contract by phone, I am nevertheless a little on the reserve because the advisor on the phone announced to me 37 €/ month while reading of the contract there is a question of € 42/month.</v>
      </c>
    </row>
    <row r="333" ht="15.75" customHeight="1">
      <c r="A333" s="3">
        <v>5.0</v>
      </c>
      <c r="B333" s="3" t="s">
        <v>1031</v>
      </c>
      <c r="C333" s="3" t="s">
        <v>1032</v>
      </c>
      <c r="D333" s="3" t="s">
        <v>37</v>
      </c>
      <c r="E333" s="3" t="s">
        <v>27</v>
      </c>
      <c r="F333" s="3" t="s">
        <v>15</v>
      </c>
      <c r="G333" s="3" t="s">
        <v>233</v>
      </c>
      <c r="H333" s="3" t="s">
        <v>17</v>
      </c>
      <c r="I333" s="3" t="str">
        <f>IFERROR(__xludf.DUMMYFUNCTION("GOOGLETRANSLATE(C333,""fr"",""en"")"),"Satisfied with the prices offered being a former customer I have always had good relations with the olive assurance and level reactivity at the top
Cdlt")</f>
        <v>Satisfied with the prices offered being a former customer I have always had good relations with the olive assurance and level reactivity at the top
Cdlt</v>
      </c>
    </row>
    <row r="334" ht="15.75" customHeight="1">
      <c r="A334" s="3">
        <v>2.0</v>
      </c>
      <c r="B334" s="3" t="s">
        <v>1033</v>
      </c>
      <c r="C334" s="3" t="s">
        <v>1034</v>
      </c>
      <c r="D334" s="3" t="s">
        <v>85</v>
      </c>
      <c r="E334" s="3" t="s">
        <v>27</v>
      </c>
      <c r="F334" s="3" t="s">
        <v>15</v>
      </c>
      <c r="G334" s="3" t="s">
        <v>1035</v>
      </c>
      <c r="H334" s="3" t="s">
        <v>520</v>
      </c>
      <c r="I334" s="3" t="str">
        <f>IFERROR(__xludf.DUMMYFUNCTION("GOOGLETRANSLATE(C334,""fr"",""en"")"),"Customer at home for 1 and a half years I wanted to make an insurance transfer to my new vehicle and amazement I learn that its impossible because with them they do not transfer an insurance from one vehicle to another 1st time that I see its by by by an "&amp;"insurance alone solution that they offer to terminate my current insurance to take out a new one in the name of my new vehicle and of course they ask me for a payment of 2 months of contribution since its one New contract I find his shameful knowing that "&amp;"I always pay my receipt in time never a delay and that I wanted to ensure a 2nd vehicle with them soon not even a commercial or other gesture and I find it absurd to have to terminate a contract And to take out a new just for a lamentable and incompetent "&amp;"insurance transfer is what summarizes this insurance company")</f>
        <v>Customer at home for 1 and a half years I wanted to make an insurance transfer to my new vehicle and amazement I learn that its impossible because with them they do not transfer an insurance from one vehicle to another 1st time that I see its by by by an insurance alone solution that they offer to terminate my current insurance to take out a new one in the name of my new vehicle and of course they ask me for a payment of 2 months of contribution since its one New contract I find his shameful knowing that I always pay my receipt in time never a delay and that I wanted to ensure a 2nd vehicle with them soon not even a commercial or other gesture and I find it absurd to have to terminate a contract And to take out a new just for a lamentable and incompetent insurance transfer is what summarizes this insurance company</v>
      </c>
    </row>
    <row r="335" ht="15.75" customHeight="1">
      <c r="A335" s="3">
        <v>1.0</v>
      </c>
      <c r="B335" s="3" t="s">
        <v>462</v>
      </c>
      <c r="C335" s="3" t="s">
        <v>1036</v>
      </c>
      <c r="D335" s="3" t="s">
        <v>131</v>
      </c>
      <c r="E335" s="3" t="s">
        <v>76</v>
      </c>
      <c r="F335" s="3" t="s">
        <v>15</v>
      </c>
      <c r="G335" s="3" t="s">
        <v>1037</v>
      </c>
      <c r="H335" s="3" t="s">
        <v>195</v>
      </c>
      <c r="I335" s="3" t="str">
        <f>IFERROR(__xludf.DUMMYFUNCTION("GOOGLETRANSLATE(C335,""fr"",""en"")"),"Everything is fine until they are asked for anything. After 18 years without incident and following a move on another place while keeping the house for which we were insured because owners, the Matmut terminated the contract because we had not returned th"&amp;"e annex to modify the responsibility civil and although we paid for the contribution.")</f>
        <v>Everything is fine until they are asked for anything. After 18 years without incident and following a move on another place while keeping the house for which we were insured because owners, the Matmut terminated the contract because we had not returned the annex to modify the responsibility civil and although we paid for the contribution.</v>
      </c>
    </row>
    <row r="336" ht="15.75" customHeight="1">
      <c r="A336" s="3">
        <v>2.0</v>
      </c>
      <c r="B336" s="3" t="s">
        <v>1038</v>
      </c>
      <c r="C336" s="3" t="s">
        <v>1039</v>
      </c>
      <c r="D336" s="3" t="s">
        <v>628</v>
      </c>
      <c r="E336" s="3" t="s">
        <v>21</v>
      </c>
      <c r="F336" s="3" t="s">
        <v>15</v>
      </c>
      <c r="G336" s="3" t="s">
        <v>1040</v>
      </c>
      <c r="H336" s="3" t="s">
        <v>964</v>
      </c>
      <c r="I336" s="3" t="str">
        <f>IFERROR(__xludf.DUMMYFUNCTION("GOOGLETRANSLATE(C336,""fr"",""en"")"),"My mom died on 11/27/16, we are 08/08/18 and the file is still being processed. We are asked and asked for documents already sent and well received by return email. Then more than a year later we are asked for papers, never asked until today. I've been fi"&amp;"ghting with you for more than a year without being able to contact you, explain to me how I can mourn in this situation, or not always go back.
Your incompetence is such that when you are sent to a three -page PDF file you are not able to parade this one"&amp;" and so you want again a already received paper.
Anyway, I could continue for a long time like that
I remain there")</f>
        <v>My mom died on 11/27/16, we are 08/08/18 and the file is still being processed. We are asked and asked for documents already sent and well received by return email. Then more than a year later we are asked for papers, never asked until today. I've been fighting with you for more than a year without being able to contact you, explain to me how I can mourn in this situation, or not always go back.
Your incompetence is such that when you are sent to a three -page PDF file you are not able to parade this one and so you want again a already received paper.
Anyway, I could continue for a long time like that
I remain there</v>
      </c>
    </row>
    <row r="337" ht="15.75" customHeight="1">
      <c r="A337" s="3">
        <v>5.0</v>
      </c>
      <c r="B337" s="3" t="s">
        <v>1041</v>
      </c>
      <c r="C337" s="3" t="s">
        <v>1042</v>
      </c>
      <c r="D337" s="3" t="s">
        <v>53</v>
      </c>
      <c r="E337" s="3" t="s">
        <v>27</v>
      </c>
      <c r="F337" s="3" t="s">
        <v>15</v>
      </c>
      <c r="G337" s="3" t="s">
        <v>799</v>
      </c>
      <c r="H337" s="3" t="s">
        <v>99</v>
      </c>
      <c r="I337" s="3" t="str">
        <f>IFERROR(__xludf.DUMMYFUNCTION("GOOGLETRANSLATE(C337,""fr"",""en"")"),"I am satisfied with the price of the proposed formula.
For the maximum third formula
Thanking you and doing business with you see you soon
Thank you Best regards")</f>
        <v>I am satisfied with the price of the proposed formula.
For the maximum third formula
Thanking you and doing business with you see you soon
Thank you Best regards</v>
      </c>
    </row>
    <row r="338" ht="15.75" customHeight="1">
      <c r="A338" s="3">
        <v>5.0</v>
      </c>
      <c r="B338" s="3" t="s">
        <v>1043</v>
      </c>
      <c r="C338" s="3" t="s">
        <v>1044</v>
      </c>
      <c r="D338" s="3" t="s">
        <v>53</v>
      </c>
      <c r="E338" s="3" t="s">
        <v>27</v>
      </c>
      <c r="F338" s="3" t="s">
        <v>15</v>
      </c>
      <c r="G338" s="3" t="s">
        <v>452</v>
      </c>
      <c r="H338" s="3" t="s">
        <v>29</v>
      </c>
      <c r="I338" s="3" t="str">
        <f>IFERROR(__xludf.DUMMYFUNCTION("GOOGLETRANSLATE(C338,""fr"",""en"")"),"Very fast and efficiency.
Thank you
I will offer other friends too because you are the best
Thank you once again and good luck and cordially")</f>
        <v>Very fast and efficiency.
Thank you
I will offer other friends too because you are the best
Thank you once again and good luck and cordially</v>
      </c>
    </row>
    <row r="339" ht="15.75" customHeight="1">
      <c r="A339" s="3">
        <v>5.0</v>
      </c>
      <c r="B339" s="3" t="s">
        <v>1045</v>
      </c>
      <c r="C339" s="3" t="s">
        <v>1046</v>
      </c>
      <c r="D339" s="3" t="s">
        <v>37</v>
      </c>
      <c r="E339" s="3" t="s">
        <v>27</v>
      </c>
      <c r="F339" s="3" t="s">
        <v>15</v>
      </c>
      <c r="G339" s="3" t="s">
        <v>1047</v>
      </c>
      <c r="H339" s="3" t="s">
        <v>50</v>
      </c>
      <c r="I339" s="3" t="str">
        <f>IFERROR(__xludf.DUMMYFUNCTION("GOOGLETRANSLATE(C339,""fr"",""en"")"),"I found the service fast, efficient and suitable.
I received a very good welcome and personalized advice.
I am completely satisfied with the conditions.")</f>
        <v>I found the service fast, efficient and suitable.
I received a very good welcome and personalized advice.
I am completely satisfied with the conditions.</v>
      </c>
    </row>
    <row r="340" ht="15.75" customHeight="1">
      <c r="A340" s="3">
        <v>1.0</v>
      </c>
      <c r="B340" s="3" t="s">
        <v>1048</v>
      </c>
      <c r="C340" s="3" t="s">
        <v>1049</v>
      </c>
      <c r="D340" s="3" t="s">
        <v>306</v>
      </c>
      <c r="E340" s="3" t="s">
        <v>109</v>
      </c>
      <c r="F340" s="3" t="s">
        <v>15</v>
      </c>
      <c r="G340" s="3" t="s">
        <v>866</v>
      </c>
      <c r="H340" s="3" t="s">
        <v>266</v>
      </c>
      <c r="I340" s="3" t="str">
        <f>IFERROR(__xludf.DUMMYFUNCTION("GOOGLETRANSLATE(C340,""fr"",""en"")"),"Thanks to the advice of the AFER agent, out of 10,650 euros placed in 16 years there are only 6500th on the account
Dry loss of more than 4500th in less than 6 years
Never make withdrawal or advance with this account, because you will pay 3 times more c"&amp;"osts than on a loan for the same amount, just to have your own money")</f>
        <v>Thanks to the advice of the AFER agent, out of 10,650 euros placed in 16 years there are only 6500th on the account
Dry loss of more than 4500th in less than 6 years
Never make withdrawal or advance with this account, because you will pay 3 times more costs than on a loan for the same amount, just to have your own money</v>
      </c>
    </row>
    <row r="341" ht="15.75" customHeight="1">
      <c r="A341" s="3">
        <v>5.0</v>
      </c>
      <c r="B341" s="3" t="s">
        <v>1050</v>
      </c>
      <c r="C341" s="3" t="s">
        <v>1051</v>
      </c>
      <c r="D341" s="3" t="s">
        <v>153</v>
      </c>
      <c r="E341" s="3" t="s">
        <v>81</v>
      </c>
      <c r="F341" s="3" t="s">
        <v>15</v>
      </c>
      <c r="G341" s="3" t="s">
        <v>1052</v>
      </c>
      <c r="H341" s="3" t="s">
        <v>139</v>
      </c>
      <c r="I341" s="3" t="str">
        <f>IFERROR(__xludf.DUMMYFUNCTION("GOOGLETRANSLATE(C341,""fr"",""en"")"),"I have several vehicles insured and I never had to complain. Now if certain does not understand that during the covid everything is in a standstill. Go to a motorcycle dealer during the COVVID, do you have seen open dealerships. So we should think.")</f>
        <v>I have several vehicles insured and I never had to complain. Now if certain does not understand that during the covid everything is in a standstill. Go to a motorcycle dealer during the COVVID, do you have seen open dealerships. So we should think.</v>
      </c>
    </row>
    <row r="342" ht="15.75" customHeight="1">
      <c r="A342" s="3">
        <v>5.0</v>
      </c>
      <c r="B342" s="3" t="s">
        <v>1053</v>
      </c>
      <c r="C342" s="3" t="s">
        <v>1054</v>
      </c>
      <c r="D342" s="3" t="s">
        <v>53</v>
      </c>
      <c r="E342" s="3" t="s">
        <v>27</v>
      </c>
      <c r="F342" s="3" t="s">
        <v>15</v>
      </c>
      <c r="G342" s="3" t="s">
        <v>370</v>
      </c>
      <c r="H342" s="3" t="s">
        <v>58</v>
      </c>
      <c r="I342" s="3" t="str">
        <f>IFERROR(__xludf.DUMMYFUNCTION("GOOGLETRANSLATE(C342,""fr"",""en"")"),"I am satisfied with the value for money. For a first insurance I am satisfied with the prices and services offered by Direct Insurance. Thanks to them.")</f>
        <v>I am satisfied with the value for money. For a first insurance I am satisfied with the prices and services offered by Direct Insurance. Thanks to them.</v>
      </c>
    </row>
    <row r="343" ht="15.75" customHeight="1">
      <c r="A343" s="3">
        <v>3.0</v>
      </c>
      <c r="B343" s="3" t="s">
        <v>1055</v>
      </c>
      <c r="C343" s="3" t="s">
        <v>1056</v>
      </c>
      <c r="D343" s="3" t="s">
        <v>37</v>
      </c>
      <c r="E343" s="3" t="s">
        <v>27</v>
      </c>
      <c r="F343" s="3" t="s">
        <v>15</v>
      </c>
      <c r="G343" s="3" t="s">
        <v>1057</v>
      </c>
      <c r="H343" s="3" t="s">
        <v>72</v>
      </c>
      <c r="I343" s="3" t="str">
        <f>IFERROR(__xludf.DUMMYFUNCTION("GOOGLETRANSLATE(C343,""fr"",""en"")"),"For the moment the subscription and the customer service is impeccable, no one has to do to you in the loss.
The prices remain high I find in relation to the market")</f>
        <v>For the moment the subscription and the customer service is impeccable, no one has to do to you in the loss.
The prices remain high I find in relation to the market</v>
      </c>
    </row>
    <row r="344" ht="15.75" customHeight="1">
      <c r="A344" s="3">
        <v>1.0</v>
      </c>
      <c r="B344" s="3" t="s">
        <v>1058</v>
      </c>
      <c r="C344" s="3" t="s">
        <v>1059</v>
      </c>
      <c r="D344" s="3" t="s">
        <v>1060</v>
      </c>
      <c r="E344" s="3" t="s">
        <v>805</v>
      </c>
      <c r="F344" s="3" t="s">
        <v>15</v>
      </c>
      <c r="G344" s="3" t="s">
        <v>1061</v>
      </c>
      <c r="H344" s="3" t="s">
        <v>486</v>
      </c>
      <c r="I344" s="3" t="str">
        <f>IFERROR(__xludf.DUMMYFUNCTION("GOOGLETRANSLATE(C344,""fr"",""en"")"),"Automatic increase in contributions ... I quote ""article 9.2 of the general conditions specifies that the evolution of contributions is done automatically during each annual renewal according to the age of the insured animal: 5% until At 5 years, 8% up t"&amp;"o 8 years and 10% beyond. """)</f>
        <v>Automatic increase in contributions ... I quote "article 9.2 of the general conditions specifies that the evolution of contributions is done automatically during each annual renewal according to the age of the insured animal: 5% until At 5 years, 8% up to 8 years and 10% beyond. "</v>
      </c>
    </row>
    <row r="345" ht="15.75" customHeight="1">
      <c r="A345" s="3">
        <v>4.0</v>
      </c>
      <c r="B345" s="3" t="s">
        <v>1062</v>
      </c>
      <c r="C345" s="3" t="s">
        <v>1063</v>
      </c>
      <c r="D345" s="3" t="s">
        <v>53</v>
      </c>
      <c r="E345" s="3" t="s">
        <v>27</v>
      </c>
      <c r="F345" s="3" t="s">
        <v>15</v>
      </c>
      <c r="G345" s="3" t="s">
        <v>298</v>
      </c>
      <c r="H345" s="3" t="s">
        <v>58</v>
      </c>
      <c r="I345" s="3" t="str">
        <f>IFERROR(__xludf.DUMMYFUNCTION("GOOGLETRANSLATE(C345,""fr"",""en"")"),"I find that I pay too much, having never had an accident, since I am at home, I think a bonus deserved. Waiting for a response accept my greetings")</f>
        <v>I find that I pay too much, having never had an accident, since I am at home, I think a bonus deserved. Waiting for a response accept my greetings</v>
      </c>
    </row>
    <row r="346" ht="15.75" customHeight="1">
      <c r="A346" s="3">
        <v>3.0</v>
      </c>
      <c r="B346" s="3" t="s">
        <v>1064</v>
      </c>
      <c r="C346" s="3" t="s">
        <v>1065</v>
      </c>
      <c r="D346" s="3" t="s">
        <v>26</v>
      </c>
      <c r="E346" s="3" t="s">
        <v>27</v>
      </c>
      <c r="F346" s="3" t="s">
        <v>15</v>
      </c>
      <c r="G346" s="3" t="s">
        <v>99</v>
      </c>
      <c r="H346" s="3" t="s">
        <v>99</v>
      </c>
      <c r="I346" s="3" t="str">
        <f>IFERROR(__xludf.DUMMYFUNCTION("GOOGLETRANSLATE(C346,""fr"",""en"")"),"Following a water damage 1 year ago, a lot of too heavy steps and so far no response from you or the lessor despite reminder letters many times.")</f>
        <v>Following a water damage 1 year ago, a lot of too heavy steps and so far no response from you or the lessor despite reminder letters many times.</v>
      </c>
    </row>
    <row r="347" ht="15.75" customHeight="1">
      <c r="A347" s="3">
        <v>2.0</v>
      </c>
      <c r="B347" s="3" t="s">
        <v>1066</v>
      </c>
      <c r="C347" s="3" t="s">
        <v>1067</v>
      </c>
      <c r="D347" s="3" t="s">
        <v>26</v>
      </c>
      <c r="E347" s="3" t="s">
        <v>27</v>
      </c>
      <c r="F347" s="3" t="s">
        <v>15</v>
      </c>
      <c r="G347" s="3" t="s">
        <v>1068</v>
      </c>
      <c r="H347" s="3" t="s">
        <v>111</v>
      </c>
      <c r="I347" s="3" t="str">
        <f>IFERROR(__xludf.DUMMYFUNCTION("GOOGLETRANSLATE(C347,""fr"",""en"")"),"Latable claims management, an uninsured vehicle loan following the immobilization of my own vehicle which is found vandalized due to request for expertise of this said insurance. No possible appeal. Inhuman insurance, not respectful of his members who onl"&amp;"y thinks of his profits before the rest ... Certainly human, it sounds so hollow.")</f>
        <v>Latable claims management, an uninsured vehicle loan following the immobilization of my own vehicle which is found vandalized due to request for expertise of this said insurance. No possible appeal. Inhuman insurance, not respectful of his members who only thinks of his profits before the rest ... Certainly human, it sounds so hollow.</v>
      </c>
    </row>
    <row r="348" ht="15.75" customHeight="1">
      <c r="A348" s="3">
        <v>1.0</v>
      </c>
      <c r="B348" s="3" t="s">
        <v>1069</v>
      </c>
      <c r="C348" s="3" t="s">
        <v>1070</v>
      </c>
      <c r="D348" s="3" t="s">
        <v>85</v>
      </c>
      <c r="E348" s="3" t="s">
        <v>27</v>
      </c>
      <c r="F348" s="3" t="s">
        <v>15</v>
      </c>
      <c r="G348" s="3" t="s">
        <v>1071</v>
      </c>
      <c r="H348" s="3" t="s">
        <v>431</v>
      </c>
      <c r="I348" s="3" t="str">
        <f>IFERROR(__xludf.DUMMYFUNCTION("GOOGLETRANSLATE(C348,""fr"",""en"")"),"After being insured at home for a year, I called them for their press release a new address, and at the same time paid for the next 6 months 282 euros ... I therefore made my change of address by such and paid my 6 months by bank card. My 6 months having "&amp;"passed and not receiving any email on their part for my future payment I therefore called them saying that I had not received any email from them reminding me that it was time to pay. 'was normal because I was resilled !!!! Without mail or email from them"&amp;" .... asking for more details, I learn that I was terminated because I had not paid 7 euros 71 for change of address !!! They terminated me 5 weeks after having paid the six months !!!! I received no email, no letter asking me these 7.71 euros ... no mail"&amp;" or email telling me about my termination ... I have led for months thinking to be insured !!!! Tomorrow I have a legal appointment for a complaint in danger.")</f>
        <v>After being insured at home for a year, I called them for their press release a new address, and at the same time paid for the next 6 months 282 euros ... I therefore made my change of address by such and paid my 6 months by bank card. My 6 months having passed and not receiving any email on their part for my future payment I therefore called them saying that I had not received any email from them reminding me that it was time to pay. 'was normal because I was resilled !!!! Without mail or email from them .... asking for more details, I learn that I was terminated because I had not paid 7 euros 71 for change of address !!! They terminated me 5 weeks after having paid the six months !!!! I received no email, no letter asking me these 7.71 euros ... no mail or email telling me about my termination ... I have led for months thinking to be insured !!!! Tomorrow I have a legal appointment for a complaint in danger.</v>
      </c>
    </row>
    <row r="349" ht="15.75" customHeight="1">
      <c r="A349" s="3">
        <v>1.0</v>
      </c>
      <c r="B349" s="3" t="s">
        <v>1072</v>
      </c>
      <c r="C349" s="3" t="s">
        <v>1073</v>
      </c>
      <c r="D349" s="3" t="s">
        <v>37</v>
      </c>
      <c r="E349" s="3" t="s">
        <v>27</v>
      </c>
      <c r="F349" s="3" t="s">
        <v>15</v>
      </c>
      <c r="G349" s="3" t="s">
        <v>571</v>
      </c>
      <c r="H349" s="3" t="s">
        <v>58</v>
      </c>
      <c r="I349" s="3" t="str">
        <f>IFERROR(__xludf.DUMMYFUNCTION("GOOGLETRANSLATE(C349,""fr"",""en"")"),"Please always record your telephone interactions as a precaution with them. It is extremely important.
My vehicle was damaged by a third party, it was found guilty in the eyes of justice.
It's been a year, now I have never been reimbursed, the olive t"&amp;"ree asks me to see directly with third party insurance so do their work and use fallacious pretexts not to assume its responsibilities. Neither third party insurance, nor justice, nor me, let's understand why the olive tree does not do its job.")</f>
        <v>Please always record your telephone interactions as a precaution with them. It is extremely important.
My vehicle was damaged by a third party, it was found guilty in the eyes of justice.
It's been a year, now I have never been reimbursed, the olive tree asks me to see directly with third party insurance so do their work and use fallacious pretexts not to assume its responsibilities. Neither third party insurance, nor justice, nor me, let's understand why the olive tree does not do its job.</v>
      </c>
    </row>
    <row r="350" ht="15.75" customHeight="1">
      <c r="A350" s="3">
        <v>1.0</v>
      </c>
      <c r="B350" s="3" t="s">
        <v>1074</v>
      </c>
      <c r="C350" s="3" t="s">
        <v>1075</v>
      </c>
      <c r="D350" s="3" t="s">
        <v>131</v>
      </c>
      <c r="E350" s="3" t="s">
        <v>27</v>
      </c>
      <c r="F350" s="3" t="s">
        <v>15</v>
      </c>
      <c r="G350" s="3" t="s">
        <v>1076</v>
      </c>
      <c r="H350" s="3" t="s">
        <v>183</v>
      </c>
      <c r="I350" s="3" t="str">
        <f>IFERROR(__xludf.DUMMYFUNCTION("GOOGLETRANSLATE(C350,""fr"",""en"")"),"Insured at the Matmut for over 10 years without any claim. On the 1st hanging (a bus stamped my rear bumper while I was at the stop), the Matmut judges me responsible 50 percent. Following my protest wrath in the sinister service, the latter contacts me a"&amp;"nd camps on his positions on the pretext that the driver of the bus checked the box: doubled, and not: changed the line. Result of the races: half of the franchise is my charge and malus of 50 per 100 for next year! My own insurance attributes a responsib"&amp;"ility to me in a disaster of which I am the victim. Is the objective to increase contributions for the following year under a fallacious pretext? I very seriously plan to terminate all my contracts at the Matmut (cars, housing, etc.)")</f>
        <v>Insured at the Matmut for over 10 years without any claim. On the 1st hanging (a bus stamped my rear bumper while I was at the stop), the Matmut judges me responsible 50 percent. Following my protest wrath in the sinister service, the latter contacts me and camps on his positions on the pretext that the driver of the bus checked the box: doubled, and not: changed the line. Result of the races: half of the franchise is my charge and malus of 50 per 100 for next year! My own insurance attributes a responsibility to me in a disaster of which I am the victim. Is the objective to increase contributions for the following year under a fallacious pretext? I very seriously plan to terminate all my contracts at the Matmut (cars, housing, etc.)</v>
      </c>
    </row>
    <row r="351" ht="15.75" customHeight="1">
      <c r="A351" s="3">
        <v>2.0</v>
      </c>
      <c r="B351" s="3" t="s">
        <v>1077</v>
      </c>
      <c r="C351" s="3" t="s">
        <v>1078</v>
      </c>
      <c r="D351" s="3" t="s">
        <v>247</v>
      </c>
      <c r="E351" s="3" t="s">
        <v>27</v>
      </c>
      <c r="F351" s="3" t="s">
        <v>15</v>
      </c>
      <c r="G351" s="3" t="s">
        <v>1079</v>
      </c>
      <c r="H351" s="3" t="s">
        <v>378</v>
      </c>
      <c r="I351" s="3" t="str">
        <f>IFERROR(__xludf.DUMMYFUNCTION("GOOGLETRANSLATE(C351,""fr"",""en"")"),"In the event of a big claim do not hesitate to call your expert (which you will pay - but you will have a better estimate. That of the Macif minimizes far too much the damage.
Legal assistance is not effective and the plans of lawyers proposed are well b"&amp;"elow the prices charged. Suddenly impossible to embark on the fight ...
I am very disappointed ....")</f>
        <v>In the event of a big claim do not hesitate to call your expert (which you will pay - but you will have a better estimate. That of the Macif minimizes far too much the damage.
Legal assistance is not effective and the plans of lawyers proposed are well below the prices charged. Suddenly impossible to embark on the fight ...
I am very disappointed ....</v>
      </c>
    </row>
    <row r="352" ht="15.75" customHeight="1">
      <c r="A352" s="3">
        <v>5.0</v>
      </c>
      <c r="B352" s="3" t="s">
        <v>1080</v>
      </c>
      <c r="C352" s="3" t="s">
        <v>1081</v>
      </c>
      <c r="D352" s="3" t="s">
        <v>37</v>
      </c>
      <c r="E352" s="3" t="s">
        <v>27</v>
      </c>
      <c r="F352" s="3" t="s">
        <v>15</v>
      </c>
      <c r="G352" s="3" t="s">
        <v>691</v>
      </c>
      <c r="H352" s="3" t="s">
        <v>17</v>
      </c>
      <c r="I352" s="3" t="str">
        <f>IFERROR(__xludf.DUMMYFUNCTION("GOOGLETRANSLATE(C352,""fr"",""en"")"),"Red fluid service, no particular problem to report on the operation of the site interface. The processing is simple and accessible, I recommend for the moment.")</f>
        <v>Red fluid service, no particular problem to report on the operation of the site interface. The processing is simple and accessible, I recommend for the moment.</v>
      </c>
    </row>
    <row r="353" ht="15.75" customHeight="1">
      <c r="A353" s="3">
        <v>2.0</v>
      </c>
      <c r="B353" s="3" t="s">
        <v>1082</v>
      </c>
      <c r="C353" s="3" t="s">
        <v>1083</v>
      </c>
      <c r="D353" s="3" t="s">
        <v>108</v>
      </c>
      <c r="E353" s="3" t="s">
        <v>27</v>
      </c>
      <c r="F353" s="3" t="s">
        <v>15</v>
      </c>
      <c r="G353" s="3" t="s">
        <v>1084</v>
      </c>
      <c r="H353" s="3" t="s">
        <v>335</v>
      </c>
      <c r="I353" s="3" t="str">
        <f>IFERROR(__xludf.DUMMYFUNCTION("GOOGLETRANSLATE(C353,""fr"",""en"")"),"Customer has always been. Customer service is at the top. The prices are very high and increased sharply from year to year despite 50% bonuses and no responsible accident. Shame !!!")</f>
        <v>Customer has always been. Customer service is at the top. The prices are very high and increased sharply from year to year despite 50% bonuses and no responsible accident. Shame !!!</v>
      </c>
    </row>
    <row r="354" ht="15.75" customHeight="1">
      <c r="A354" s="3">
        <v>5.0</v>
      </c>
      <c r="B354" s="3" t="s">
        <v>1085</v>
      </c>
      <c r="C354" s="3" t="s">
        <v>1086</v>
      </c>
      <c r="D354" s="3" t="s">
        <v>97</v>
      </c>
      <c r="E354" s="3" t="s">
        <v>81</v>
      </c>
      <c r="F354" s="3" t="s">
        <v>15</v>
      </c>
      <c r="G354" s="3" t="s">
        <v>523</v>
      </c>
      <c r="H354" s="3" t="s">
        <v>50</v>
      </c>
      <c r="I354" s="3" t="str">
        <f>IFERROR(__xludf.DUMMYFUNCTION("GOOGLETRANSLATE(C354,""fr"",""en"")"),"I am very satisfied with the speed and prices compared to other insurances which offers the same insurance guarantee again thank you to the whole team")</f>
        <v>I am very satisfied with the speed and prices compared to other insurances which offers the same insurance guarantee again thank you to the whole team</v>
      </c>
    </row>
    <row r="355" ht="15.75" customHeight="1">
      <c r="A355" s="3">
        <v>2.0</v>
      </c>
      <c r="B355" s="3" t="s">
        <v>1087</v>
      </c>
      <c r="C355" s="3" t="s">
        <v>1088</v>
      </c>
      <c r="D355" s="3" t="s">
        <v>80</v>
      </c>
      <c r="E355" s="3" t="s">
        <v>81</v>
      </c>
      <c r="F355" s="3" t="s">
        <v>15</v>
      </c>
      <c r="G355" s="3" t="s">
        <v>1089</v>
      </c>
      <c r="H355" s="3" t="s">
        <v>1090</v>
      </c>
      <c r="I355" s="3" t="str">
        <f>IFERROR(__xludf.DUMMYFUNCTION("GOOGLETRANSLATE(C355,""fr"",""en"")"),"Incompetent finished - go your way
For an accident that took place in April.
No communication to tell me that it is necessary to join the tug of the motorcycle so as not to pay the guard rights, I had to do all the steps by being very bad.
The troubles"&amp;" begin, the wrongs must be decided. The CRS are available to transmit the accident report to them, but despite what they announced to me, they have never contacted them and wait for it to fall from the sky. I must then provide them with the file myself.
"&amp;"In the meantime, not to have towing costs to repatriate the wreckage of the motorcycle at home, I must also take care of the sale of the wreckage. Well yes, the wrongs are not decided, so they are clear to do any action that can advance the file ...
July"&amp;" he finally announces to me that I am not wrongly.
I await my payment. August nothing. I relaunch every week, they make the dead. In the end, it is for those who must relaunch Allianz insurance since they are only broker. September 7, they finally have t"&amp;"he authorization to sign my check. They tell me that they sent it to me on September 26. Hike received on October 11!
I spent my time relaunching them and doing their job!
Run away !!")</f>
        <v>Incompetent finished - go your way
For an accident that took place in April.
No communication to tell me that it is necessary to join the tug of the motorcycle so as not to pay the guard rights, I had to do all the steps by being very bad.
The troubles begin, the wrongs must be decided. The CRS are available to transmit the accident report to them, but despite what they announced to me, they have never contacted them and wait for it to fall from the sky. I must then provide them with the file myself.
In the meantime, not to have towing costs to repatriate the wreckage of the motorcycle at home, I must also take care of the sale of the wreckage. Well yes, the wrongs are not decided, so they are clear to do any action that can advance the file ...
July he finally announces to me that I am not wrongly.
I await my payment. August nothing. I relaunch every week, they make the dead. In the end, it is for those who must relaunch Allianz insurance since they are only broker. September 7, they finally have the authorization to sign my check. They tell me that they sent it to me on September 26. Hike received on October 11!
I spent my time relaunching them and doing their job!
Run away !!</v>
      </c>
    </row>
    <row r="356" ht="15.75" customHeight="1">
      <c r="A356" s="3">
        <v>1.0</v>
      </c>
      <c r="B356" s="3" t="s">
        <v>1091</v>
      </c>
      <c r="C356" s="3" t="s">
        <v>1092</v>
      </c>
      <c r="D356" s="3" t="s">
        <v>75</v>
      </c>
      <c r="E356" s="3" t="s">
        <v>27</v>
      </c>
      <c r="F356" s="3" t="s">
        <v>15</v>
      </c>
      <c r="G356" s="3" t="s">
        <v>189</v>
      </c>
      <c r="H356" s="3" t="s">
        <v>190</v>
      </c>
      <c r="I356" s="3" t="str">
        <f>IFERROR(__xludf.DUMMYFUNCTION("GOOGLETRANSLATE(C356,""fr"",""en"")"),"Since an accident for which we have not been responsible for our vehicle has been immobilized by the carelessness of our Allianz Allsecur Calypso insurer, which is dismissed from the problem on its expert.")</f>
        <v>Since an accident for which we have not been responsible for our vehicle has been immobilized by the carelessness of our Allianz Allsecur Calypso insurer, which is dismissed from the problem on its expert.</v>
      </c>
    </row>
    <row r="357" ht="15.75" customHeight="1">
      <c r="A357" s="3">
        <v>2.0</v>
      </c>
      <c r="B357" s="3" t="s">
        <v>1093</v>
      </c>
      <c r="C357" s="3" t="s">
        <v>1094</v>
      </c>
      <c r="D357" s="3" t="s">
        <v>75</v>
      </c>
      <c r="E357" s="3" t="s">
        <v>1095</v>
      </c>
      <c r="F357" s="3" t="s">
        <v>15</v>
      </c>
      <c r="G357" s="3" t="s">
        <v>62</v>
      </c>
      <c r="H357" s="3" t="s">
        <v>23</v>
      </c>
      <c r="I357" s="3" t="str">
        <f>IFERROR(__xludf.DUMMYFUNCTION("GOOGLETRANSLATE(C357,""fr"",""en"")"),"Since March 2020, due to the health crisis, all my activity has ceased. I am a craftsman (auto-entrepreneur) selling my creations in salons, exhibitions, markets and fairs. I only worked in July-August 2020 (on outdoor markets) then 2 weekends in December"&amp;". Nothing until June 2021. Long months without any resources. No state aid. Too small ... On the other hand, my monthly professional insurance subscription at Allianz (Etaples-sur-Mer agency) has not stopped, and has also increased ... from whom we don't "&amp;"care ? No measure. No strong gesture. No contact with the agency director towards his professional ""toddlers""! I wrote by email, I have called, and always the same answer since May 2020: ""We call you back, we talk to the director ..."" Disappointed by "&amp;"Allianz. No consideration for small craft professionals.")</f>
        <v>Since March 2020, due to the health crisis, all my activity has ceased. I am a craftsman (auto-entrepreneur) selling my creations in salons, exhibitions, markets and fairs. I only worked in July-August 2020 (on outdoor markets) then 2 weekends in December. Nothing until June 2021. Long months without any resources. No state aid. Too small ... On the other hand, my monthly professional insurance subscription at Allianz (Etaples-sur-Mer agency) has not stopped, and has also increased ... from whom we don't care ? No measure. No strong gesture. No contact with the agency director towards his professional "toddlers"! I wrote by email, I have called, and always the same answer since May 2020: "We call you back, we talk to the director ..." Disappointed by Allianz. No consideration for small craft professionals.</v>
      </c>
    </row>
    <row r="358" ht="15.75" customHeight="1">
      <c r="A358" s="3">
        <v>5.0</v>
      </c>
      <c r="B358" s="3" t="s">
        <v>1096</v>
      </c>
      <c r="C358" s="3" t="s">
        <v>1097</v>
      </c>
      <c r="D358" s="3" t="s">
        <v>157</v>
      </c>
      <c r="E358" s="3" t="s">
        <v>14</v>
      </c>
      <c r="F358" s="3" t="s">
        <v>15</v>
      </c>
      <c r="G358" s="3" t="s">
        <v>1098</v>
      </c>
      <c r="H358" s="3" t="s">
        <v>378</v>
      </c>
      <c r="I358" s="3" t="str">
        <f>IFERROR(__xludf.DUMMYFUNCTION("GOOGLETRANSLATE(C358,""fr"",""en"")"),"An effective mutual insurance company with hyper -responsive and attentive customer service. The telephone reception is top, they know how to explain the guarantees that are not always easy to understand and advised me well for replacing my glasses.")</f>
        <v>An effective mutual insurance company with hyper -responsive and attentive customer service. The telephone reception is top, they know how to explain the guarantees that are not always easy to understand and advised me well for replacing my glasses.</v>
      </c>
    </row>
    <row r="359" ht="15.75" customHeight="1">
      <c r="A359" s="3">
        <v>3.0</v>
      </c>
      <c r="B359" s="3" t="s">
        <v>1099</v>
      </c>
      <c r="C359" s="3" t="s">
        <v>1100</v>
      </c>
      <c r="D359" s="3" t="s">
        <v>53</v>
      </c>
      <c r="E359" s="3" t="s">
        <v>27</v>
      </c>
      <c r="F359" s="3" t="s">
        <v>15</v>
      </c>
      <c r="G359" s="3" t="s">
        <v>98</v>
      </c>
      <c r="H359" s="3" t="s">
        <v>99</v>
      </c>
      <c r="I359" s="3" t="str">
        <f>IFERROR(__xludf.DUMMYFUNCTION("GOOGLETRANSLATE(C359,""fr"",""en"")"),"I am satisfied with the service. The service is fast and the price is almost suitable. The 0 km assistance service should be automatically included")</f>
        <v>I am satisfied with the service. The service is fast and the price is almost suitable. The 0 km assistance service should be automatically included</v>
      </c>
    </row>
    <row r="360" ht="15.75" customHeight="1">
      <c r="A360" s="3">
        <v>5.0</v>
      </c>
      <c r="B360" s="3" t="s">
        <v>1101</v>
      </c>
      <c r="C360" s="3" t="s">
        <v>1102</v>
      </c>
      <c r="D360" s="3" t="s">
        <v>53</v>
      </c>
      <c r="E360" s="3" t="s">
        <v>27</v>
      </c>
      <c r="F360" s="3" t="s">
        <v>15</v>
      </c>
      <c r="G360" s="3" t="s">
        <v>114</v>
      </c>
      <c r="H360" s="3" t="s">
        <v>29</v>
      </c>
      <c r="I360" s="3" t="str">
        <f>IFERROR(__xludf.DUMMYFUNCTION("GOOGLETRANSLATE(C360,""fr"",""en"")"),"On the other hand, I just subscribed to the sponsorship code did not work can help me please?
Otherwise everything went well everything was clear, the offers are interesting")</f>
        <v>On the other hand, I just subscribed to the sponsorship code did not work can help me please?
Otherwise everything went well everything was clear, the offers are interesting</v>
      </c>
    </row>
    <row r="361" ht="15.75" customHeight="1">
      <c r="A361" s="3">
        <v>1.0</v>
      </c>
      <c r="B361" s="3" t="s">
        <v>1103</v>
      </c>
      <c r="C361" s="3" t="s">
        <v>1104</v>
      </c>
      <c r="D361" s="3" t="s">
        <v>108</v>
      </c>
      <c r="E361" s="3" t="s">
        <v>27</v>
      </c>
      <c r="F361" s="3" t="s">
        <v>15</v>
      </c>
      <c r="G361" s="3" t="s">
        <v>1105</v>
      </c>
      <c r="H361" s="3" t="s">
        <v>1090</v>
      </c>
      <c r="I361" s="3" t="str">
        <f>IFERROR(__xludf.DUMMYFUNCTION("GOOGLETRANSLATE(C361,""fr"",""en"")"),"To flee. Does not reimburse anything in the event of automotive. He repaired me with the car and a month after all fell in ruins. Neither the mechanic nor Lexpert gets wet. Vehicle has more than 100,000 euros. A shame. Verreux expert. I had 30 contracts w"&amp;"ith them. It's over. Goodbye Axa and good storage room.")</f>
        <v>To flee. Does not reimburse anything in the event of automotive. He repaired me with the car and a month after all fell in ruins. Neither the mechanic nor Lexpert gets wet. Vehicle has more than 100,000 euros. A shame. Verreux expert. I had 30 contracts with them. It's over. Goodbye Axa and good storage room.</v>
      </c>
    </row>
    <row r="362" ht="15.75" customHeight="1">
      <c r="A362" s="3">
        <v>1.0</v>
      </c>
      <c r="B362" s="3" t="s">
        <v>1106</v>
      </c>
      <c r="C362" s="3" t="s">
        <v>1107</v>
      </c>
      <c r="D362" s="3" t="s">
        <v>37</v>
      </c>
      <c r="E362" s="3" t="s">
        <v>27</v>
      </c>
      <c r="F362" s="3" t="s">
        <v>15</v>
      </c>
      <c r="G362" s="3" t="s">
        <v>1108</v>
      </c>
      <c r="H362" s="3" t="s">
        <v>1109</v>
      </c>
      <c r="I362" s="3" t="str">
        <f>IFERROR(__xludf.DUMMYFUNCTION("GOOGLETRANSLATE(C362,""fr"",""en"")"),"Insured all risks
Stolen car + stolen keys in my pocket.
Refusal of compensation in principle by looking for the small line
The problems arrive when there is a sinister!
")</f>
        <v>Insured all risks
Stolen car + stolen keys in my pocket.
Refusal of compensation in principle by looking for the small line
The problems arrive when there is a sinister!
</v>
      </c>
    </row>
    <row r="363" ht="15.75" customHeight="1">
      <c r="A363" s="3">
        <v>2.0</v>
      </c>
      <c r="B363" s="3" t="s">
        <v>1110</v>
      </c>
      <c r="C363" s="3" t="s">
        <v>1111</v>
      </c>
      <c r="D363" s="3" t="s">
        <v>123</v>
      </c>
      <c r="E363" s="3" t="s">
        <v>27</v>
      </c>
      <c r="F363" s="3" t="s">
        <v>15</v>
      </c>
      <c r="G363" s="3" t="s">
        <v>1112</v>
      </c>
      <c r="H363" s="3" t="s">
        <v>39</v>
      </c>
      <c r="I363" s="3" t="str">
        <f>IFERROR(__xludf.DUMMYFUNCTION("GOOGLETRANSLATE(C363,""fr"",""en"")"),"Insured for years at the maaf we are terminated because my husband has had 2accidents so as soon as you have nothing all is well you can pay but we are resilled overnight not very professional")</f>
        <v>Insured for years at the maaf we are terminated because my husband has had 2accidents so as soon as you have nothing all is well you can pay but we are resilled overnight not very professional</v>
      </c>
    </row>
    <row r="364" ht="15.75" customHeight="1">
      <c r="A364" s="3">
        <v>3.0</v>
      </c>
      <c r="B364" s="3" t="s">
        <v>1113</v>
      </c>
      <c r="C364" s="3" t="s">
        <v>1114</v>
      </c>
      <c r="D364" s="3" t="s">
        <v>53</v>
      </c>
      <c r="E364" s="3" t="s">
        <v>27</v>
      </c>
      <c r="F364" s="3" t="s">
        <v>15</v>
      </c>
      <c r="G364" s="3" t="s">
        <v>201</v>
      </c>
      <c r="H364" s="3" t="s">
        <v>99</v>
      </c>
      <c r="I364" s="3" t="str">
        <f>IFERROR(__xludf.DUMMYFUNCTION("GOOGLETRANSLATE(C364,""fr"",""en"")"),"Satisfied except that there is no globalization which would prevent a lot of people from subscribing so paying the year all of it is a lot")</f>
        <v>Satisfied except that there is no globalization which would prevent a lot of people from subscribing so paying the year all of it is a lot</v>
      </c>
    </row>
    <row r="365" ht="15.75" customHeight="1">
      <c r="A365" s="3">
        <v>2.0</v>
      </c>
      <c r="B365" s="3" t="s">
        <v>1115</v>
      </c>
      <c r="C365" s="3" t="s">
        <v>1116</v>
      </c>
      <c r="D365" s="3" t="s">
        <v>670</v>
      </c>
      <c r="E365" s="3" t="s">
        <v>27</v>
      </c>
      <c r="F365" s="3" t="s">
        <v>15</v>
      </c>
      <c r="G365" s="3" t="s">
        <v>1117</v>
      </c>
      <c r="H365" s="3" t="s">
        <v>1118</v>
      </c>
      <c r="I365" s="3" t="str">
        <f>IFERROR(__xludf.DUMMYFUNCTION("GOOGLETRANSLATE(C365,""fr"",""en"")"),". Degates not taken on a wing because it had scratches before. In short, I find myself having to change a wing at my expense following an accident for which I am not responsible. Passing customer for 10 years without any self -disaster! The insurer seeks "&amp;"to minimize its costs!")</f>
        <v>. Degates not taken on a wing because it had scratches before. In short, I find myself having to change a wing at my expense following an accident for which I am not responsible. Passing customer for 10 years without any self -disaster! The insurer seeks to minimize its costs!</v>
      </c>
    </row>
    <row r="366" ht="15.75" customHeight="1">
      <c r="A366" s="3">
        <v>1.0</v>
      </c>
      <c r="B366" s="3" t="s">
        <v>1119</v>
      </c>
      <c r="C366" s="3" t="s">
        <v>1120</v>
      </c>
      <c r="D366" s="3" t="s">
        <v>327</v>
      </c>
      <c r="E366" s="3" t="s">
        <v>76</v>
      </c>
      <c r="F366" s="3" t="s">
        <v>15</v>
      </c>
      <c r="G366" s="3" t="s">
        <v>641</v>
      </c>
      <c r="H366" s="3" t="s">
        <v>335</v>
      </c>
      <c r="I366" s="3" t="str">
        <f>IFERROR(__xludf.DUMMYFUNCTION("GOOGLETRANSLATE(C366,""fr"",""en"")"),"Never seen such incompetent insurance!
Mandate of ""experts"" who do not know how to find a leak, then once the leak is found, is responsible for your file of companies unable to call you to set an appointment (sounds one evening at your door without you"&amp;" being aware ....).
More than 3 months for a simple leak from the toilet and it is still not settled.
Insurance to flee!")</f>
        <v>Never seen such incompetent insurance!
Mandate of "experts" who do not know how to find a leak, then once the leak is found, is responsible for your file of companies unable to call you to set an appointment (sounds one evening at your door without you being aware ....).
More than 3 months for a simple leak from the toilet and it is still not settled.
Insurance to flee!</v>
      </c>
    </row>
    <row r="367" ht="15.75" customHeight="1">
      <c r="A367" s="3">
        <v>3.0</v>
      </c>
      <c r="B367" s="3" t="s">
        <v>1121</v>
      </c>
      <c r="C367" s="3" t="s">
        <v>1122</v>
      </c>
      <c r="D367" s="3" t="s">
        <v>53</v>
      </c>
      <c r="E367" s="3" t="s">
        <v>27</v>
      </c>
      <c r="F367" s="3" t="s">
        <v>15</v>
      </c>
      <c r="G367" s="3" t="s">
        <v>568</v>
      </c>
      <c r="H367" s="3" t="s">
        <v>23</v>
      </c>
      <c r="I367" s="3" t="str">
        <f>IFERROR(__xludf.DUMMYFUNCTION("GOOGLETRANSLATE(C367,""fr"",""en"")"),"The price is correct and competitive in the face of competition; Part against an increase of 16% of one year on the other seems exaggerated. If next year, an increase turns out to be identical I will have to go and see elsewhere.
")</f>
        <v>The price is correct and competitive in the face of competition; Part against an increase of 16% of one year on the other seems exaggerated. If next year, an increase turns out to be identical I will have to go and see elsewhere.
</v>
      </c>
    </row>
    <row r="368" ht="15.75" customHeight="1">
      <c r="A368" s="3">
        <v>1.0</v>
      </c>
      <c r="B368" s="3" t="s">
        <v>1123</v>
      </c>
      <c r="C368" s="3" t="s">
        <v>1124</v>
      </c>
      <c r="D368" s="3" t="s">
        <v>341</v>
      </c>
      <c r="E368" s="3" t="s">
        <v>76</v>
      </c>
      <c r="F368" s="3" t="s">
        <v>15</v>
      </c>
      <c r="G368" s="3" t="s">
        <v>1125</v>
      </c>
      <c r="H368" s="3" t="s">
        <v>205</v>
      </c>
      <c r="I368" s="3" t="str">
        <f>IFERROR(__xludf.DUMMYFUNCTION("GOOGLETRANSLATE(C368,""fr"",""en"")"),"I had a claim in 10 years my counter caught fire, a craftsman summed up his intervention on invoice
And there we find ourselves at the absent subscribers the mutual credit requires additional papers, I have
Beautiful protest that Nenni
So I realize"&amp;" by consulting competitors that I pay 40 % more expensive
I have been a customer of this bank for 20 years, but above all run away from their insurance service!")</f>
        <v>I had a claim in 10 years my counter caught fire, a craftsman summed up his intervention on invoice
And there we find ourselves at the absent subscribers the mutual credit requires additional papers, I have
Beautiful protest that Nenni
So I realize by consulting competitors that I pay 40 % more expensive
I have been a customer of this bank for 20 years, but above all run away from their insurance service!</v>
      </c>
    </row>
    <row r="369" ht="15.75" customHeight="1">
      <c r="A369" s="3">
        <v>5.0</v>
      </c>
      <c r="B369" s="3" t="s">
        <v>1126</v>
      </c>
      <c r="C369" s="3" t="s">
        <v>1127</v>
      </c>
      <c r="D369" s="3" t="s">
        <v>37</v>
      </c>
      <c r="E369" s="3" t="s">
        <v>27</v>
      </c>
      <c r="F369" s="3" t="s">
        <v>15</v>
      </c>
      <c r="G369" s="3" t="s">
        <v>523</v>
      </c>
      <c r="H369" s="3" t="s">
        <v>50</v>
      </c>
      <c r="I369" s="3" t="str">
        <f>IFERROR(__xludf.DUMMYFUNCTION("GOOGLETRANSLATE(C369,""fr"",""en"")"),"The price suits me !!! Very fast and your kindness we make us happy !!!!! Happy to work with you !!! We hope everything is going well")</f>
        <v>The price suits me !!! Very fast and your kindness we make us happy !!!!! Happy to work with you !!! We hope everything is going well</v>
      </c>
    </row>
    <row r="370" ht="15.75" customHeight="1">
      <c r="A370" s="3">
        <v>5.0</v>
      </c>
      <c r="B370" s="3" t="s">
        <v>1128</v>
      </c>
      <c r="C370" s="3" t="s">
        <v>1129</v>
      </c>
      <c r="D370" s="3" t="s">
        <v>80</v>
      </c>
      <c r="E370" s="3" t="s">
        <v>81</v>
      </c>
      <c r="F370" s="3" t="s">
        <v>15</v>
      </c>
      <c r="G370" s="3" t="s">
        <v>1130</v>
      </c>
      <c r="H370" s="3" t="s">
        <v>29</v>
      </c>
      <c r="I370" s="3" t="str">
        <f>IFERROR(__xludf.DUMMYFUNCTION("GOOGLETRANSLATE(C370,""fr"",""en"")"),"Treat very fast cheap cheap super well thank you easy and good compromise for its motorcycle tou risk and quick -trained live motorcycle lives")</f>
        <v>Treat very fast cheap cheap super well thank you easy and good compromise for its motorcycle tou risk and quick -trained live motorcycle lives</v>
      </c>
    </row>
    <row r="371" ht="15.75" customHeight="1">
      <c r="A371" s="3">
        <v>1.0</v>
      </c>
      <c r="B371" s="3" t="s">
        <v>1131</v>
      </c>
      <c r="C371" s="3" t="s">
        <v>1132</v>
      </c>
      <c r="D371" s="3" t="s">
        <v>53</v>
      </c>
      <c r="E371" s="3" t="s">
        <v>76</v>
      </c>
      <c r="F371" s="3" t="s">
        <v>15</v>
      </c>
      <c r="G371" s="3" t="s">
        <v>427</v>
      </c>
      <c r="H371" s="3" t="s">
        <v>428</v>
      </c>
      <c r="I371" s="3" t="str">
        <f>IFERROR(__xludf.DUMMYFUNCTION("GOOGLETRANSLATE(C371,""fr"",""en"")"),"I note 1 because zero is not possible. It is at a level 0 that I qualify the customer service of this insurer who walks from one interlocutor to another without anything concrete. He assures me that my reimbursement of contributions will be sent to me and"&amp;" then two weeks later and despite reminders I am informed that things are not settled because the first reimbursement checks had been addressed to an erroneous address ... only the Return of these checks to their level allows them to send a check or a ref"&amp;"und transfer. However, two weeks ago the insurer asked me for letters of withdrawal that were sent by me to be reimbursed but only by check !!! A hell and two months that it lasts! It's unbearable")</f>
        <v>I note 1 because zero is not possible. It is at a level 0 that I qualify the customer service of this insurer who walks from one interlocutor to another without anything concrete. He assures me that my reimbursement of contributions will be sent to me and then two weeks later and despite reminders I am informed that things are not settled because the first reimbursement checks had been addressed to an erroneous address ... only the Return of these checks to their level allows them to send a check or a refund transfer. However, two weeks ago the insurer asked me for letters of withdrawal that were sent by me to be reimbursed but only by check !!! A hell and two months that it lasts! It's unbearable</v>
      </c>
    </row>
    <row r="372" ht="15.75" customHeight="1">
      <c r="A372" s="3">
        <v>2.0</v>
      </c>
      <c r="B372" s="3" t="s">
        <v>1133</v>
      </c>
      <c r="C372" s="3" t="s">
        <v>1134</v>
      </c>
      <c r="D372" s="3" t="s">
        <v>399</v>
      </c>
      <c r="E372" s="3" t="s">
        <v>48</v>
      </c>
      <c r="F372" s="3" t="s">
        <v>15</v>
      </c>
      <c r="G372" s="3" t="s">
        <v>1135</v>
      </c>
      <c r="H372" s="3" t="s">
        <v>367</v>
      </c>
      <c r="I372" s="3" t="str">
        <f>IFERROR(__xludf.DUMMYFUNCTION("GOOGLETRANSLATE(C372,""fr"",""en"")"),"Cardif voluntarily dragged us 2 files at I sent back 4 times the files still lacks papers that I provided files open the year last and still no answer or that of the really impressive wave without quoting withdrawals that were made for me during more than"&amp;" 2 years for non -existent insurance justice")</f>
        <v>Cardif voluntarily dragged us 2 files at I sent back 4 times the files still lacks papers that I provided files open the year last and still no answer or that of the really impressive wave without quoting withdrawals that were made for me during more than 2 years for non -existent insurance justice</v>
      </c>
    </row>
    <row r="373" ht="15.75" customHeight="1">
      <c r="A373" s="3">
        <v>4.0</v>
      </c>
      <c r="B373" s="3" t="s">
        <v>1136</v>
      </c>
      <c r="C373" s="3" t="s">
        <v>1137</v>
      </c>
      <c r="D373" s="3" t="s">
        <v>37</v>
      </c>
      <c r="E373" s="3" t="s">
        <v>27</v>
      </c>
      <c r="F373" s="3" t="s">
        <v>15</v>
      </c>
      <c r="G373" s="3" t="s">
        <v>98</v>
      </c>
      <c r="H373" s="3" t="s">
        <v>99</v>
      </c>
      <c r="I373" s="3" t="str">
        <f>IFERROR(__xludf.DUMMYFUNCTION("GOOGLETRANSLATE(C373,""fr"",""en"")"),"Satisfied, difficulties as to the amount during the first call to finalize a quote but in the end
During the second everything was resolved and resulted.")</f>
        <v>Satisfied, difficulties as to the amount during the first call to finalize a quote but in the end
During the second everything was resolved and resulted.</v>
      </c>
    </row>
    <row r="374" ht="15.75" customHeight="1">
      <c r="A374" s="3">
        <v>2.0</v>
      </c>
      <c r="B374" s="3" t="s">
        <v>1138</v>
      </c>
      <c r="C374" s="3" t="s">
        <v>1139</v>
      </c>
      <c r="D374" s="3" t="s">
        <v>653</v>
      </c>
      <c r="E374" s="3" t="s">
        <v>81</v>
      </c>
      <c r="F374" s="3" t="s">
        <v>15</v>
      </c>
      <c r="G374" s="3" t="s">
        <v>1140</v>
      </c>
      <c r="H374" s="3" t="s">
        <v>159</v>
      </c>
      <c r="I374" s="3" t="str">
        <f>IFERROR(__xludf.DUMMYFUNCTION("GOOGLETRANSLATE(C374,""fr"",""en"")"),"Following a hanging, recognized not responsible, I am still waiting for the reimbursement of the deductible of € 400.
The hanging took place 2 and a half years ago !!!!!
I call them, at least, once or twice a month by phone and the speech is always "&amp;"the same ""we will revive .......""
I really feel like I was caught for a fool (and I remain polite)! It is shameful.
And impossible to reach someone other than a person at the standard.
Impossible to reach someone in the service concerned.
Imposs"&amp;"ible to reach someone who can really tell us what's going on.
Impossible to reach a manager.
I strongly regret having assured myself at home.
As soon as I have obtained the reimbursement of the deposit, I leave Peyrac!")</f>
        <v>Following a hanging, recognized not responsible, I am still waiting for the reimbursement of the deductible of € 400.
The hanging took place 2 and a half years ago !!!!!
I call them, at least, once or twice a month by phone and the speech is always the same "we will revive ......."
I really feel like I was caught for a fool (and I remain polite)! It is shameful.
And impossible to reach someone other than a person at the standard.
Impossible to reach someone in the service concerned.
Impossible to reach someone who can really tell us what's going on.
Impossible to reach a manager.
I strongly regret having assured myself at home.
As soon as I have obtained the reimbursement of the deposit, I leave Peyrac!</v>
      </c>
    </row>
    <row r="375" ht="15.75" customHeight="1">
      <c r="A375" s="3">
        <v>5.0</v>
      </c>
      <c r="B375" s="3" t="s">
        <v>1141</v>
      </c>
      <c r="C375" s="3" t="s">
        <v>1142</v>
      </c>
      <c r="D375" s="3" t="s">
        <v>37</v>
      </c>
      <c r="E375" s="3" t="s">
        <v>27</v>
      </c>
      <c r="F375" s="3" t="s">
        <v>15</v>
      </c>
      <c r="G375" s="3" t="s">
        <v>338</v>
      </c>
      <c r="H375" s="3" t="s">
        <v>17</v>
      </c>
      <c r="I375" s="3" t="str">
        <f>IFERROR(__xludf.DUMMYFUNCTION("GOOGLETRANSLATE(C375,""fr"",""en"")"),"I am satisfied with the service and the price suits me I highly recommend this young and dynamic insurance excellent quality
Thank you Best regards
")</f>
        <v>I am satisfied with the service and the price suits me I highly recommend this young and dynamic insurance excellent quality
Thank you Best regards
</v>
      </c>
    </row>
    <row r="376" ht="15.75" customHeight="1">
      <c r="A376" s="3">
        <v>1.0</v>
      </c>
      <c r="B376" s="3" t="s">
        <v>1143</v>
      </c>
      <c r="C376" s="3" t="s">
        <v>1144</v>
      </c>
      <c r="D376" s="3" t="s">
        <v>153</v>
      </c>
      <c r="E376" s="3" t="s">
        <v>81</v>
      </c>
      <c r="F376" s="3" t="s">
        <v>15</v>
      </c>
      <c r="G376" s="3" t="s">
        <v>1145</v>
      </c>
      <c r="H376" s="3" t="s">
        <v>17</v>
      </c>
      <c r="I376" s="3" t="str">
        <f>IFERROR(__xludf.DUMMYFUNCTION("GOOGLETRANSLATE(C376,""fr"",""en"")"),"I never managed to contact them except by paying and they failed to answer me clearly and sent me back to a power station which I did not want because I have been walking for too long.
To flee, disrespectful and never work !!!!!")</f>
        <v>I never managed to contact them except by paying and they failed to answer me clearly and sent me back to a power station which I did not want because I have been walking for too long.
To flee, disrespectful and never work !!!!!</v>
      </c>
    </row>
    <row r="377" ht="15.75" customHeight="1">
      <c r="A377" s="3">
        <v>5.0</v>
      </c>
      <c r="B377" s="3" t="s">
        <v>1146</v>
      </c>
      <c r="C377" s="3" t="s">
        <v>1147</v>
      </c>
      <c r="D377" s="3" t="s">
        <v>53</v>
      </c>
      <c r="E377" s="3" t="s">
        <v>27</v>
      </c>
      <c r="F377" s="3" t="s">
        <v>15</v>
      </c>
      <c r="G377" s="3" t="s">
        <v>1148</v>
      </c>
      <c r="H377" s="3" t="s">
        <v>29</v>
      </c>
      <c r="I377" s="3" t="str">
        <f>IFERROR(__xludf.DUMMYFUNCTION("GOOGLETRANSLATE(C377,""fr"",""en"")"),"The price is interesting, and above all, I am very pleasantly surprised by the ergonomics of the site for the quote and the online subscription. Cheer !!!")</f>
        <v>The price is interesting, and above all, I am very pleasantly surprised by the ergonomics of the site for the quote and the online subscription. Cheer !!!</v>
      </c>
    </row>
    <row r="378" ht="15.75" customHeight="1">
      <c r="A378" s="3">
        <v>5.0</v>
      </c>
      <c r="B378" s="3" t="s">
        <v>1149</v>
      </c>
      <c r="C378" s="3" t="s">
        <v>1150</v>
      </c>
      <c r="D378" s="3" t="s">
        <v>1151</v>
      </c>
      <c r="E378" s="3" t="s">
        <v>48</v>
      </c>
      <c r="F378" s="3" t="s">
        <v>15</v>
      </c>
      <c r="G378" s="3" t="s">
        <v>390</v>
      </c>
      <c r="H378" s="3" t="s">
        <v>58</v>
      </c>
      <c r="I378" s="3" t="str">
        <f>IFERROR(__xludf.DUMMYFUNCTION("GOOGLETRANSLATE(C378,""fr"",""en"")"),"I am very satisfied with the service and the telephone reception even sometimes do not respond immediately they remind you just after, very correct price I highly recommend it.
Cordially,
Issam Benmoussa")</f>
        <v>I am very satisfied with the service and the telephone reception even sometimes do not respond immediately they remind you just after, very correct price I highly recommend it.
Cordially,
Issam Benmoussa</v>
      </c>
    </row>
    <row r="379" ht="15.75" customHeight="1">
      <c r="A379" s="3">
        <v>1.0</v>
      </c>
      <c r="B379" s="3" t="s">
        <v>1152</v>
      </c>
      <c r="C379" s="3" t="s">
        <v>1153</v>
      </c>
      <c r="D379" s="3" t="s">
        <v>53</v>
      </c>
      <c r="E379" s="3" t="s">
        <v>27</v>
      </c>
      <c r="F379" s="3" t="s">
        <v>15</v>
      </c>
      <c r="G379" s="3" t="s">
        <v>1154</v>
      </c>
      <c r="H379" s="3" t="s">
        <v>50</v>
      </c>
      <c r="I379" s="3" t="str">
        <f>IFERROR(__xludf.DUMMYFUNCTION("GOOGLETRANSLATE(C379,""fr"",""en"")"),"Prices are anything. I urgently want to have a telephone number of a manager.
I've been trying to ensure 4 cars with 4 different drivers for 2 months.
If the conversations are recorded, AXA should listen to them !!!
I think I should make non -pleasant "&amp;"decisions
A good hearing!")</f>
        <v>Prices are anything. I urgently want to have a telephone number of a manager.
I've been trying to ensure 4 cars with 4 different drivers for 2 months.
If the conversations are recorded, AXA should listen to them !!!
I think I should make non -pleasant decisions
A good hearing!</v>
      </c>
    </row>
    <row r="380" ht="15.75" customHeight="1">
      <c r="A380" s="3">
        <v>2.0</v>
      </c>
      <c r="B380" s="3" t="s">
        <v>1155</v>
      </c>
      <c r="C380" s="3" t="s">
        <v>1156</v>
      </c>
      <c r="D380" s="3" t="s">
        <v>37</v>
      </c>
      <c r="E380" s="3" t="s">
        <v>27</v>
      </c>
      <c r="F380" s="3" t="s">
        <v>15</v>
      </c>
      <c r="G380" s="3" t="s">
        <v>1157</v>
      </c>
      <c r="H380" s="3" t="s">
        <v>316</v>
      </c>
      <c r="I380" s="3" t="str">
        <f>IFERROR(__xludf.DUMMYFUNCTION("GOOGLETRANSLATE(C380,""fr"",""en"")"),"Use of abusive clause obligation to provide a mandate of lean when you have set your consequence contribution of the Refusal of green card sequestration")</f>
        <v>Use of abusive clause obligation to provide a mandate of lean when you have set your consequence contribution of the Refusal of green card sequestration</v>
      </c>
    </row>
    <row r="381" ht="15.75" customHeight="1">
      <c r="A381" s="3">
        <v>1.0</v>
      </c>
      <c r="B381" s="3" t="s">
        <v>1158</v>
      </c>
      <c r="C381" s="3" t="s">
        <v>1159</v>
      </c>
      <c r="D381" s="3" t="s">
        <v>37</v>
      </c>
      <c r="E381" s="3" t="s">
        <v>27</v>
      </c>
      <c r="F381" s="3" t="s">
        <v>15</v>
      </c>
      <c r="G381" s="3" t="s">
        <v>1160</v>
      </c>
      <c r="H381" s="3" t="s">
        <v>139</v>
      </c>
      <c r="I381" s="3" t="str">
        <f>IFERROR(__xludf.DUMMYFUNCTION("GOOGLETRANSLATE(C381,""fr"",""en"")"),"Insured for 5 years at Lolivier I unfortunately had a disaster, and there, disaster, refusal of care for a fallacious reason, difficulty joining them, unacceptable waiting.
 I looked for a price by subscribing to them, but it was a huge error, I paid nea"&amp;"rly 900 euros per year in any risk for a Seat Ibiza and finally they managed to get rid of their responsibilities. Especially flee")</f>
        <v>Insured for 5 years at Lolivier I unfortunately had a disaster, and there, disaster, refusal of care for a fallacious reason, difficulty joining them, unacceptable waiting.
 I looked for a price by subscribing to them, but it was a huge error, I paid nearly 900 euros per year in any risk for a Seat Ibiza and finally they managed to get rid of their responsibilities. Especially flee</v>
      </c>
    </row>
    <row r="382" ht="15.75" customHeight="1">
      <c r="A382" s="3">
        <v>1.0</v>
      </c>
      <c r="B382" s="3" t="s">
        <v>1161</v>
      </c>
      <c r="C382" s="3" t="s">
        <v>1162</v>
      </c>
      <c r="D382" s="3" t="s">
        <v>1163</v>
      </c>
      <c r="E382" s="3" t="s">
        <v>21</v>
      </c>
      <c r="F382" s="3" t="s">
        <v>15</v>
      </c>
      <c r="G382" s="3" t="s">
        <v>1164</v>
      </c>
      <c r="H382" s="3" t="s">
        <v>1090</v>
      </c>
      <c r="I382" s="3" t="str">
        <f>IFERROR(__xludf.DUMMYFUNCTION("GOOGLETRANSLATE(C382,""fr"",""en"")"),"Be careful with this insurer, he takes your money with a smile to the ears, obviously, but if you need it ... Ola .. I touch a sensitive subject ... No comment! ... to flee !")</f>
        <v>Be careful with this insurer, he takes your money with a smile to the ears, obviously, but if you need it ... Ola .. I touch a sensitive subject ... No comment! ... to flee !</v>
      </c>
    </row>
    <row r="383" ht="15.75" customHeight="1">
      <c r="A383" s="3">
        <v>4.0</v>
      </c>
      <c r="B383" s="3" t="s">
        <v>1165</v>
      </c>
      <c r="C383" s="3" t="s">
        <v>1166</v>
      </c>
      <c r="D383" s="3" t="s">
        <v>26</v>
      </c>
      <c r="E383" s="3" t="s">
        <v>27</v>
      </c>
      <c r="F383" s="3" t="s">
        <v>15</v>
      </c>
      <c r="G383" s="3" t="s">
        <v>1167</v>
      </c>
      <c r="H383" s="3" t="s">
        <v>23</v>
      </c>
      <c r="I383" s="3" t="str">
        <f>IFERROR(__xludf.DUMMYFUNCTION("GOOGLETRANSLATE(C383,""fr"",""en"")"),"Satisfy for efficiency
After our prmeier contract I don't have negative opinions
Whether in the office or in the repair I was always well de on and to listen to listening")</f>
        <v>Satisfy for efficiency
After our prmeier contract I don't have negative opinions
Whether in the office or in the repair I was always well de on and to listen to listening</v>
      </c>
    </row>
    <row r="384" ht="15.75" customHeight="1">
      <c r="A384" s="3">
        <v>3.0</v>
      </c>
      <c r="B384" s="3" t="s">
        <v>1168</v>
      </c>
      <c r="C384" s="3" t="s">
        <v>1169</v>
      </c>
      <c r="D384" s="3" t="s">
        <v>327</v>
      </c>
      <c r="E384" s="3" t="s">
        <v>27</v>
      </c>
      <c r="F384" s="3" t="s">
        <v>15</v>
      </c>
      <c r="G384" s="3" t="s">
        <v>1170</v>
      </c>
      <c r="H384" s="3" t="s">
        <v>237</v>
      </c>
      <c r="I384" s="3" t="str">
        <f>IFERROR(__xludf.DUMMYFUNCTION("GOOGLETRANSLATE(C384,""fr"",""en"")"),"Insurance only for customers with an agricultural credit account to benefit from the website.")</f>
        <v>Insurance only for customers with an agricultural credit account to benefit from the website.</v>
      </c>
    </row>
    <row r="385" ht="15.75" customHeight="1">
      <c r="A385" s="3">
        <v>4.0</v>
      </c>
      <c r="B385" s="3" t="s">
        <v>1171</v>
      </c>
      <c r="C385" s="3" t="s">
        <v>1172</v>
      </c>
      <c r="D385" s="3" t="s">
        <v>53</v>
      </c>
      <c r="E385" s="3" t="s">
        <v>27</v>
      </c>
      <c r="F385" s="3" t="s">
        <v>15</v>
      </c>
      <c r="G385" s="3" t="s">
        <v>117</v>
      </c>
      <c r="H385" s="3" t="s">
        <v>99</v>
      </c>
      <c r="I385" s="3" t="str">
        <f>IFERROR(__xludf.DUMMYFUNCTION("GOOGLETRANSLATE(C385,""fr"",""en"")"),"I am satisfied overall the prices are resonable The registration and the quote are relatively easy to do after seeing now in time.")</f>
        <v>I am satisfied overall the prices are resonable The registration and the quote are relatively easy to do after seeing now in time.</v>
      </c>
    </row>
    <row r="386" ht="15.75" customHeight="1">
      <c r="A386" s="3">
        <v>5.0</v>
      </c>
      <c r="B386" s="3" t="s">
        <v>1173</v>
      </c>
      <c r="C386" s="3" t="s">
        <v>1174</v>
      </c>
      <c r="D386" s="3" t="s">
        <v>37</v>
      </c>
      <c r="E386" s="3" t="s">
        <v>27</v>
      </c>
      <c r="F386" s="3" t="s">
        <v>15</v>
      </c>
      <c r="G386" s="3" t="s">
        <v>1175</v>
      </c>
      <c r="H386" s="3" t="s">
        <v>69</v>
      </c>
      <c r="I386" s="3" t="str">
        <f>IFERROR(__xludf.DUMMYFUNCTION("GOOGLETRANSLATE(C386,""fr"",""en"")"),"A good insurance I recommend I had an accident abroad and everything went well with this insurance I was reimbursed for repairs to my vehicle nothing to say")</f>
        <v>A good insurance I recommend I had an accident abroad and everything went well with this insurance I was reimbursed for repairs to my vehicle nothing to say</v>
      </c>
    </row>
    <row r="387" ht="15.75" customHeight="1">
      <c r="A387" s="3">
        <v>5.0</v>
      </c>
      <c r="B387" s="3" t="s">
        <v>1176</v>
      </c>
      <c r="C387" s="3" t="s">
        <v>1177</v>
      </c>
      <c r="D387" s="3" t="s">
        <v>37</v>
      </c>
      <c r="E387" s="3" t="s">
        <v>27</v>
      </c>
      <c r="F387" s="3" t="s">
        <v>15</v>
      </c>
      <c r="G387" s="3" t="s">
        <v>896</v>
      </c>
      <c r="H387" s="3" t="s">
        <v>29</v>
      </c>
      <c r="I387" s="3" t="str">
        <f>IFERROR(__xludf.DUMMYFUNCTION("GOOGLETRANSLATE(C387,""fr"",""en"")"),"Pleasant advisor, to answer all my questions, fast and efficient. Regarding prices, they remain competitive, first experience with you, hoping that everything is going well for the best")</f>
        <v>Pleasant advisor, to answer all my questions, fast and efficient. Regarding prices, they remain competitive, first experience with you, hoping that everything is going well for the best</v>
      </c>
    </row>
    <row r="388" ht="15.75" customHeight="1">
      <c r="A388" s="3">
        <v>3.0</v>
      </c>
      <c r="B388" s="3" t="s">
        <v>1178</v>
      </c>
      <c r="C388" s="3" t="s">
        <v>1179</v>
      </c>
      <c r="D388" s="3" t="s">
        <v>123</v>
      </c>
      <c r="E388" s="3" t="s">
        <v>27</v>
      </c>
      <c r="F388" s="3" t="s">
        <v>15</v>
      </c>
      <c r="G388" s="3" t="s">
        <v>824</v>
      </c>
      <c r="H388" s="3" t="s">
        <v>205</v>
      </c>
      <c r="I388" s="3" t="str">
        <f>IFERROR(__xludf.DUMMYFUNCTION("GOOGLETRANSLATE(C388,""fr"",""en"")"),"former ensures this company. APRES AFTER A surveillance duration before termination was planned for a year Information given by the agency statement Alencon for a reason that escapes the duration is extended or 2 years. The agency director does not respec"&amp;"t her Commitments. I have therefore resilled my 3 auto contracts. The multi -risk housing and my grandson will resller its auto contract and will not take out a multi -risk housing at the Maaf where I was nevertheless ensured for 30 years. It is true that"&amp;" the big problems currently are communication is the dialogue.")</f>
        <v>former ensures this company. APRES AFTER A surveillance duration before termination was planned for a year Information given by the agency statement Alencon for a reason that escapes the duration is extended or 2 years. The agency director does not respect her Commitments. I have therefore resilled my 3 auto contracts. The multi -risk housing and my grandson will resller its auto contract and will not take out a multi -risk housing at the Maaf where I was nevertheless ensured for 30 years. It is true that the big problems currently are communication is the dialogue.</v>
      </c>
    </row>
    <row r="389" ht="15.75" customHeight="1">
      <c r="A389" s="3">
        <v>2.0</v>
      </c>
      <c r="B389" s="3" t="s">
        <v>1180</v>
      </c>
      <c r="C389" s="3" t="s">
        <v>1181</v>
      </c>
      <c r="D389" s="3" t="s">
        <v>53</v>
      </c>
      <c r="E389" s="3" t="s">
        <v>27</v>
      </c>
      <c r="F389" s="3" t="s">
        <v>15</v>
      </c>
      <c r="G389" s="3" t="s">
        <v>1182</v>
      </c>
      <c r="H389" s="3" t="s">
        <v>58</v>
      </c>
      <c r="I389" s="3" t="str">
        <f>IFERROR(__xludf.DUMMYFUNCTION("GOOGLETRANSLATE(C389,""fr"",""en"")"),"I am satisfied with the service.
The price is a bit expensive.
I would like to obtain a revaluation of the proposed rate.
I would like to get a new price.")</f>
        <v>I am satisfied with the service.
The price is a bit expensive.
I would like to obtain a revaluation of the proposed rate.
I would like to get a new price.</v>
      </c>
    </row>
    <row r="390" ht="15.75" customHeight="1">
      <c r="A390" s="3">
        <v>1.0</v>
      </c>
      <c r="B390" s="3" t="s">
        <v>1183</v>
      </c>
      <c r="C390" s="3" t="s">
        <v>1184</v>
      </c>
      <c r="D390" s="3" t="s">
        <v>670</v>
      </c>
      <c r="E390" s="3" t="s">
        <v>27</v>
      </c>
      <c r="F390" s="3" t="s">
        <v>15</v>
      </c>
      <c r="G390" s="3" t="s">
        <v>1185</v>
      </c>
      <c r="H390" s="3" t="s">
        <v>195</v>
      </c>
      <c r="I390" s="3" t="str">
        <f>IFERROR(__xludf.DUMMYFUNCTION("GOOGLETRANSLATE(C390,""fr"",""en"")"),"To flee, commercial service, incompetent customer service and worse OPTEVEN, incompetent, aggressive assistance, hang up on the nose, do anything and put the fault on the various providers when I have written evidence. All the providers told me the same t"&amp;"hing ""We are used to with Opteven to do the work in their place"" and I too had to do the work in their place and apologize to the providers. I went up my complaints with the written evidence to the Eurofil mediator (Aviva subsidiary), who recognized him"&amp;"self the incompetence of this assistance, who went up the information to his management (Aviva) and management Opteven indicating that he had no hope of a return on their part and especially of an action so after less than 2 months insured at home, I will"&amp;" terminate with the agreement of the mediator and take a Competent and serious assistance and assistance because in 16 years of car insurance in various insurance, I have never experienced such a nightmare. With a bonus 51 and no claim, I'm not going to h"&amp;"ave trouble finding real insurance with agencies and having to do to natural persons rather than teleconsilors who allow themselves what they want because they are behind a phone.")</f>
        <v>To flee, commercial service, incompetent customer service and worse OPTEVEN, incompetent, aggressive assistance, hang up on the nose, do anything and put the fault on the various providers when I have written evidence. All the providers told me the same thing "We are used to with Opteven to do the work in their place" and I too had to do the work in their place and apologize to the providers. I went up my complaints with the written evidence to the Eurofil mediator (Aviva subsidiary), who recognized himself the incompetence of this assistance, who went up the information to his management (Aviva) and management Opteven indicating that he had no hope of a return on their part and especially of an action so after less than 2 months insured at home, I will terminate with the agreement of the mediator and take a Competent and serious assistance and assistance because in 16 years of car insurance in various insurance, I have never experienced such a nightmare. With a bonus 51 and no claim, I'm not going to have trouble finding real insurance with agencies and having to do to natural persons rather than teleconsilors who allow themselves what they want because they are behind a phone.</v>
      </c>
    </row>
    <row r="391" ht="15.75" customHeight="1">
      <c r="A391" s="3">
        <v>1.0</v>
      </c>
      <c r="B391" s="3" t="s">
        <v>1186</v>
      </c>
      <c r="C391" s="3" t="s">
        <v>1187</v>
      </c>
      <c r="D391" s="3" t="s">
        <v>13</v>
      </c>
      <c r="E391" s="3" t="s">
        <v>14</v>
      </c>
      <c r="F391" s="3" t="s">
        <v>15</v>
      </c>
      <c r="G391" s="3" t="s">
        <v>1188</v>
      </c>
      <c r="H391" s="3" t="s">
        <v>401</v>
      </c>
      <c r="I391" s="3" t="str">
        <f>IFERROR(__xludf.DUMMYFUNCTION("GOOGLETRANSLATE(C391,""fr"",""en"")"),"WARNING ! Young entrepreneur, I am very regularly asked by telephone calls from the Neoliane brokers. Sleeve activity! Has the business management center ...")</f>
        <v>WARNING ! Young entrepreneur, I am very regularly asked by telephone calls from the Neoliane brokers. Sleeve activity! Has the business management center ...</v>
      </c>
    </row>
    <row r="392" ht="15.75" customHeight="1">
      <c r="A392" s="3">
        <v>5.0</v>
      </c>
      <c r="B392" s="3" t="s">
        <v>1189</v>
      </c>
      <c r="C392" s="3" t="s">
        <v>1190</v>
      </c>
      <c r="D392" s="3" t="s">
        <v>1060</v>
      </c>
      <c r="E392" s="3" t="s">
        <v>805</v>
      </c>
      <c r="F392" s="3" t="s">
        <v>15</v>
      </c>
      <c r="G392" s="3" t="s">
        <v>1191</v>
      </c>
      <c r="H392" s="3" t="s">
        <v>72</v>
      </c>
      <c r="I392" s="3" t="str">
        <f>IFERROR(__xludf.DUMMYFUNCTION("GOOGLETRANSLATE(C392,""fr"",""en"")"),"First meeting with the vet with this insurance, I admit that I got afraid with all the opinions I have seen, even if some seem unfounded since everything is indicated in the contract.
And finally a good surprise, reimbursement deadlines of less than a we"&amp;"ek after full declaration of the disaster. Exchange by email and perfect phone, I wanted to know how to fill in not to have a problem and the people were very attentive.
Admittedly on the contract it is indicated 100% but there is always a deductible ("&amp;"as on the cars) it is written just below the table available H24 in our space, but I prefer to pay my franchise that the entire operation . A bit like us for glasses or others in the end ^^
I am satisfied with this insurance (for info I took the full f"&amp;"ormula is between two)")</f>
        <v>First meeting with the vet with this insurance, I admit that I got afraid with all the opinions I have seen, even if some seem unfounded since everything is indicated in the contract.
And finally a good surprise, reimbursement deadlines of less than a week after full declaration of the disaster. Exchange by email and perfect phone, I wanted to know how to fill in not to have a problem and the people were very attentive.
Admittedly on the contract it is indicated 100% but there is always a deductible (as on the cars) it is written just below the table available H24 in our space, but I prefer to pay my franchise that the entire operation . A bit like us for glasses or others in the end ^^
I am satisfied with this insurance (for info I took the full formula is between two)</v>
      </c>
    </row>
    <row r="393" ht="15.75" customHeight="1">
      <c r="A393" s="3">
        <v>2.0</v>
      </c>
      <c r="B393" s="3" t="s">
        <v>1192</v>
      </c>
      <c r="C393" s="3" t="s">
        <v>1193</v>
      </c>
      <c r="D393" s="3" t="s">
        <v>228</v>
      </c>
      <c r="E393" s="3" t="s">
        <v>14</v>
      </c>
      <c r="F393" s="3" t="s">
        <v>15</v>
      </c>
      <c r="G393" s="3" t="s">
        <v>1194</v>
      </c>
      <c r="H393" s="3" t="s">
        <v>1005</v>
      </c>
      <c r="I393" s="3" t="str">
        <f>IFERROR(__xludf.DUMMYFUNCTION("GOOGLETRANSLATE(C393,""fr"",""en"")"),"Impossible to harm my children who have become independent of my mutual mutual harmony despite a registered radiation request and a year that it lasts when they do not even have the right to keep a family contract with ""children"" of 23 and 28 years old,"&amp;" no dependent on parents .... we think we dream except that it is not dream .... lamentable! The worst is when they tell you that they refuse to radiate ... when they are illegally maintaining the contract")</f>
        <v>Impossible to harm my children who have become independent of my mutual mutual harmony despite a registered radiation request and a year that it lasts when they do not even have the right to keep a family contract with "children" of 23 and 28 years old, no dependent on parents .... we think we dream except that it is not dream .... lamentable! The worst is when they tell you that they refuse to radiate ... when they are illegally maintaining the contract</v>
      </c>
    </row>
    <row r="394" ht="15.75" customHeight="1">
      <c r="A394" s="3">
        <v>1.0</v>
      </c>
      <c r="B394" s="3" t="s">
        <v>1195</v>
      </c>
      <c r="C394" s="3" t="s">
        <v>1196</v>
      </c>
      <c r="D394" s="3" t="s">
        <v>26</v>
      </c>
      <c r="E394" s="3" t="s">
        <v>76</v>
      </c>
      <c r="F394" s="3" t="s">
        <v>15</v>
      </c>
      <c r="G394" s="3" t="s">
        <v>523</v>
      </c>
      <c r="H394" s="3" t="s">
        <v>50</v>
      </c>
      <c r="I394" s="3" t="str">
        <f>IFERROR(__xludf.DUMMYFUNCTION("GOOGLETRANSLATE(C394,""fr"",""en"")"),"Insurance which has nothing ""human insure"" I have a degate of waters, the declaration of sinister was made at the end of June. Whenever I call I have a different interlocutor because it is a platform. After sending the loss of a claim, and not having an"&amp;"y news I end up calling and there, a request for expertise is switched on. The latter answers me after 6 days for an August expertise. I may tell them that it is urgentisime that people do not sleep because it is a building and that several people are imp"&amp;"act, that it aggravates day by day, the.gmf s completely, it justifies the delai By the congestions and the fact that it rained a lot in June in the Val de Marne. It still seems to me that the intempery takes place all year round. Is it normal that the de"&amp;"lai is justified by the rain, the congests and I even had the right to ""the expert eats half a heurr"" I asked them to contact another expert to know if there are others available but the. answer is negative I would like to make a clip to say the truth, "&amp;"there is nothing of ""human insure"" as their advertisement told them in the management of my file. I told them that I am 6.5 months pregnant but no it changes nothing. When we have a watershed that is getting worse day by day and which forces many people"&amp;", we do everything to help them. And the intentures and the conges of summer are not an excuse to say ""we are fucked up with your problem, it is our delai which suits us very well to us and we sleep very well with"". I am ecoeuree by so much indifference"&amp;" and mepris..c is to cry. There should be a number Clausus, no need to advertise to have more customers if the GMF does not have human resources to manage claims. Insurance is not only to collect a maximum of contributions and leave the claims with their "&amp;"damage.
And when in positive opinions, I would like to know what their delai is for the expert to pass?")</f>
        <v>Insurance which has nothing "human insure" I have a degate of waters, the declaration of sinister was made at the end of June. Whenever I call I have a different interlocutor because it is a platform. After sending the loss of a claim, and not having any news I end up calling and there, a request for expertise is switched on. The latter answers me after 6 days for an August expertise. I may tell them that it is urgentisime that people do not sleep because it is a building and that several people are impact, that it aggravates day by day, the.gmf s completely, it justifies the delai By the congestions and the fact that it rained a lot in June in the Val de Marne. It still seems to me that the intempery takes place all year round. Is it normal that the delai is justified by the rain, the congests and I even had the right to "the expert eats half a heurr" I asked them to contact another expert to know if there are others available but the. answer is negative I would like to make a clip to say the truth, there is nothing of "human insure" as their advertisement told them in the management of my file. I told them that I am 6.5 months pregnant but no it changes nothing. When we have a watershed that is getting worse day by day and which forces many people, we do everything to help them. And the intentures and the conges of summer are not an excuse to say "we are fucked up with your problem, it is our delai which suits us very well to us and we sleep very well with". I am ecoeuree by so much indifference and mepris..c is to cry. There should be a number Clausus, no need to advertise to have more customers if the GMF does not have human resources to manage claims. Insurance is not only to collect a maximum of contributions and leave the claims with their damage.
And when in positive opinions, I would like to know what their delai is for the expert to pass?</v>
      </c>
    </row>
    <row r="395" ht="15.75" customHeight="1">
      <c r="A395" s="3">
        <v>5.0</v>
      </c>
      <c r="B395" s="3" t="s">
        <v>1197</v>
      </c>
      <c r="C395" s="3" t="s">
        <v>1198</v>
      </c>
      <c r="D395" s="3" t="s">
        <v>37</v>
      </c>
      <c r="E395" s="3" t="s">
        <v>27</v>
      </c>
      <c r="F395" s="3" t="s">
        <v>15</v>
      </c>
      <c r="G395" s="3" t="s">
        <v>983</v>
      </c>
      <c r="H395" s="3" t="s">
        <v>34</v>
      </c>
      <c r="I395" s="3" t="str">
        <f>IFERROR(__xludf.DUMMYFUNCTION("GOOGLETRANSLATE(C395,""fr"",""en"")"),"Resumption of the bonus since the delivery of my driving license despite the fact that I was only a secondary driver! Explanations, clear, clear and precise! PERFECT !")</f>
        <v>Resumption of the bonus since the delivery of my driving license despite the fact that I was only a secondary driver! Explanations, clear, clear and precise! PERFECT !</v>
      </c>
    </row>
    <row r="396" ht="15.75" customHeight="1">
      <c r="A396" s="3">
        <v>5.0</v>
      </c>
      <c r="B396" s="3" t="s">
        <v>1199</v>
      </c>
      <c r="C396" s="3" t="s">
        <v>1200</v>
      </c>
      <c r="D396" s="3" t="s">
        <v>80</v>
      </c>
      <c r="E396" s="3" t="s">
        <v>81</v>
      </c>
      <c r="F396" s="3" t="s">
        <v>15</v>
      </c>
      <c r="G396" s="3" t="s">
        <v>396</v>
      </c>
      <c r="H396" s="3" t="s">
        <v>29</v>
      </c>
      <c r="I396" s="3" t="str">
        <f>IFERROR(__xludf.DUMMYFUNCTION("GOOGLETRANSLATE(C396,""fr"",""en"")"),"Very satisfied
Quick subscription
We don't waste time we go to the basics
I like the system to take à la carte options without having to take out the highest offer")</f>
        <v>Very satisfied
Quick subscription
We don't waste time we go to the basics
I like the system to take à la carte options without having to take out the highest offer</v>
      </c>
    </row>
    <row r="397" ht="15.75" customHeight="1">
      <c r="A397" s="3">
        <v>5.0</v>
      </c>
      <c r="B397" s="3" t="s">
        <v>1201</v>
      </c>
      <c r="C397" s="3" t="s">
        <v>1202</v>
      </c>
      <c r="D397" s="3" t="s">
        <v>37</v>
      </c>
      <c r="E397" s="3" t="s">
        <v>27</v>
      </c>
      <c r="F397" s="3" t="s">
        <v>15</v>
      </c>
      <c r="G397" s="3" t="s">
        <v>1130</v>
      </c>
      <c r="H397" s="3" t="s">
        <v>29</v>
      </c>
      <c r="I397" s="3" t="str">
        <f>IFERROR(__xludf.DUMMYFUNCTION("GOOGLETRANSLATE(C397,""fr"",""en"")"),"I am really satisfied thank you it's good insurance I am really very happy with you are good insurance it is at a good price good day")</f>
        <v>I am really satisfied thank you it's good insurance I am really very happy with you are good insurance it is at a good price good day</v>
      </c>
    </row>
    <row r="398" ht="15.75" customHeight="1">
      <c r="A398" s="3">
        <v>5.0</v>
      </c>
      <c r="B398" s="3" t="s">
        <v>1203</v>
      </c>
      <c r="C398" s="3" t="s">
        <v>1204</v>
      </c>
      <c r="D398" s="3" t="s">
        <v>61</v>
      </c>
      <c r="E398" s="3" t="s">
        <v>14</v>
      </c>
      <c r="F398" s="3" t="s">
        <v>15</v>
      </c>
      <c r="G398" s="3" t="s">
        <v>1205</v>
      </c>
      <c r="H398" s="3" t="s">
        <v>316</v>
      </c>
      <c r="I398" s="3" t="str">
        <f>IFERROR(__xludf.DUMMYFUNCTION("GOOGLETRANSLATE(C398,""fr"",""en"")"),"I have been a customer for a long time (around 1992) with the Santiane company that I really appreciate, proof of my loyalty. And my interlocutor: Gwendal attracts my compliments for the clarity of his explanations, his politeness, the promptness. I want "&amp;"to thank him very much.
Elyane Gorsira
")</f>
        <v>I have been a customer for a long time (around 1992) with the Santiane company that I really appreciate, proof of my loyalty. And my interlocutor: Gwendal attracts my compliments for the clarity of his explanations, his politeness, the promptness. I want to thank him very much.
Elyane Gorsira
</v>
      </c>
    </row>
    <row r="399" ht="15.75" customHeight="1">
      <c r="A399" s="3">
        <v>1.0</v>
      </c>
      <c r="B399" s="3" t="s">
        <v>1206</v>
      </c>
      <c r="C399" s="3" t="s">
        <v>1207</v>
      </c>
      <c r="D399" s="3" t="s">
        <v>26</v>
      </c>
      <c r="E399" s="3" t="s">
        <v>27</v>
      </c>
      <c r="F399" s="3" t="s">
        <v>15</v>
      </c>
      <c r="G399" s="3" t="s">
        <v>1208</v>
      </c>
      <c r="H399" s="3" t="s">
        <v>183</v>
      </c>
      <c r="I399" s="3" t="str">
        <f>IFERROR(__xludf.DUMMYFUNCTION("GOOGLETRANSLATE(C399,""fr"",""en"")"),"Insured since I am an adult at GMF, nothing to report when everything is fine, but when, following a sinsstorer, I am without vehicle because the GMF approved convenience store delivered my vehicle to the garage in charge of repairs 5 hours after the sche"&amp;"duled time, leaving me without a means of transport, the garage is the Marengo garage in Marseille, surely taken up by a son or daughter in dad, completely incompetent and who fortunately in view of the accounts published or not should soon close, The war"&amp;"ned GMF of the situation did not make any commercial gesture, which forces me to leave it the choice of its partners who have already been reported without any action on their part.")</f>
        <v>Insured since I am an adult at GMF, nothing to report when everything is fine, but when, following a sinsstorer, I am without vehicle because the GMF approved convenience store delivered my vehicle to the garage in charge of repairs 5 hours after the scheduled time, leaving me without a means of transport, the garage is the Marengo garage in Marseille, surely taken up by a son or daughter in dad, completely incompetent and who fortunately in view of the accounts published or not should soon close, The warned GMF of the situation did not make any commercial gesture, which forces me to leave it the choice of its partners who have already been reported without any action on their part.</v>
      </c>
    </row>
    <row r="400" ht="15.75" customHeight="1">
      <c r="A400" s="3">
        <v>4.0</v>
      </c>
      <c r="B400" s="3" t="s">
        <v>1209</v>
      </c>
      <c r="C400" s="3" t="s">
        <v>1210</v>
      </c>
      <c r="D400" s="3" t="s">
        <v>53</v>
      </c>
      <c r="E400" s="3" t="s">
        <v>27</v>
      </c>
      <c r="F400" s="3" t="s">
        <v>15</v>
      </c>
      <c r="G400" s="3" t="s">
        <v>1148</v>
      </c>
      <c r="H400" s="3" t="s">
        <v>29</v>
      </c>
      <c r="I400" s="3" t="str">
        <f>IFERROR(__xludf.DUMMYFUNCTION("GOOGLETRANSLATE(C400,""fr"",""en"")"),"Satisfied with the service, it's fast and clear. After a little time if this feeling is confirmed I will undoubtedly pass my other car contracts at Direct.")</f>
        <v>Satisfied with the service, it's fast and clear. After a little time if this feeling is confirmed I will undoubtedly pass my other car contracts at Direct.</v>
      </c>
    </row>
    <row r="401" ht="15.75" customHeight="1">
      <c r="A401" s="3">
        <v>2.0</v>
      </c>
      <c r="B401" s="3" t="s">
        <v>1211</v>
      </c>
      <c r="C401" s="3" t="s">
        <v>1212</v>
      </c>
      <c r="D401" s="3" t="s">
        <v>42</v>
      </c>
      <c r="E401" s="3" t="s">
        <v>14</v>
      </c>
      <c r="F401" s="3" t="s">
        <v>15</v>
      </c>
      <c r="G401" s="3" t="s">
        <v>1213</v>
      </c>
      <c r="H401" s="3" t="s">
        <v>1109</v>
      </c>
      <c r="I401" s="3" t="str">
        <f>IFERROR(__xludf.DUMMYFUNCTION("GOOGLETRANSLATE(C401,""fr"",""en"")"),"To be fleece !!!!
Extremely long reimbursement time, requires an incredible amount of supporting documents to be reimbursed.
'6 months that we await our reimbursement and still nothing at present time despite the supporting documents sent. On the phone "&amp;"we are told and when it becomes too complicated to answer us we just hang up on the nose.")</f>
        <v>To be fleece !!!!
Extremely long reimbursement time, requires an incredible amount of supporting documents to be reimbursed.
'6 months that we await our reimbursement and still nothing at present time despite the supporting documents sent. On the phone we are told and when it becomes too complicated to answer us we just hang up on the nose.</v>
      </c>
    </row>
    <row r="402" ht="15.75" customHeight="1">
      <c r="A402" s="3">
        <v>1.0</v>
      </c>
      <c r="B402" s="3" t="s">
        <v>1214</v>
      </c>
      <c r="C402" s="3" t="s">
        <v>1215</v>
      </c>
      <c r="D402" s="3" t="s">
        <v>804</v>
      </c>
      <c r="E402" s="3" t="s">
        <v>805</v>
      </c>
      <c r="F402" s="3" t="s">
        <v>15</v>
      </c>
      <c r="G402" s="3" t="s">
        <v>1216</v>
      </c>
      <c r="H402" s="3" t="s">
        <v>276</v>
      </c>
      <c r="I402" s="3" t="str">
        <f>IFERROR(__xludf.DUMMYFUNCTION("GOOGLETRANSLATE(C402,""fr"",""en"")"),"To flee !!! they take advantage to increase prices every year without you being informed !! it's shameful to take advantage of the health concerns of our animals to make a fortune !!")</f>
        <v>To flee !!! they take advantage to increase prices every year without you being informed !! it's shameful to take advantage of the health concerns of our animals to make a fortune !!</v>
      </c>
    </row>
    <row r="403" ht="15.75" customHeight="1">
      <c r="A403" s="3">
        <v>5.0</v>
      </c>
      <c r="B403" s="3" t="s">
        <v>1217</v>
      </c>
      <c r="C403" s="3" t="s">
        <v>1218</v>
      </c>
      <c r="D403" s="3" t="s">
        <v>80</v>
      </c>
      <c r="E403" s="3" t="s">
        <v>81</v>
      </c>
      <c r="F403" s="3" t="s">
        <v>15</v>
      </c>
      <c r="G403" s="3" t="s">
        <v>1219</v>
      </c>
      <c r="H403" s="3" t="s">
        <v>99</v>
      </c>
      <c r="I403" s="3" t="str">
        <f>IFERROR(__xludf.DUMMYFUNCTION("GOOGLETRANSLATE(C403,""fr"",""en"")"),"I am very happy price really reasonable for a scooter thank you to the April Moto site I totally trust this assured insurance the same day")</f>
        <v>I am very happy price really reasonable for a scooter thank you to the April Moto site I totally trust this assured insurance the same day</v>
      </c>
    </row>
    <row r="404" ht="15.75" customHeight="1">
      <c r="A404" s="3">
        <v>2.0</v>
      </c>
      <c r="B404" s="3" t="s">
        <v>1220</v>
      </c>
      <c r="C404" s="3" t="s">
        <v>1221</v>
      </c>
      <c r="D404" s="3" t="s">
        <v>188</v>
      </c>
      <c r="E404" s="3" t="s">
        <v>48</v>
      </c>
      <c r="F404" s="3" t="s">
        <v>15</v>
      </c>
      <c r="G404" s="3" t="s">
        <v>509</v>
      </c>
      <c r="H404" s="3" t="s">
        <v>17</v>
      </c>
      <c r="I404" s="3" t="str">
        <f>IFERROR(__xludf.DUMMYFUNCTION("GOOGLETRANSLATE(C404,""fr"",""en"")"),"How much have your file fees raised? Insurance proposed by the broker, in charge of the financing file of our real estate project, which surely flared our naivety .....")</f>
        <v>How much have your file fees raised? Insurance proposed by the broker, in charge of the financing file of our real estate project, which surely flared our naivety .....</v>
      </c>
    </row>
    <row r="405" ht="15.75" customHeight="1">
      <c r="A405" s="3">
        <v>4.0</v>
      </c>
      <c r="B405" s="3" t="s">
        <v>1222</v>
      </c>
      <c r="C405" s="3" t="s">
        <v>1223</v>
      </c>
      <c r="D405" s="3" t="s">
        <v>37</v>
      </c>
      <c r="E405" s="3" t="s">
        <v>27</v>
      </c>
      <c r="F405" s="3" t="s">
        <v>15</v>
      </c>
      <c r="G405" s="3" t="s">
        <v>1224</v>
      </c>
      <c r="H405" s="3" t="s">
        <v>23</v>
      </c>
      <c r="I405" s="3" t="str">
        <f>IFERROR(__xludf.DUMMYFUNCTION("GOOGLETRANSLATE(C405,""fr"",""en"")"),"Satisfied with the information given and the speed of execution of contracts. Competent advisers and listening to their customers. Attractive prices.")</f>
        <v>Satisfied with the information given and the speed of execution of contracts. Competent advisers and listening to their customers. Attractive prices.</v>
      </c>
    </row>
    <row r="406" ht="15.75" customHeight="1">
      <c r="A406" s="3">
        <v>5.0</v>
      </c>
      <c r="B406" s="3" t="s">
        <v>1225</v>
      </c>
      <c r="C406" s="3" t="s">
        <v>1226</v>
      </c>
      <c r="D406" s="3" t="s">
        <v>53</v>
      </c>
      <c r="E406" s="3" t="s">
        <v>27</v>
      </c>
      <c r="F406" s="3" t="s">
        <v>15</v>
      </c>
      <c r="G406" s="3" t="s">
        <v>461</v>
      </c>
      <c r="H406" s="3" t="s">
        <v>50</v>
      </c>
      <c r="I406" s="3" t="str">
        <f>IFERROR(__xludf.DUMMYFUNCTION("GOOGLETRANSLATE(C406,""fr"",""en"")"),"I tell you bravos to continue you as it is great you are all great in any case me who is with you I am happy because in the event of a claim I was very happy that you are there for me is especially for my Situations thank you to you")</f>
        <v>I tell you bravos to continue you as it is great you are all great in any case me who is with you I am happy because in the event of a claim I was very happy that you are there for me is especially for my Situations thank you to you</v>
      </c>
    </row>
    <row r="407" ht="15.75" customHeight="1">
      <c r="A407" s="3">
        <v>5.0</v>
      </c>
      <c r="B407" s="3" t="s">
        <v>1227</v>
      </c>
      <c r="C407" s="3" t="s">
        <v>1228</v>
      </c>
      <c r="D407" s="3" t="s">
        <v>80</v>
      </c>
      <c r="E407" s="3" t="s">
        <v>81</v>
      </c>
      <c r="F407" s="3" t="s">
        <v>15</v>
      </c>
      <c r="G407" s="3" t="s">
        <v>1229</v>
      </c>
      <c r="H407" s="3" t="s">
        <v>29</v>
      </c>
      <c r="I407" s="3" t="str">
        <f>IFERROR(__xludf.DUMMYFUNCTION("GOOGLETRANSLATE(C407,""fr"",""en"")"),"Fast, effective the only reproach I can make is that the body guarantee will be better if it was included and not optional. Even if the amount will be equal, I just speak on the logical side of the contract.")</f>
        <v>Fast, effective the only reproach I can make is that the body guarantee will be better if it was included and not optional. Even if the amount will be equal, I just speak on the logical side of the contract.</v>
      </c>
    </row>
    <row r="408" ht="15.75" customHeight="1">
      <c r="A408" s="3">
        <v>2.0</v>
      </c>
      <c r="B408" s="3" t="s">
        <v>1230</v>
      </c>
      <c r="C408" s="3" t="s">
        <v>1231</v>
      </c>
      <c r="D408" s="3" t="s">
        <v>37</v>
      </c>
      <c r="E408" s="3" t="s">
        <v>27</v>
      </c>
      <c r="F408" s="3" t="s">
        <v>15</v>
      </c>
      <c r="G408" s="3" t="s">
        <v>827</v>
      </c>
      <c r="H408" s="3" t="s">
        <v>29</v>
      </c>
      <c r="I408" s="3" t="str">
        <f>IFERROR(__xludf.DUMMYFUNCTION("GOOGLETRANSLATE(C408,""fr"",""en"")"),"I find that quotes have increased sharply in 1 month. Over 150 euros. Otherwise, the site is very well done. I hope not to have an accident !!!!!!")</f>
        <v>I find that quotes have increased sharply in 1 month. Over 150 euros. Otherwise, the site is very well done. I hope not to have an accident !!!!!!</v>
      </c>
    </row>
    <row r="409" ht="15.75" customHeight="1">
      <c r="A409" s="3">
        <v>5.0</v>
      </c>
      <c r="B409" s="3" t="s">
        <v>1232</v>
      </c>
      <c r="C409" s="3" t="s">
        <v>1233</v>
      </c>
      <c r="D409" s="3" t="s">
        <v>157</v>
      </c>
      <c r="E409" s="3" t="s">
        <v>14</v>
      </c>
      <c r="F409" s="3" t="s">
        <v>15</v>
      </c>
      <c r="G409" s="3" t="s">
        <v>953</v>
      </c>
      <c r="H409" s="3" t="s">
        <v>29</v>
      </c>
      <c r="I409" s="3" t="str">
        <f>IFERROR(__xludf.DUMMYFUNCTION("GOOGLETRANSLATE(C409,""fr"",""en"")"),"Very efficient and above all employees who listen.
Force of advisers, aid force, strength understanding. To all the calls I made, the generation advisers answer you with very great professionalism. It is very rare to date, to have people who communicate "&amp;"you with viable and effective information. A huge bravo, has the whole generation team. You are really pros")</f>
        <v>Very efficient and above all employees who listen.
Force of advisers, aid force, strength understanding. To all the calls I made, the generation advisers answer you with very great professionalism. It is very rare to date, to have people who communicate you with viable and effective information. A huge bravo, has the whole generation team. You are really pros</v>
      </c>
    </row>
    <row r="410" ht="15.75" customHeight="1">
      <c r="A410" s="3">
        <v>2.0</v>
      </c>
      <c r="B410" s="3" t="s">
        <v>1234</v>
      </c>
      <c r="C410" s="3" t="s">
        <v>1235</v>
      </c>
      <c r="D410" s="3" t="s">
        <v>108</v>
      </c>
      <c r="E410" s="3" t="s">
        <v>81</v>
      </c>
      <c r="F410" s="3" t="s">
        <v>15</v>
      </c>
      <c r="G410" s="3" t="s">
        <v>1236</v>
      </c>
      <c r="H410" s="3" t="s">
        <v>411</v>
      </c>
      <c r="I410" s="3" t="str">
        <f>IFERROR(__xludf.DUMMYFUNCTION("GOOGLETRANSLATE(C410,""fr"",""en"")"),"I do not recommend a good plan
Unable to reach the management service! Do not answer the email or the phone
Customer service that really leaves something to be desired
Time that you need nothing all is well but if you ask them for any document or other"&amp;"s forgotten!")</f>
        <v>I do not recommend a good plan
Unable to reach the management service! Do not answer the email or the phone
Customer service that really leaves something to be desired
Time that you need nothing all is well but if you ask them for any document or others forgotten!</v>
      </c>
    </row>
    <row r="411" ht="15.75" customHeight="1">
      <c r="A411" s="3">
        <v>4.0</v>
      </c>
      <c r="B411" s="3" t="s">
        <v>1237</v>
      </c>
      <c r="C411" s="3" t="s">
        <v>1238</v>
      </c>
      <c r="D411" s="3" t="s">
        <v>53</v>
      </c>
      <c r="E411" s="3" t="s">
        <v>27</v>
      </c>
      <c r="F411" s="3" t="s">
        <v>15</v>
      </c>
      <c r="G411" s="3" t="s">
        <v>145</v>
      </c>
      <c r="H411" s="3" t="s">
        <v>99</v>
      </c>
      <c r="I411" s="3" t="str">
        <f>IFERROR(__xludf.DUMMYFUNCTION("GOOGLETRANSLATE(C411,""fr"",""en"")"),"Satisfied but I would have liked to have the monthly direct debit option
Otherwise the prices are very correct
Quote and subscription to the fast and simple contract")</f>
        <v>Satisfied but I would have liked to have the monthly direct debit option
Otherwise the prices are very correct
Quote and subscription to the fast and simple contract</v>
      </c>
    </row>
    <row r="412" ht="15.75" customHeight="1">
      <c r="A412" s="3">
        <v>5.0</v>
      </c>
      <c r="B412" s="3" t="s">
        <v>1239</v>
      </c>
      <c r="C412" s="3" t="s">
        <v>1240</v>
      </c>
      <c r="D412" s="3" t="s">
        <v>80</v>
      </c>
      <c r="E412" s="3" t="s">
        <v>81</v>
      </c>
      <c r="F412" s="3" t="s">
        <v>15</v>
      </c>
      <c r="G412" s="3" t="s">
        <v>272</v>
      </c>
      <c r="H412" s="3" t="s">
        <v>72</v>
      </c>
      <c r="I412" s="3" t="str">
        <f>IFERROR(__xludf.DUMMYFUNCTION("GOOGLETRANSLATE(C412,""fr"",""en"")"),"I am satisfied with the price thank you for your emailing and the very satisfied speed of the prices I advise everything but close to going through you for their motorcycle or other")</f>
        <v>I am satisfied with the price thank you for your emailing and the very satisfied speed of the prices I advise everything but close to going through you for their motorcycle or other</v>
      </c>
    </row>
    <row r="413" ht="15.75" customHeight="1">
      <c r="A413" s="3">
        <v>4.0</v>
      </c>
      <c r="B413" s="3" t="s">
        <v>1241</v>
      </c>
      <c r="C413" s="3" t="s">
        <v>1242</v>
      </c>
      <c r="D413" s="3" t="s">
        <v>53</v>
      </c>
      <c r="E413" s="3" t="s">
        <v>27</v>
      </c>
      <c r="F413" s="3" t="s">
        <v>15</v>
      </c>
      <c r="G413" s="3" t="s">
        <v>1243</v>
      </c>
      <c r="H413" s="3" t="s">
        <v>58</v>
      </c>
      <c r="I413" s="3" t="str">
        <f>IFERROR(__xludf.DUMMYFUNCTION("GOOGLETRANSLATE(C413,""fr"",""en"")"),"I am satisfied with the prices
The people who receive us on the phone are very attentive.
I recommend this insurance to many people and I will advertise .....")</f>
        <v>I am satisfied with the prices
The people who receive us on the phone are very attentive.
I recommend this insurance to many people and I will advertise .....</v>
      </c>
    </row>
    <row r="414" ht="15.75" customHeight="1">
      <c r="A414" s="3">
        <v>3.0</v>
      </c>
      <c r="B414" s="3" t="s">
        <v>1244</v>
      </c>
      <c r="C414" s="3" t="s">
        <v>1245</v>
      </c>
      <c r="D414" s="3" t="s">
        <v>61</v>
      </c>
      <c r="E414" s="3" t="s">
        <v>14</v>
      </c>
      <c r="F414" s="3" t="s">
        <v>15</v>
      </c>
      <c r="G414" s="3" t="s">
        <v>1246</v>
      </c>
      <c r="H414" s="3" t="s">
        <v>183</v>
      </c>
      <c r="I414" s="3" t="str">
        <f>IFERROR(__xludf.DUMMYFUNCTION("GOOGLETRANSLATE(C414,""fr"",""en"")"),"Leave to find better than my mutual")</f>
        <v>Leave to find better than my mutual</v>
      </c>
    </row>
    <row r="415" ht="15.75" customHeight="1">
      <c r="A415" s="3">
        <v>1.0</v>
      </c>
      <c r="B415" s="3" t="s">
        <v>1247</v>
      </c>
      <c r="C415" s="3" t="s">
        <v>1248</v>
      </c>
      <c r="D415" s="3" t="s">
        <v>399</v>
      </c>
      <c r="E415" s="3" t="s">
        <v>109</v>
      </c>
      <c r="F415" s="3" t="s">
        <v>15</v>
      </c>
      <c r="G415" s="3" t="s">
        <v>889</v>
      </c>
      <c r="H415" s="3" t="s">
        <v>17</v>
      </c>
      <c r="I415" s="3" t="str">
        <f>IFERROR(__xludf.DUMMYFUNCTION("GOOGLETRANSLATE(C415,""fr"",""en"")"),"
Avoid: high costs, lowest units (euros and account) on the market
(Cf: Morningstar), zero communication and follow -up. One of the BNP balls.
Never take insurance from a bank.")</f>
        <v>
Avoid: high costs, lowest units (euros and account) on the market
(Cf: Morningstar), zero communication and follow -up. One of the BNP balls.
Never take insurance from a bank.</v>
      </c>
    </row>
    <row r="416" ht="15.75" customHeight="1">
      <c r="A416" s="3">
        <v>3.0</v>
      </c>
      <c r="B416" s="3" t="s">
        <v>1249</v>
      </c>
      <c r="C416" s="3" t="s">
        <v>1250</v>
      </c>
      <c r="D416" s="3" t="s">
        <v>80</v>
      </c>
      <c r="E416" s="3" t="s">
        <v>81</v>
      </c>
      <c r="F416" s="3" t="s">
        <v>15</v>
      </c>
      <c r="G416" s="3" t="s">
        <v>1251</v>
      </c>
      <c r="H416" s="3" t="s">
        <v>1252</v>
      </c>
      <c r="I416" s="3" t="str">
        <f>IFERROR(__xludf.DUMMYFUNCTION("GOOGLETRANSLATE(C416,""fr"",""en"")"),"The prices are not decreasing enough when you provide several motorcycles, for me 4 vehicles, it's still too expensive
Sympathetic advisor but who has no decision -making power")</f>
        <v>The prices are not decreasing enough when you provide several motorcycles, for me 4 vehicles, it's still too expensive
Sympathetic advisor but who has no decision -making power</v>
      </c>
    </row>
    <row r="417" ht="15.75" customHeight="1">
      <c r="A417" s="3">
        <v>4.0</v>
      </c>
      <c r="B417" s="3" t="s">
        <v>1253</v>
      </c>
      <c r="C417" s="3" t="s">
        <v>1254</v>
      </c>
      <c r="D417" s="3" t="s">
        <v>37</v>
      </c>
      <c r="E417" s="3" t="s">
        <v>27</v>
      </c>
      <c r="F417" s="3" t="s">
        <v>15</v>
      </c>
      <c r="G417" s="3" t="s">
        <v>1255</v>
      </c>
      <c r="H417" s="3" t="s">
        <v>58</v>
      </c>
      <c r="I417" s="3" t="str">
        <f>IFERROR(__xludf.DUMMYFUNCTION("GOOGLETRANSLATE(C417,""fr"",""en"")"),"The prices are interesting I am satisfied I am a young driver and it is not easy to find insurance at a reasonable price I recommend")</f>
        <v>The prices are interesting I am satisfied I am a young driver and it is not easy to find insurance at a reasonable price I recommend</v>
      </c>
    </row>
    <row r="418" ht="15.75" customHeight="1">
      <c r="A418" s="3">
        <v>4.0</v>
      </c>
      <c r="B418" s="3" t="s">
        <v>1256</v>
      </c>
      <c r="C418" s="3" t="s">
        <v>1257</v>
      </c>
      <c r="D418" s="3" t="s">
        <v>37</v>
      </c>
      <c r="E418" s="3" t="s">
        <v>27</v>
      </c>
      <c r="F418" s="3" t="s">
        <v>15</v>
      </c>
      <c r="G418" s="3" t="s">
        <v>1258</v>
      </c>
      <c r="H418" s="3" t="s">
        <v>23</v>
      </c>
      <c r="I418" s="3" t="str">
        <f>IFERROR(__xludf.DUMMYFUNCTION("GOOGLETRANSLATE(C418,""fr"",""en"")"),"I am satisfied with your telephone reception of the speed and service of the information that you sent me during our telephone conversation
")</f>
        <v>I am satisfied with your telephone reception of the speed and service of the information that you sent me during our telephone conversation
</v>
      </c>
    </row>
    <row r="419" ht="15.75" customHeight="1">
      <c r="A419" s="3">
        <v>5.0</v>
      </c>
      <c r="B419" s="3" t="s">
        <v>1259</v>
      </c>
      <c r="C419" s="3" t="s">
        <v>1260</v>
      </c>
      <c r="D419" s="3" t="s">
        <v>53</v>
      </c>
      <c r="E419" s="3" t="s">
        <v>27</v>
      </c>
      <c r="F419" s="3" t="s">
        <v>15</v>
      </c>
      <c r="G419" s="3" t="s">
        <v>1261</v>
      </c>
      <c r="H419" s="3" t="s">
        <v>50</v>
      </c>
      <c r="I419" s="3" t="str">
        <f>IFERROR(__xludf.DUMMYFUNCTION("GOOGLETRANSLATE(C419,""fr"",""en"")"),"Very easy to subscribe online. top
I am delighted and insured, in addition the prices are really competitive to challenge any competition. I will come back for my other vehicles")</f>
        <v>Very easy to subscribe online. top
I am delighted and insured, in addition the prices are really competitive to challenge any competition. I will come back for my other vehicles</v>
      </c>
    </row>
    <row r="420" ht="15.75" customHeight="1">
      <c r="A420" s="3">
        <v>4.0</v>
      </c>
      <c r="B420" s="3" t="s">
        <v>1262</v>
      </c>
      <c r="C420" s="3" t="s">
        <v>1263</v>
      </c>
      <c r="D420" s="3" t="s">
        <v>57</v>
      </c>
      <c r="E420" s="3" t="s">
        <v>14</v>
      </c>
      <c r="F420" s="3" t="s">
        <v>15</v>
      </c>
      <c r="G420" s="3" t="s">
        <v>1264</v>
      </c>
      <c r="H420" s="3" t="s">
        <v>139</v>
      </c>
      <c r="I420" s="3" t="str">
        <f>IFERROR(__xludf.DUMMYFUNCTION("GOOGLETRANSLATE(C420,""fr"",""en"")"),"Efficient and welcoming staff on the phone")</f>
        <v>Efficient and welcoming staff on the phone</v>
      </c>
    </row>
    <row r="421" ht="15.75" customHeight="1">
      <c r="A421" s="3">
        <v>5.0</v>
      </c>
      <c r="B421" s="3" t="s">
        <v>1265</v>
      </c>
      <c r="C421" s="3" t="s">
        <v>1266</v>
      </c>
      <c r="D421" s="3" t="s">
        <v>1151</v>
      </c>
      <c r="E421" s="3" t="s">
        <v>48</v>
      </c>
      <c r="F421" s="3" t="s">
        <v>15</v>
      </c>
      <c r="G421" s="3" t="s">
        <v>1267</v>
      </c>
      <c r="H421" s="3" t="s">
        <v>58</v>
      </c>
      <c r="I421" s="3" t="str">
        <f>IFERROR(__xludf.DUMMYFUNCTION("GOOGLETRANSLATE(C421,""fr"",""en"")"),"Fast and efficient ... Perfect for this second try
Very good contact with my advisor, who reacts quickly. The signature interface is also simple.")</f>
        <v>Fast and efficient ... Perfect for this second try
Very good contact with my advisor, who reacts quickly. The signature interface is also simple.</v>
      </c>
    </row>
    <row r="422" ht="15.75" customHeight="1">
      <c r="A422" s="3">
        <v>4.0</v>
      </c>
      <c r="B422" s="3" t="s">
        <v>1268</v>
      </c>
      <c r="C422" s="3" t="s">
        <v>1269</v>
      </c>
      <c r="D422" s="3" t="s">
        <v>131</v>
      </c>
      <c r="E422" s="3" t="s">
        <v>27</v>
      </c>
      <c r="F422" s="3" t="s">
        <v>15</v>
      </c>
      <c r="G422" s="3" t="s">
        <v>1270</v>
      </c>
      <c r="H422" s="3" t="s">
        <v>428</v>
      </c>
      <c r="I422" s="3" t="str">
        <f>IFERROR(__xludf.DUMMYFUNCTION("GOOGLETRANSLATE(C422,""fr"",""en"")"),"I have been insured since 1970 my father since 1963 I have always been satisfied the only inconvenience today is not to be able to settle the claims directly in are chosen agency. I want to say that the agency of Pessac Alouette 33600 the Personal is at t"&amp;"he top I am really satisfied to find a really attentive staff and that the loyalty to the Matmut is well recognized. For my case I underwent a flight to the trailer I broke a window, stole several undeveloped objects, my agency of Pessac Alouette allowed "&amp;"with the social seat Matmut France to obtain a significant sum for loyalty. I sincerely thank to have helped me for this disaster. I can add that I suffered a burglary in 1991 and well here I was satisfied with my insurance.")</f>
        <v>I have been insured since 1970 my father since 1963 I have always been satisfied the only inconvenience today is not to be able to settle the claims directly in are chosen agency. I want to say that the agency of Pessac Alouette 33600 the Personal is at the top I am really satisfied to find a really attentive staff and that the loyalty to the Matmut is well recognized. For my case I underwent a flight to the trailer I broke a window, stole several undeveloped objects, my agency of Pessac Alouette allowed with the social seat Matmut France to obtain a significant sum for loyalty. I sincerely thank to have helped me for this disaster. I can add that I suffered a burglary in 1991 and well here I was satisfied with my insurance.</v>
      </c>
    </row>
    <row r="423" ht="15.75" customHeight="1">
      <c r="A423" s="3">
        <v>1.0</v>
      </c>
      <c r="B423" s="3" t="s">
        <v>1271</v>
      </c>
      <c r="C423" s="3" t="s">
        <v>1272</v>
      </c>
      <c r="D423" s="3" t="s">
        <v>1273</v>
      </c>
      <c r="E423" s="3" t="s">
        <v>805</v>
      </c>
      <c r="F423" s="3" t="s">
        <v>15</v>
      </c>
      <c r="G423" s="3" t="s">
        <v>1274</v>
      </c>
      <c r="H423" s="3" t="s">
        <v>347</v>
      </c>
      <c r="I423" s="3" t="str">
        <f>IFERROR(__xludf.DUMMYFUNCTION("GOOGLETRANSLATE(C423,""fr"",""en"")"),"Very strong on sale but more human coast and management by people who are not attentive who have the aim of telling you that it is never reimbursed")</f>
        <v>Very strong on sale but more human coast and management by people who are not attentive who have the aim of telling you that it is never reimbursed</v>
      </c>
    </row>
    <row r="424" ht="15.75" customHeight="1">
      <c r="A424" s="3">
        <v>1.0</v>
      </c>
      <c r="B424" s="3" t="s">
        <v>1275</v>
      </c>
      <c r="C424" s="3" t="s">
        <v>1276</v>
      </c>
      <c r="D424" s="3" t="s">
        <v>327</v>
      </c>
      <c r="E424" s="3" t="s">
        <v>27</v>
      </c>
      <c r="F424" s="3" t="s">
        <v>15</v>
      </c>
      <c r="G424" s="3" t="s">
        <v>222</v>
      </c>
      <c r="H424" s="3" t="s">
        <v>159</v>
      </c>
      <c r="I424" s="3" t="str">
        <f>IFERROR(__xludf.DUMMYFUNCTION("GOOGLETRANSLATE(C424,""fr"",""en"")"),"They treat their customers very badly by phone
No information for processing your file
Unacceptable slowness of files, 2.5 months without vehicle or being able to start the work
To flee absolutely !!! I return to my old insurer even if more expensive
"&amp;"I will also terminate all my other home and health contracts at home!")</f>
        <v>They treat their customers very badly by phone
No information for processing your file
Unacceptable slowness of files, 2.5 months without vehicle or being able to start the work
To flee absolutely !!! I return to my old insurer even if more expensive
I will also terminate all my other home and health contracts at home!</v>
      </c>
    </row>
    <row r="425" ht="15.75" customHeight="1">
      <c r="A425" s="3">
        <v>3.0</v>
      </c>
      <c r="B425" s="3" t="s">
        <v>1277</v>
      </c>
      <c r="C425" s="3" t="s">
        <v>1278</v>
      </c>
      <c r="D425" s="3" t="s">
        <v>327</v>
      </c>
      <c r="E425" s="3" t="s">
        <v>27</v>
      </c>
      <c r="F425" s="3" t="s">
        <v>15</v>
      </c>
      <c r="G425" s="3" t="s">
        <v>1279</v>
      </c>
      <c r="H425" s="3" t="s">
        <v>23</v>
      </c>
      <c r="I425" s="3" t="str">
        <f>IFERROR(__xludf.DUMMYFUNCTION("GOOGLETRANSLATE(C425,""fr"",""en"")"),"satisfied for the moment. We will see the use; I have a sympathetic interlocutor and attentive to my problem. I hope that the rest will be at the end of this contact.")</f>
        <v>satisfied for the moment. We will see the use; I have a sympathetic interlocutor and attentive to my problem. I hope that the rest will be at the end of this contact.</v>
      </c>
    </row>
    <row r="426" ht="15.75" customHeight="1">
      <c r="A426" s="3">
        <v>3.0</v>
      </c>
      <c r="B426" s="3" t="s">
        <v>1280</v>
      </c>
      <c r="C426" s="3" t="s">
        <v>1281</v>
      </c>
      <c r="D426" s="3" t="s">
        <v>53</v>
      </c>
      <c r="E426" s="3" t="s">
        <v>27</v>
      </c>
      <c r="F426" s="3" t="s">
        <v>15</v>
      </c>
      <c r="G426" s="3" t="s">
        <v>1282</v>
      </c>
      <c r="H426" s="3" t="s">
        <v>139</v>
      </c>
      <c r="I426" s="3" t="str">
        <f>IFERROR(__xludf.DUMMYFUNCTION("GOOGLETRANSLATE(C426,""fr"",""en"")"),"I am very satisfied with my contracts. Having three vehicles. Ensure at home I count on you to make a good price.")</f>
        <v>I am very satisfied with my contracts. Having three vehicles. Ensure at home I count on you to make a good price.</v>
      </c>
    </row>
    <row r="427" ht="15.75" customHeight="1">
      <c r="A427" s="3">
        <v>4.0</v>
      </c>
      <c r="B427" s="3" t="s">
        <v>1283</v>
      </c>
      <c r="C427" s="3" t="s">
        <v>1284</v>
      </c>
      <c r="D427" s="3" t="s">
        <v>131</v>
      </c>
      <c r="E427" s="3" t="s">
        <v>27</v>
      </c>
      <c r="F427" s="3" t="s">
        <v>15</v>
      </c>
      <c r="G427" s="3" t="s">
        <v>473</v>
      </c>
      <c r="H427" s="3" t="s">
        <v>169</v>
      </c>
      <c r="I427" s="3" t="str">
        <f>IFERROR(__xludf.DUMMYFUNCTION("GOOGLETRANSLATE(C427,""fr"",""en"")"),"Hello August 11, 2020, a hailstorm fell on the village of Fernoël in Puy-de-Dôme. A great exception since the inhabitants the ancients have never known this phenomenon. My car was very damaged and repatriate in the nearest garage. I had to have a loan car"&amp;" but unfortunately the Clermont-Ferrand car fleet had no vehicle available I found myself without a car. How I found myself in a big hassle but I recognize that the Matmut was effective and especially attentive. This situation is due to (the fault with no"&amp;" luck) no one is responsible I also thank the town hall of Fernoël and its inhabitants which have been of great support. My vehicle is not repairable due to work. I was repatriated by Europe Assistance by taxi to my house. A pleasant professional taxi com"&amp;"pany with a high -end vehicle. I recommend Matmut for its responsiveness and listening.
Ghislaine Lacombe")</f>
        <v>Hello August 11, 2020, a hailstorm fell on the village of Fernoël in Puy-de-Dôme. A great exception since the inhabitants the ancients have never known this phenomenon. My car was very damaged and repatriate in the nearest garage. I had to have a loan car but unfortunately the Clermont-Ferrand car fleet had no vehicle available I found myself without a car. How I found myself in a big hassle but I recognize that the Matmut was effective and especially attentive. This situation is due to (the fault with no luck) no one is responsible I also thank the town hall of Fernoël and its inhabitants which have been of great support. My vehicle is not repairable due to work. I was repatriated by Europe Assistance by taxi to my house. A pleasant professional taxi company with a high -end vehicle. I recommend Matmut for its responsiveness and listening.
Ghislaine Lacombe</v>
      </c>
    </row>
    <row r="428" ht="15.75" customHeight="1">
      <c r="A428" s="3">
        <v>5.0</v>
      </c>
      <c r="B428" s="3" t="s">
        <v>1285</v>
      </c>
      <c r="C428" s="3" t="s">
        <v>1286</v>
      </c>
      <c r="D428" s="3" t="s">
        <v>37</v>
      </c>
      <c r="E428" s="3" t="s">
        <v>27</v>
      </c>
      <c r="F428" s="3" t="s">
        <v>15</v>
      </c>
      <c r="G428" s="3" t="s">
        <v>577</v>
      </c>
      <c r="H428" s="3" t="s">
        <v>72</v>
      </c>
      <c r="I428" s="3" t="str">
        <f>IFERROR(__xludf.DUMMYFUNCTION("GOOGLETRANSLATE(C428,""fr"",""en"")"),"I am currently fully satisfied with the information given to me and hopes to remain insured as long as possible at the Olivier Insurance.")</f>
        <v>I am currently fully satisfied with the information given to me and hopes to remain insured as long as possible at the Olivier Insurance.</v>
      </c>
    </row>
    <row r="429" ht="15.75" customHeight="1">
      <c r="A429" s="3">
        <v>4.0</v>
      </c>
      <c r="B429" s="3" t="s">
        <v>1287</v>
      </c>
      <c r="C429" s="3" t="s">
        <v>1288</v>
      </c>
      <c r="D429" s="3" t="s">
        <v>37</v>
      </c>
      <c r="E429" s="3" t="s">
        <v>27</v>
      </c>
      <c r="F429" s="3" t="s">
        <v>15</v>
      </c>
      <c r="G429" s="3" t="s">
        <v>1289</v>
      </c>
      <c r="H429" s="3" t="s">
        <v>50</v>
      </c>
      <c r="I429" s="3" t="str">
        <f>IFERROR(__xludf.DUMMYFUNCTION("GOOGLETRANSLATE(C429,""fr"",""en"")"),"Satisfied, fast and well explained.
Courtois correspondent.
Question :
Why can't we be assured of all risks with a provisional number in WW?
")</f>
        <v>Satisfied, fast and well explained.
Courtois correspondent.
Question :
Why can't we be assured of all risks with a provisional number in WW?
</v>
      </c>
    </row>
    <row r="430" ht="15.75" customHeight="1">
      <c r="A430" s="3">
        <v>5.0</v>
      </c>
      <c r="B430" s="3" t="s">
        <v>1290</v>
      </c>
      <c r="C430" s="3" t="s">
        <v>1291</v>
      </c>
      <c r="D430" s="3" t="s">
        <v>157</v>
      </c>
      <c r="E430" s="3" t="s">
        <v>14</v>
      </c>
      <c r="F430" s="3" t="s">
        <v>15</v>
      </c>
      <c r="G430" s="3" t="s">
        <v>159</v>
      </c>
      <c r="H430" s="3" t="s">
        <v>159</v>
      </c>
      <c r="I430" s="3" t="str">
        <f>IFERROR(__xludf.DUMMYFUNCTION("GOOGLETRANSLATE(C430,""fr"",""en"")"),"Effective explains very very patient amiable and thank you its merit the 5 stars
Information explains at the top thank you for your help ??????????????????")</f>
        <v>Effective explains very very patient amiable and thank you its merit the 5 stars
Information explains at the top thank you for your help ??????????????????</v>
      </c>
    </row>
    <row r="431" ht="15.75" customHeight="1">
      <c r="A431" s="3">
        <v>5.0</v>
      </c>
      <c r="B431" s="3" t="s">
        <v>1292</v>
      </c>
      <c r="C431" s="3" t="s">
        <v>1293</v>
      </c>
      <c r="D431" s="3" t="s">
        <v>26</v>
      </c>
      <c r="E431" s="3" t="s">
        <v>27</v>
      </c>
      <c r="F431" s="3" t="s">
        <v>15</v>
      </c>
      <c r="G431" s="3" t="s">
        <v>98</v>
      </c>
      <c r="H431" s="3" t="s">
        <v>99</v>
      </c>
      <c r="I431" s="3" t="str">
        <f>IFERROR(__xludf.DUMMYFUNCTION("GOOGLETRANSLATE(C431,""fr"",""en"")"),"Very satisfied and always very responsive, the quotes are very clear and the prices very competitive.
Very good taking into account the files and the follow -up is impeccable.
I recommend")</f>
        <v>Very satisfied and always very responsive, the quotes are very clear and the prices very competitive.
Very good taking into account the files and the follow -up is impeccable.
I recommend</v>
      </c>
    </row>
    <row r="432" ht="15.75" customHeight="1">
      <c r="A432" s="3">
        <v>4.0</v>
      </c>
      <c r="B432" s="3" t="s">
        <v>1294</v>
      </c>
      <c r="C432" s="3" t="s">
        <v>1295</v>
      </c>
      <c r="D432" s="3" t="s">
        <v>97</v>
      </c>
      <c r="E432" s="3" t="s">
        <v>81</v>
      </c>
      <c r="F432" s="3" t="s">
        <v>15</v>
      </c>
      <c r="G432" s="3" t="s">
        <v>1296</v>
      </c>
      <c r="H432" s="3" t="s">
        <v>879</v>
      </c>
      <c r="I432" s="3" t="str">
        <f>IFERROR(__xludf.DUMMYFUNCTION("GOOGLETRANSLATE(C432,""fr"",""en"")"),"Insured at AMV for several years, no worries. 1 non -responsible sinister, the file was managed correctly.rish to say, perfect.")</f>
        <v>Insured at AMV for several years, no worries. 1 non -responsible sinister, the file was managed correctly.rish to say, perfect.</v>
      </c>
    </row>
    <row r="433" ht="15.75" customHeight="1">
      <c r="A433" s="3">
        <v>1.0</v>
      </c>
      <c r="B433" s="3" t="s">
        <v>1297</v>
      </c>
      <c r="C433" s="3" t="s">
        <v>1298</v>
      </c>
      <c r="D433" s="3" t="s">
        <v>53</v>
      </c>
      <c r="E433" s="3" t="s">
        <v>27</v>
      </c>
      <c r="F433" s="3" t="s">
        <v>15</v>
      </c>
      <c r="G433" s="3" t="s">
        <v>1299</v>
      </c>
      <c r="H433" s="3" t="s">
        <v>322</v>
      </c>
      <c r="I433" s="3" t="str">
        <f>IFERROR(__xludf.DUMMYFUNCTION("GOOGLETRANSLATE(C433,""fr"",""en"")"),"No respect for customers
Lack of considerations
Not professional
No interest")</f>
        <v>No respect for customers
Lack of considerations
Not professional
No interest</v>
      </c>
    </row>
    <row r="434" ht="15.75" customHeight="1">
      <c r="A434" s="3">
        <v>1.0</v>
      </c>
      <c r="B434" s="3" t="s">
        <v>1300</v>
      </c>
      <c r="C434" s="3" t="s">
        <v>1301</v>
      </c>
      <c r="D434" s="3" t="s">
        <v>80</v>
      </c>
      <c r="E434" s="3" t="s">
        <v>81</v>
      </c>
      <c r="F434" s="3" t="s">
        <v>15</v>
      </c>
      <c r="G434" s="3" t="s">
        <v>1302</v>
      </c>
      <c r="H434" s="3" t="s">
        <v>34</v>
      </c>
      <c r="I434" s="3" t="str">
        <f>IFERROR(__xludf.DUMMYFUNCTION("GOOGLETRANSLATE(C434,""fr"",""en"")"),"High price compared to the power of. Scooter I find it relatively expensive to compare to other insurer especially for a 50cc which remains most of the time in the garage")</f>
        <v>High price compared to the power of. Scooter I find it relatively expensive to compare to other insurer especially for a 50cc which remains most of the time in the garage</v>
      </c>
    </row>
    <row r="435" ht="15.75" customHeight="1">
      <c r="A435" s="3">
        <v>2.0</v>
      </c>
      <c r="B435" s="3" t="s">
        <v>1303</v>
      </c>
      <c r="C435" s="3" t="s">
        <v>1304</v>
      </c>
      <c r="D435" s="3" t="s">
        <v>26</v>
      </c>
      <c r="E435" s="3" t="s">
        <v>76</v>
      </c>
      <c r="F435" s="3" t="s">
        <v>15</v>
      </c>
      <c r="G435" s="3" t="s">
        <v>1305</v>
      </c>
      <c r="H435" s="3" t="s">
        <v>316</v>
      </c>
      <c r="I435" s="3" t="str">
        <f>IFERROR(__xludf.DUMMYFUNCTION("GOOGLETRANSLATE(C435,""fr"",""en"")"),"Impossible to attach the sinister service or you are made to wait almost 20 minutes on a surcharged number. If unfortunately you do not come across the right person, you are changed to another service without ensuring that the number responds and without "&amp;"any polite formula. And there, you come across a vocal server that tells you that everyone is online and that you have to remember before 5 p.m.! But I would like to join them before 5 p.m. but it's impossible .... how to do it?")</f>
        <v>Impossible to attach the sinister service or you are made to wait almost 20 minutes on a surcharged number. If unfortunately you do not come across the right person, you are changed to another service without ensuring that the number responds and without any polite formula. And there, you come across a vocal server that tells you that everyone is online and that you have to remember before 5 p.m.! But I would like to join them before 5 p.m. but it's impossible .... how to do it?</v>
      </c>
    </row>
    <row r="436" ht="15.75" customHeight="1">
      <c r="A436" s="3">
        <v>1.0</v>
      </c>
      <c r="B436" s="3" t="s">
        <v>1306</v>
      </c>
      <c r="C436" s="3" t="s">
        <v>1307</v>
      </c>
      <c r="D436" s="3" t="s">
        <v>327</v>
      </c>
      <c r="E436" s="3" t="s">
        <v>27</v>
      </c>
      <c r="F436" s="3" t="s">
        <v>15</v>
      </c>
      <c r="G436" s="3" t="s">
        <v>1308</v>
      </c>
      <c r="H436" s="3" t="s">
        <v>844</v>
      </c>
      <c r="I436" s="3" t="str">
        <f>IFERROR(__xludf.DUMMYFUNCTION("GOOGLETRANSLATE(C436,""fr"",""en"")"),"Insurance, in addition to being among the dear on the market, the guarantees are often poorly taken care of. Before reimbursing you, they first seek the slightest thing to refuse you, for example in relation to the questions they ask you when the contract"&amp;" is subscribed to tell you that you made a false declaration. I advise you to avoid it.")</f>
        <v>Insurance, in addition to being among the dear on the market, the guarantees are often poorly taken care of. Before reimbursing you, they first seek the slightest thing to refuse you, for example in relation to the questions they ask you when the contract is subscribed to tell you that you made a false declaration. I advise you to avoid it.</v>
      </c>
    </row>
    <row r="437" ht="15.75" customHeight="1">
      <c r="A437" s="3">
        <v>1.0</v>
      </c>
      <c r="B437" s="3" t="s">
        <v>1309</v>
      </c>
      <c r="C437" s="3" t="s">
        <v>1310</v>
      </c>
      <c r="D437" s="3" t="s">
        <v>327</v>
      </c>
      <c r="E437" s="3" t="s">
        <v>76</v>
      </c>
      <c r="F437" s="3" t="s">
        <v>15</v>
      </c>
      <c r="G437" s="3" t="s">
        <v>1311</v>
      </c>
      <c r="H437" s="3" t="s">
        <v>23</v>
      </c>
      <c r="I437" s="3" t="str">
        <f>IFERROR(__xludf.DUMMYFUNCTION("GOOGLETRANSLATE(C437,""fr"",""en"")"),"Client for 17 years, declaration of a fractured garage door + 1 water damage in 2 years with challenge to their expertise ... Calls, vocal messages left on their answers who specify not to recall, the message having been taken in account and as they work "&amp;"(them!) Many, they will get in touch with me '' as soon as possible ''. 2 weeks: nothing!
Then a return, I re -explain the inches of their observation .....
Reception 48 hours after a termination letter!
Conclusion, '' perfect 'assurance' as long as we"&amp;" declare any claim, otherwise termination!
Never mind, I change the bank: that, resounds my mother's home, as well as her car and the other 2 of our household ...
By ease, we focus everything on his bank, obviously a big mistake. The competition is ther"&amp;"e and more expensive! !!
")</f>
        <v>Client for 17 years, declaration of a fractured garage door + 1 water damage in 2 years with challenge to their expertise ... Calls, vocal messages left on their answers who specify not to recall, the message having been taken in account and as they work (them!) Many, they will get in touch with me '' as soon as possible ''. 2 weeks: nothing!
Then a return, I re -explain the inches of their observation .....
Reception 48 hours after a termination letter!
Conclusion, '' perfect 'assurance' as long as we declare any claim, otherwise termination!
Never mind, I change the bank: that, resounds my mother's home, as well as her car and the other 2 of our household ...
By ease, we focus everything on his bank, obviously a big mistake. The competition is there and more expensive! !!
</v>
      </c>
    </row>
    <row r="438" ht="15.75" customHeight="1">
      <c r="A438" s="3">
        <v>5.0</v>
      </c>
      <c r="B438" s="3" t="s">
        <v>1312</v>
      </c>
      <c r="C438" s="3" t="s">
        <v>1313</v>
      </c>
      <c r="D438" s="3" t="s">
        <v>53</v>
      </c>
      <c r="E438" s="3" t="s">
        <v>27</v>
      </c>
      <c r="F438" s="3" t="s">
        <v>15</v>
      </c>
      <c r="G438" s="3" t="s">
        <v>1314</v>
      </c>
      <c r="H438" s="3" t="s">
        <v>29</v>
      </c>
      <c r="I438" s="3" t="str">
        <f>IFERROR(__xludf.DUMMYFUNCTION("GOOGLETRANSLATE(C438,""fr"",""en"")"),"I am very satisfied with my car quote by Direct Assurances
Because the merchant site is very aperationel and attentive to customers thank you for you cordially")</f>
        <v>I am very satisfied with my car quote by Direct Assurances
Because the merchant site is very aperationel and attentive to customers thank you for you cordially</v>
      </c>
    </row>
    <row r="439" ht="15.75" customHeight="1">
      <c r="A439" s="3">
        <v>4.0</v>
      </c>
      <c r="B439" s="3" t="s">
        <v>1315</v>
      </c>
      <c r="C439" s="3" t="s">
        <v>1316</v>
      </c>
      <c r="D439" s="3" t="s">
        <v>26</v>
      </c>
      <c r="E439" s="3" t="s">
        <v>27</v>
      </c>
      <c r="F439" s="3" t="s">
        <v>15</v>
      </c>
      <c r="G439" s="3" t="s">
        <v>1317</v>
      </c>
      <c r="H439" s="3" t="s">
        <v>99</v>
      </c>
      <c r="I439" s="3" t="str">
        <f>IFERROR(__xludf.DUMMYFUNCTION("GOOGLETRANSLATE(C439,""fr"",""en"")"),"I am satisfied with the services, but I would like GMF to be a force for proposals. In order to adapt your offers compared to our family
With three children who grow up ....")</f>
        <v>I am satisfied with the services, but I would like GMF to be a force for proposals. In order to adapt your offers compared to our family
With three children who grow up ....</v>
      </c>
    </row>
    <row r="440" ht="15.75" customHeight="1">
      <c r="A440" s="3">
        <v>2.0</v>
      </c>
      <c r="B440" s="3" t="s">
        <v>1318</v>
      </c>
      <c r="C440" s="3" t="s">
        <v>1319</v>
      </c>
      <c r="D440" s="3" t="s">
        <v>137</v>
      </c>
      <c r="E440" s="3" t="s">
        <v>27</v>
      </c>
      <c r="F440" s="3" t="s">
        <v>15</v>
      </c>
      <c r="G440" s="3" t="s">
        <v>1320</v>
      </c>
      <c r="H440" s="3" t="s">
        <v>183</v>
      </c>
      <c r="I440" s="3" t="str">
        <f>IFERROR(__xludf.DUMMYFUNCTION("GOOGLETRANSLATE(C440,""fr"",""en"")"),"We had a breakdown with my truck more than a month ago in Slovenia La Maif is reactive and had the truck repaired on the road 2 hours later we are under the same breakdown and from the vehicle is still blocked in Italy no vehicle replacement and we will n"&amp;"ot be able to go on vacation in a few days without the MAIF truck gave us the n of such in Italy which responds after 30 minutes see 1 hour and the vehicle is still not repaired despite our regular calls what way we have To act there is a time defined for"&amp;" a fairly banal repair thank you for your answers")</f>
        <v>We had a breakdown with my truck more than a month ago in Slovenia La Maif is reactive and had the truck repaired on the road 2 hours later we are under the same breakdown and from the vehicle is still blocked in Italy no vehicle replacement and we will not be able to go on vacation in a few days without the MAIF truck gave us the n of such in Italy which responds after 30 minutes see 1 hour and the vehicle is still not repaired despite our regular calls what way we have To act there is a time defined for a fairly banal repair thank you for your answers</v>
      </c>
    </row>
    <row r="441" ht="15.75" customHeight="1">
      <c r="A441" s="3">
        <v>2.0</v>
      </c>
      <c r="B441" s="3" t="s">
        <v>1321</v>
      </c>
      <c r="C441" s="3" t="s">
        <v>1322</v>
      </c>
      <c r="D441" s="3" t="s">
        <v>804</v>
      </c>
      <c r="E441" s="3" t="s">
        <v>805</v>
      </c>
      <c r="F441" s="3" t="s">
        <v>15</v>
      </c>
      <c r="G441" s="3" t="s">
        <v>1323</v>
      </c>
      <c r="H441" s="3" t="s">
        <v>39</v>
      </c>
      <c r="I441" s="3" t="str">
        <f>IFERROR(__xludf.DUMMYFUNCTION("GOOGLETRANSLATE(C441,""fr"",""en"")"),"Customer service is deplorable.
They do not even bother to recall even after several emails with acknowledgment of receipt and reading.
It is a carnage to terminate.
If they took at least time to complete the personal spaces of their customers with mai"&amp;"l letters such as ""the price increases"" instead of sending emails that never arrive at their recipient.
So at the start of the surprise year increase in prices ... I check my emails ... Nothing.
I contact customer service is limited if I am not taken "&amp;"for a stupid. ""We sent the email well so you can't cancel it's too late. Bin it makes me a nice leg")</f>
        <v>Customer service is deplorable.
They do not even bother to recall even after several emails with acknowledgment of receipt and reading.
It is a carnage to terminate.
If they took at least time to complete the personal spaces of their customers with mail letters such as "the price increases" instead of sending emails that never arrive at their recipient.
So at the start of the surprise year increase in prices ... I check my emails ... Nothing.
I contact customer service is limited if I am not taken for a stupid. "We sent the email well so you can't cancel it's too late. Bin it makes me a nice leg</v>
      </c>
    </row>
    <row r="442" ht="15.75" customHeight="1">
      <c r="A442" s="3">
        <v>1.0</v>
      </c>
      <c r="B442" s="3" t="s">
        <v>1324</v>
      </c>
      <c r="C442" s="3" t="s">
        <v>1325</v>
      </c>
      <c r="D442" s="3" t="s">
        <v>373</v>
      </c>
      <c r="E442" s="3" t="s">
        <v>14</v>
      </c>
      <c r="F442" s="3" t="s">
        <v>15</v>
      </c>
      <c r="G442" s="3" t="s">
        <v>77</v>
      </c>
      <c r="H442" s="3" t="s">
        <v>72</v>
      </c>
      <c r="I442" s="3" t="str">
        <f>IFERROR(__xludf.DUMMYFUNCTION("GOOGLETRANSLATE(C442,""fr"",""en"")"),"Unfortunately, I cannot change the mutual because it is that of my work. A shame ! In recent months has become catastrophic! I sent an invoice for my son's dental. I am announced 1 month of Delai !!! We are May 18 and still no refund! I called them 4 time"&amp;"s after spending more than 30 min wait to get someone on the phone. Their response ? We send your request to the service concerned. In addition I do not know how they manage to manage so as not to succeed in taking from my account 7.50 € that they have ta"&amp;"ken without problem every month for 3 years. I do not know how they demerd but they no longer take the sample and then I receive mail of formal notice !! So there it is too much !!! If you are looking for a mutual. Go your way these are good to nothing !!"&amp;"!")</f>
        <v>Unfortunately, I cannot change the mutual because it is that of my work. A shame ! In recent months has become catastrophic! I sent an invoice for my son's dental. I am announced 1 month of Delai !!! We are May 18 and still no refund! I called them 4 times after spending more than 30 min wait to get someone on the phone. Their response ? We send your request to the service concerned. In addition I do not know how they manage to manage so as not to succeed in taking from my account 7.50 € that they have taken without problem every month for 3 years. I do not know how they demerd but they no longer take the sample and then I receive mail of formal notice !! So there it is too much !!! If you are looking for a mutual. Go your way these are good to nothing !!!</v>
      </c>
    </row>
    <row r="443" ht="15.75" customHeight="1">
      <c r="A443" s="3">
        <v>4.0</v>
      </c>
      <c r="B443" s="3" t="s">
        <v>1326</v>
      </c>
      <c r="C443" s="3" t="s">
        <v>1327</v>
      </c>
      <c r="D443" s="3" t="s">
        <v>53</v>
      </c>
      <c r="E443" s="3" t="s">
        <v>27</v>
      </c>
      <c r="F443" s="3" t="s">
        <v>15</v>
      </c>
      <c r="G443" s="3" t="s">
        <v>1328</v>
      </c>
      <c r="H443" s="3" t="s">
        <v>58</v>
      </c>
      <c r="I443" s="3" t="str">
        <f>IFERROR(__xludf.DUMMYFUNCTION("GOOGLETRANSLATE(C443,""fr"",""en"")"),"I am satisfied with direct insurance on the other hand when you have an accident there is not a lot of garage affiliated on antibes !! Otherwise you are reactive")</f>
        <v>I am satisfied with direct insurance on the other hand when you have an accident there is not a lot of garage affiliated on antibes !! Otherwise you are reactive</v>
      </c>
    </row>
    <row r="444" ht="15.75" customHeight="1">
      <c r="A444" s="3">
        <v>1.0</v>
      </c>
      <c r="B444" s="3" t="s">
        <v>1329</v>
      </c>
      <c r="C444" s="3" t="s">
        <v>1330</v>
      </c>
      <c r="D444" s="3" t="s">
        <v>85</v>
      </c>
      <c r="E444" s="3" t="s">
        <v>27</v>
      </c>
      <c r="F444" s="3" t="s">
        <v>15</v>
      </c>
      <c r="G444" s="3" t="s">
        <v>1331</v>
      </c>
      <c r="H444" s="3" t="s">
        <v>230</v>
      </c>
      <c r="I444" s="3" t="str">
        <f>IFERROR(__xludf.DUMMYFUNCTION("GOOGLETRANSLATE(C444,""fr"",""en"")"),"File 13877. I terminated the same day of my subscription following 2 3 calls from customer service. Nothing is clear. Impossible to add a second driver and it is stipulated anywhere. All that they tell me is that it is in the emails that I received. And I"&amp;" found nothing. Incompetent customer service. I have been terminated for 5 days per recommended. And still no confirmation on their part. They ask me to complete the papers.lol.j I paid the year and I am waiting for me to reimburse me to assure me elsewhe"&amp;"re. I am in catastrophic vagueness! !!!!")</f>
        <v>File 13877. I terminated the same day of my subscription following 2 3 calls from customer service. Nothing is clear. Impossible to add a second driver and it is stipulated anywhere. All that they tell me is that it is in the emails that I received. And I found nothing. Incompetent customer service. I have been terminated for 5 days per recommended. And still no confirmation on their part. They ask me to complete the papers.lol.j I paid the year and I am waiting for me to reimburse me to assure me elsewhere. I am in catastrophic vagueness! !!!!</v>
      </c>
    </row>
    <row r="445" ht="15.75" customHeight="1">
      <c r="A445" s="3">
        <v>2.0</v>
      </c>
      <c r="B445" s="3" t="s">
        <v>1332</v>
      </c>
      <c r="C445" s="3" t="s">
        <v>1333</v>
      </c>
      <c r="D445" s="3" t="s">
        <v>131</v>
      </c>
      <c r="E445" s="3" t="s">
        <v>27</v>
      </c>
      <c r="F445" s="3" t="s">
        <v>15</v>
      </c>
      <c r="G445" s="3" t="s">
        <v>1334</v>
      </c>
      <c r="H445" s="3" t="s">
        <v>262</v>
      </c>
      <c r="I445" s="3" t="str">
        <f>IFERROR(__xludf.DUMMYFUNCTION("GOOGLETRANSLATE(C445,""fr"",""en"")"),"Works with wicked experts with garage owners
noted following the use of legal assistance following repair in a mechanic
If you express your dissatisfaction we try to drown the fish")</f>
        <v>Works with wicked experts with garage owners
noted following the use of legal assistance following repair in a mechanic
If you express your dissatisfaction we try to drown the fish</v>
      </c>
    </row>
    <row r="446" ht="15.75" customHeight="1">
      <c r="A446" s="3">
        <v>2.0</v>
      </c>
      <c r="B446" s="3" t="s">
        <v>1335</v>
      </c>
      <c r="C446" s="3" t="s">
        <v>1336</v>
      </c>
      <c r="D446" s="3" t="s">
        <v>1337</v>
      </c>
      <c r="E446" s="3" t="s">
        <v>48</v>
      </c>
      <c r="F446" s="3" t="s">
        <v>15</v>
      </c>
      <c r="G446" s="3" t="s">
        <v>1338</v>
      </c>
      <c r="H446" s="3" t="s">
        <v>1022</v>
      </c>
      <c r="I446" s="3" t="str">
        <f>IFERROR(__xludf.DUMMYFUNCTION("GOOGLETRANSLATE(C446,""fr"",""en"")"),"On stop following an arthrodesis, I can no longer resume my workstation. Being too young the CPAM asks me to do a skill assessment to find training compatible with my state of health in order to avoid disability. As a result in the future estimated that I"&amp;" was stable while not at all! I am disappointed and think of calling on a lawyer or a consumer association. What is certain is that I will change cremerie")</f>
        <v>On stop following an arthrodesis, I can no longer resume my workstation. Being too young the CPAM asks me to do a skill assessment to find training compatible with my state of health in order to avoid disability. As a result in the future estimated that I was stable while not at all! I am disappointed and think of calling on a lawyer or a consumer association. What is certain is that I will change cremerie</v>
      </c>
    </row>
    <row r="447" ht="15.75" customHeight="1">
      <c r="A447" s="3">
        <v>5.0</v>
      </c>
      <c r="B447" s="3" t="s">
        <v>1339</v>
      </c>
      <c r="C447" s="3" t="s">
        <v>1340</v>
      </c>
      <c r="D447" s="3" t="s">
        <v>37</v>
      </c>
      <c r="E447" s="3" t="s">
        <v>27</v>
      </c>
      <c r="F447" s="3" t="s">
        <v>15</v>
      </c>
      <c r="G447" s="3" t="s">
        <v>809</v>
      </c>
      <c r="H447" s="3" t="s">
        <v>99</v>
      </c>
      <c r="I447" s="3" t="str">
        <f>IFERROR(__xludf.DUMMYFUNCTION("GOOGLETRANSLATE(C447,""fr"",""en"")"),"I am satisfied with the service in general of the price offered and the speed of the very professional advisor I would strongly recommend it to those around me")</f>
        <v>I am satisfied with the service in general of the price offered and the speed of the very professional advisor I would strongly recommend it to those around me</v>
      </c>
    </row>
    <row r="448" ht="15.75" customHeight="1">
      <c r="A448" s="3">
        <v>2.0</v>
      </c>
      <c r="B448" s="3" t="s">
        <v>1341</v>
      </c>
      <c r="C448" s="3" t="s">
        <v>1342</v>
      </c>
      <c r="D448" s="3" t="s">
        <v>153</v>
      </c>
      <c r="E448" s="3" t="s">
        <v>81</v>
      </c>
      <c r="F448" s="3" t="s">
        <v>15</v>
      </c>
      <c r="G448" s="3" t="s">
        <v>1343</v>
      </c>
      <c r="H448" s="3" t="s">
        <v>58</v>
      </c>
      <c r="I448" s="3" t="str">
        <f>IFERROR(__xludf.DUMMYFUNCTION("GOOGLETRANSLATE(C448,""fr"",""en"")"),"For a 500 from the 80s transformed into Racer coffee, I subscribed to ""my personal"" insurance a year ago by relying on an expert assigned by the MDM. I just received my maturity notice: +32% increase !!!!! Of course no claim ...
MDM response:
The surg"&amp;"e of bodily claims (to believe that all the ""sleeves"" that are planted in bike are all assured at MDM, since the other companies are very far from increasing their prices in such proportions ...
Another reason invoked: the technology embedded more and "&amp;"more expensive ... On a 500 mono of 81, so 40 -year -old bike, I let you imagine GPS and other ABS ... Lavable ...
PROBLEM :
I have a transformed bike. Who will now want to make sure if I talk about it ??? And if I say nothing, what about the care in th"&amp;"e event of a claim ???
With 32% of augmentatiuon, I am convinced that the MDM has loaded a maximum the contras ""my person"" because they know very well that we cannot go to see elsewhere, being the only ones to my knowledge to do this type of on the mar"&amp;"ket...
While it is statistically proven that the NB of claims with this type of bike is no higher even even lower than with the motorcycles of origin (dixit the advisor MDM himself at the time of subscription he a year ago !!!).
Lamentable, disgusted, a"&amp;" stab on the back ... To flee
PS: I left my backrest number to get a response ... I wait
")</f>
        <v>For a 500 from the 80s transformed into Racer coffee, I subscribed to "my personal" insurance a year ago by relying on an expert assigned by the MDM. I just received my maturity notice: +32% increase !!!!! Of course no claim ...
MDM response:
The surge of bodily claims (to believe that all the "sleeves" that are planted in bike are all assured at MDM, since the other companies are very far from increasing their prices in such proportions ...
Another reason invoked: the technology embedded more and more expensive ... On a 500 mono of 81, so 40 -year -old bike, I let you imagine GPS and other ABS ... Lavable ...
PROBLEM :
I have a transformed bike. Who will now want to make sure if I talk about it ??? And if I say nothing, what about the care in the event of a claim ???
With 32% of augmentatiuon, I am convinced that the MDM has loaded a maximum the contras "my person" because they know very well that we cannot go to see elsewhere, being the only ones to my knowledge to do this type of on the market...
While it is statistically proven that the NB of claims with this type of bike is no higher even even lower than with the motorcycles of origin (dixit the advisor MDM himself at the time of subscription he a year ago !!!).
Lamentable, disgusted, a stab on the back ... To flee
PS: I left my backrest number to get a response ... I wait
</v>
      </c>
    </row>
    <row r="449" ht="15.75" customHeight="1">
      <c r="A449" s="3">
        <v>4.0</v>
      </c>
      <c r="B449" s="3" t="s">
        <v>1344</v>
      </c>
      <c r="C449" s="3" t="s">
        <v>1345</v>
      </c>
      <c r="D449" s="3" t="s">
        <v>26</v>
      </c>
      <c r="E449" s="3" t="s">
        <v>27</v>
      </c>
      <c r="F449" s="3" t="s">
        <v>15</v>
      </c>
      <c r="G449" s="3" t="s">
        <v>1018</v>
      </c>
      <c r="H449" s="3" t="s">
        <v>50</v>
      </c>
      <c r="I449" s="3" t="str">
        <f>IFERROR(__xludf.DUMMYFUNCTION("GOOGLETRANSLATE(C449,""fr"",""en"")"),"I am satisfied with the service and the offers offered.
The only downside is the price! I find high the amount I pay per month given the number of years I am insured at home.")</f>
        <v>I am satisfied with the service and the offers offered.
The only downside is the price! I find high the amount I pay per month given the number of years I am insured at home.</v>
      </c>
    </row>
    <row r="450" ht="15.75" customHeight="1">
      <c r="A450" s="3">
        <v>1.0</v>
      </c>
      <c r="B450" s="3" t="s">
        <v>1346</v>
      </c>
      <c r="C450" s="3" t="s">
        <v>1347</v>
      </c>
      <c r="D450" s="3" t="s">
        <v>32</v>
      </c>
      <c r="E450" s="3" t="s">
        <v>14</v>
      </c>
      <c r="F450" s="3" t="s">
        <v>15</v>
      </c>
      <c r="G450" s="3" t="s">
        <v>1098</v>
      </c>
      <c r="H450" s="3" t="s">
        <v>378</v>
      </c>
      <c r="I450" s="3" t="str">
        <f>IFERROR(__xludf.DUMMYFUNCTION("GOOGLETRANSLATE(C450,""fr"",""en"")"),"I was in this insurance for several years. I wanted to terminate and they immediately called me to ask me to stay. I said no and they harassed me to offer me a preferential price that I could still terminate at the end of the year. I was very surprised be"&amp;"cause what they said on the phone did not correspond to what was written on the contract.
I was assured and promised by phone that I could terminate before the end of the first year. I signed and ... Result, impossible to terminate as they had promised. "&amp;"Do not get fooled by the blablas that you tell you on the phone and look at each line of the contract. If you don't want to waste time reading hundreds of legal lines, just take a mutual insurance company that you can trust. Please contact me to tell me a"&amp;"bout all the problems of this type you have with them. I will collect all the people who have been abused like me. I will also collect on social networks. If you have recorded them, which I regret not having done, send me the proofs that we can go up the "&amp;"abuses in court.")</f>
        <v>I was in this insurance for several years. I wanted to terminate and they immediately called me to ask me to stay. I said no and they harassed me to offer me a preferential price that I could still terminate at the end of the year. I was very surprised because what they said on the phone did not correspond to what was written on the contract.
I was assured and promised by phone that I could terminate before the end of the first year. I signed and ... Result, impossible to terminate as they had promised. Do not get fooled by the blablas that you tell you on the phone and look at each line of the contract. If you don't want to waste time reading hundreds of legal lines, just take a mutual insurance company that you can trust. Please contact me to tell me about all the problems of this type you have with them. I will collect all the people who have been abused like me. I will also collect on social networks. If you have recorded them, which I regret not having done, send me the proofs that we can go up the abuses in court.</v>
      </c>
    </row>
    <row r="451" ht="15.75" customHeight="1">
      <c r="A451" s="3">
        <v>1.0</v>
      </c>
      <c r="B451" s="3" t="s">
        <v>1348</v>
      </c>
      <c r="C451" s="3" t="s">
        <v>1349</v>
      </c>
      <c r="D451" s="3" t="s">
        <v>137</v>
      </c>
      <c r="E451" s="3" t="s">
        <v>27</v>
      </c>
      <c r="F451" s="3" t="s">
        <v>15</v>
      </c>
      <c r="G451" s="3" t="s">
        <v>1350</v>
      </c>
      <c r="H451" s="3" t="s">
        <v>237</v>
      </c>
      <c r="I451" s="3" t="str">
        <f>IFERROR(__xludf.DUMMYFUNCTION("GOOGLETRANSLATE(C451,""fr"",""en"")"),"Being already assured at MAIF with my spouse on a contract, I had to sign a new contract to be provided following ours separation. The problem is that the date of separation counts as the date of signature of a new contract and re -engages for a year ... "&amp;"The price is very high for a medium range vehicle with a coefficient of 0.85 (almost 1400 € per year) and the guarantees are not particularly interesting than those of competition for my taste.")</f>
        <v>Being already assured at MAIF with my spouse on a contract, I had to sign a new contract to be provided following ours separation. The problem is that the date of separation counts as the date of signature of a new contract and re -engages for a year ... The price is very high for a medium range vehicle with a coefficient of 0.85 (almost 1400 € per year) and the guarantees are not particularly interesting than those of competition for my taste.</v>
      </c>
    </row>
    <row r="452" ht="15.75" customHeight="1">
      <c r="A452" s="3">
        <v>5.0</v>
      </c>
      <c r="B452" s="3" t="s">
        <v>1351</v>
      </c>
      <c r="C452" s="3" t="s">
        <v>1352</v>
      </c>
      <c r="D452" s="3" t="s">
        <v>53</v>
      </c>
      <c r="E452" s="3" t="s">
        <v>27</v>
      </c>
      <c r="F452" s="3" t="s">
        <v>15</v>
      </c>
      <c r="G452" s="3" t="s">
        <v>404</v>
      </c>
      <c r="H452" s="3" t="s">
        <v>50</v>
      </c>
      <c r="I452" s="3" t="str">
        <f>IFERROR(__xludf.DUMMYFUNCTION("GOOGLETRANSLATE(C452,""fr"",""en"")"),"I am already insured with the house
Satisfied for the best prices and service.
Simple on the site to join insurance.
I await the deadline for our other vehicle, insure Olivier Insurance to join again.")</f>
        <v>I am already insured with the house
Satisfied for the best prices and service.
Simple on the site to join insurance.
I await the deadline for our other vehicle, insure Olivier Insurance to join again.</v>
      </c>
    </row>
    <row r="453" ht="15.75" customHeight="1">
      <c r="A453" s="3">
        <v>4.0</v>
      </c>
      <c r="B453" s="3" t="s">
        <v>1353</v>
      </c>
      <c r="C453" s="3" t="s">
        <v>1354</v>
      </c>
      <c r="D453" s="3" t="s">
        <v>37</v>
      </c>
      <c r="E453" s="3" t="s">
        <v>27</v>
      </c>
      <c r="F453" s="3" t="s">
        <v>15</v>
      </c>
      <c r="G453" s="3" t="s">
        <v>1355</v>
      </c>
      <c r="H453" s="3" t="s">
        <v>50</v>
      </c>
      <c r="I453" s="3" t="str">
        <f>IFERROR(__xludf.DUMMYFUNCTION("GOOGLETRANSLATE(C453,""fr"",""en"")"),"I am satisfied with the service that the olive tree insurance has given me and quickly I hope that I would still have left you for but next vehicle cordially")</f>
        <v>I am satisfied with the service that the olive tree insurance has given me and quickly I hope that I would still have left you for but next vehicle cordially</v>
      </c>
    </row>
    <row r="454" ht="15.75" customHeight="1">
      <c r="A454" s="3">
        <v>4.0</v>
      </c>
      <c r="B454" s="3" t="s">
        <v>1356</v>
      </c>
      <c r="C454" s="3" t="s">
        <v>1357</v>
      </c>
      <c r="D454" s="3" t="s">
        <v>26</v>
      </c>
      <c r="E454" s="3" t="s">
        <v>27</v>
      </c>
      <c r="F454" s="3" t="s">
        <v>15</v>
      </c>
      <c r="G454" s="3" t="s">
        <v>1311</v>
      </c>
      <c r="H454" s="3" t="s">
        <v>23</v>
      </c>
      <c r="I454" s="3" t="str">
        <f>IFERROR(__xludf.DUMMYFUNCTION("GOOGLETRANSLATE(C454,""fr"",""en"")"),"I am satisfied with this insurance, services and the availability of employees.
The customer area is very practical, clear and easy to use.")</f>
        <v>I am satisfied with this insurance, services and the availability of employees.
The customer area is very practical, clear and easy to use.</v>
      </c>
    </row>
    <row r="455" ht="15.75" customHeight="1">
      <c r="A455" s="3">
        <v>5.0</v>
      </c>
      <c r="B455" s="3" t="s">
        <v>1358</v>
      </c>
      <c r="C455" s="3" t="s">
        <v>1359</v>
      </c>
      <c r="D455" s="3" t="s">
        <v>37</v>
      </c>
      <c r="E455" s="3" t="s">
        <v>27</v>
      </c>
      <c r="F455" s="3" t="s">
        <v>15</v>
      </c>
      <c r="G455" s="3" t="s">
        <v>809</v>
      </c>
      <c r="H455" s="3" t="s">
        <v>99</v>
      </c>
      <c r="I455" s="3" t="str">
        <f>IFERROR(__xludf.DUMMYFUNCTION("GOOGLETRANSLATE(C455,""fr"",""en"")"),"I am satisfied with the automotive insurance contract on my vehicle.
The price also suits me.
Reading by the advisor of my rights was clear and explicit.")</f>
        <v>I am satisfied with the automotive insurance contract on my vehicle.
The price also suits me.
Reading by the advisor of my rights was clear and explicit.</v>
      </c>
    </row>
    <row r="456" ht="15.75" customHeight="1">
      <c r="A456" s="3">
        <v>1.0</v>
      </c>
      <c r="B456" s="3" t="s">
        <v>1360</v>
      </c>
      <c r="C456" s="3" t="s">
        <v>1361</v>
      </c>
      <c r="D456" s="3" t="s">
        <v>670</v>
      </c>
      <c r="E456" s="3" t="s">
        <v>27</v>
      </c>
      <c r="F456" s="3" t="s">
        <v>15</v>
      </c>
      <c r="G456" s="3" t="s">
        <v>1362</v>
      </c>
      <c r="H456" s="3" t="s">
        <v>1118</v>
      </c>
      <c r="I456" s="3" t="str">
        <f>IFERROR(__xludf.DUMMYFUNCTION("GOOGLETRANSLATE(C456,""fr"",""en"")"),"Eurofil does not have the means of its strategy")</f>
        <v>Eurofil does not have the means of its strategy</v>
      </c>
    </row>
    <row r="457" ht="15.75" customHeight="1">
      <c r="A457" s="3">
        <v>2.0</v>
      </c>
      <c r="B457" s="3" t="s">
        <v>1363</v>
      </c>
      <c r="C457" s="3" t="s">
        <v>1364</v>
      </c>
      <c r="D457" s="3" t="s">
        <v>75</v>
      </c>
      <c r="E457" s="3" t="s">
        <v>109</v>
      </c>
      <c r="F457" s="3" t="s">
        <v>15</v>
      </c>
      <c r="G457" s="3" t="s">
        <v>1365</v>
      </c>
      <c r="H457" s="3" t="s">
        <v>1022</v>
      </c>
      <c r="I457" s="3" t="str">
        <f>IFERROR(__xludf.DUMMYFUNCTION("GOOGLETRANSLATE(C457,""fr"",""en"")"),"Very unfavorable and truly justified comments concerning Allianz Life Customer Service
Strasbourg, Toulouse or elsewhere
- Following a death dating from September 4, 2019 and sending a death certificate and our postal address
- sending a first letter f"&amp;"rom the insurer to the beneficiary on October 25 to a completely wrong address (in Haute Saône while the latter lives in the Savoy department)
In mid-November a telephone contact at the initiative of the beneficiary concerning the lack of news will be fo"&amp;"llowed by the sending of an email from the insurer indicating the documents to be provided.
- The documents claimed within 48 hours were followed by a second shipment of the insurer in the same locality of the Haute Saône with the street name this exact "&amp;"time.
Note that during our 1st telephone call a communication of the exact address was made and reiterated by email (Nov 17) accompanying the sending of the requested documents (Copy Family Booklet Pages etc etc)
- Second call on 09 78 this Tuesday, Nov"&amp;"ember 26 in order to worry about the good reception of the documents. Good and happy initiative. We then learn that a postal letter written on Nov 18 was sent to the same locality of Haute Saône with the street name this time.
Confronted as us with this "&amp;"joke our correspondent then again chooses the sending by email of the CERFA document intended to be transmitted quickly to the registration of public finances.
Also, she realizes as us of errors made on the document (surname poorly spelled address of the"&amp;" erroneous subscriber)
She then advises us to download the CERFA 2705 print from the Gouv.fr site to complete it and transmit it to the registration service!
Note also that on these pre -painted documents the street name and commune of the subscriber ar"&amp;"e wrong - rue Helvétia - which could never be written like this by the subscriber (who has never changed his head and lost his head !)
By scanning the accompanying letter, it is likely that its editor has only partially taken up a document established pr"&amp;"eviously for another customer.
We dare to hope that the third postal letter will be sent to our exact address in Savoie
What mess, lack of seriousness, approximation, lack of professionalism,
It is to wonder if at Allianz the HRD cares about the compet"&amp;"ence of the recruited staff (reading, writing) as in primary school!
Within 15 days, three months will have passed since the death of the subscriber ??
Our writings join certain remarks of the same ilk already already exposed by customers.
")</f>
        <v>Very unfavorable and truly justified comments concerning Allianz Life Customer Service
Strasbourg, Toulouse or elsewhere
- Following a death dating from September 4, 2019 and sending a death certificate and our postal address
- sending a first letter from the insurer to the beneficiary on October 25 to a completely wrong address (in Haute Saône while the latter lives in the Savoy department)
In mid-November a telephone contact at the initiative of the beneficiary concerning the lack of news will be followed by the sending of an email from the insurer indicating the documents to be provided.
- The documents claimed within 48 hours were followed by a second shipment of the insurer in the same locality of the Haute Saône with the street name this exact time.
Note that during our 1st telephone call a communication of the exact address was made and reiterated by email (Nov 17) accompanying the sending of the requested documents (Copy Family Booklet Pages etc etc)
- Second call on 09 78 this Tuesday, November 26 in order to worry about the good reception of the documents. Good and happy initiative. We then learn that a postal letter written on Nov 18 was sent to the same locality of Haute Saône with the street name this time.
Confronted as us with this joke our correspondent then again chooses the sending by email of the CERFA document intended to be transmitted quickly to the registration of public finances.
Also, she realizes as us of errors made on the document (surname poorly spelled address of the erroneous subscriber)
She then advises us to download the CERFA 2705 print from the Gouv.fr site to complete it and transmit it to the registration service!
Note also that on these pre -painted documents the street name and commune of the subscriber are wrong - rue Helvétia - which could never be written like this by the subscriber (who has never changed his head and lost his head !)
By scanning the accompanying letter, it is likely that its editor has only partially taken up a document established previously for another customer.
We dare to hope that the third postal letter will be sent to our exact address in Savoie
What mess, lack of seriousness, approximation, lack of professionalism,
It is to wonder if at Allianz the HRD cares about the competence of the recruited staff (reading, writing) as in primary school!
Within 15 days, three months will have passed since the death of the subscriber ??
Our writings join certain remarks of the same ilk already already exposed by customers.
</v>
      </c>
    </row>
    <row r="458" ht="15.75" customHeight="1">
      <c r="A458" s="3">
        <v>1.0</v>
      </c>
      <c r="B458" s="3" t="s">
        <v>1366</v>
      </c>
      <c r="C458" s="3" t="s">
        <v>1367</v>
      </c>
      <c r="D458" s="3" t="s">
        <v>97</v>
      </c>
      <c r="E458" s="3" t="s">
        <v>81</v>
      </c>
      <c r="F458" s="3" t="s">
        <v>15</v>
      </c>
      <c r="G458" s="3" t="s">
        <v>1368</v>
      </c>
      <c r="H458" s="3" t="s">
        <v>879</v>
      </c>
      <c r="I458" s="3" t="str">
        <f>IFERROR(__xludf.DUMMYFUNCTION("GOOGLETRANSLATE(C458,""fr"",""en"")"),"Before it was very good, now is to flee. They have a little precise CGV, are not easily contactable and fobt everything to pay you the slightest cents (feedback from several seriously disaster victims at the body level) now I am at the direct competitor, "&amp;"barely more, not great But covers better already.")</f>
        <v>Before it was very good, now is to flee. They have a little precise CGV, are not easily contactable and fobt everything to pay you the slightest cents (feedback from several seriously disaster victims at the body level) now I am at the direct competitor, barely more, not great But covers better already.</v>
      </c>
    </row>
    <row r="459" ht="15.75" customHeight="1">
      <c r="A459" s="3">
        <v>1.0</v>
      </c>
      <c r="B459" s="3" t="s">
        <v>1369</v>
      </c>
      <c r="C459" s="3" t="s">
        <v>1370</v>
      </c>
      <c r="D459" s="3" t="s">
        <v>26</v>
      </c>
      <c r="E459" s="3" t="s">
        <v>76</v>
      </c>
      <c r="F459" s="3" t="s">
        <v>15</v>
      </c>
      <c r="G459" s="3" t="s">
        <v>1371</v>
      </c>
      <c r="H459" s="3" t="s">
        <v>69</v>
      </c>
      <c r="I459" s="3" t="str">
        <f>IFERROR(__xludf.DUMMYFUNCTION("GOOGLETRANSLATE(C459,""fr"",""en"")"),"I had a siniser (collapsed wall during storm Denis on February 17) near Caen. No response from GMF since the visit of their expert at mid March. No response to telp, emails, recommended letters ... We are July 6, 2020 ....")</f>
        <v>I had a siniser (collapsed wall during storm Denis on February 17) near Caen. No response from GMF since the visit of their expert at mid March. No response to telp, emails, recommended letters ... We are July 6, 2020 ....</v>
      </c>
    </row>
    <row r="460" ht="15.75" customHeight="1">
      <c r="A460" s="3">
        <v>3.0</v>
      </c>
      <c r="B460" s="3" t="s">
        <v>1372</v>
      </c>
      <c r="C460" s="3" t="s">
        <v>1373</v>
      </c>
      <c r="D460" s="3" t="s">
        <v>137</v>
      </c>
      <c r="E460" s="3" t="s">
        <v>27</v>
      </c>
      <c r="F460" s="3" t="s">
        <v>15</v>
      </c>
      <c r="G460" s="3" t="s">
        <v>1374</v>
      </c>
      <c r="H460" s="3" t="s">
        <v>520</v>
      </c>
      <c r="I460" s="3" t="str">
        <f>IFERROR(__xludf.DUMMYFUNCTION("GOOGLETRANSLATE(C460,""fr"",""en"")"),"Insured for 40 years at La Maif, having recommended it to other people .. I just fell up! Already at the level of a serious accident of one of my children, I was asked what I needed but in no case; I was not told what I could have, I had to make the docto"&amp;"rs of the rehabilitation center inform me about my rights! And today, stories to ensure a new vehicle, file blocked by the seat following an accident of one of my sons alone by car and alone in question without injuries ... but with alcohol! OK, no care B"&amp;"y insurance, not even the troubleshooting of the car. Whime we are treated as offenders, agreement on the fact of prohibiting my son from driving insured cars at the Maif for 2 years !!!!!! But ""refuse"" to ensure a new vehicle with them with my name (I "&amp;"am only the mother!) And having to go through a mediator !!!! It is the ultimate! Since the MAIF opened its insurance to others than the officials of the National Education, the headquarters acts without respect for its members then go to see elsewhere!")</f>
        <v>Insured for 40 years at La Maif, having recommended it to other people .. I just fell up! Already at the level of a serious accident of one of my children, I was asked what I needed but in no case; I was not told what I could have, I had to make the doctors of the rehabilitation center inform me about my rights! And today, stories to ensure a new vehicle, file blocked by the seat following an accident of one of my sons alone by car and alone in question without injuries ... but with alcohol! OK, no care By insurance, not even the troubleshooting of the car. Whime we are treated as offenders, agreement on the fact of prohibiting my son from driving insured cars at the Maif for 2 years !!!!!! But "refuse" to ensure a new vehicle with them with my name (I am only the mother!) And having to go through a mediator !!!! It is the ultimate! Since the MAIF opened its insurance to others than the officials of the National Education, the headquarters acts without respect for its members then go to see elsewhere!</v>
      </c>
    </row>
    <row r="461" ht="15.75" customHeight="1">
      <c r="A461" s="3">
        <v>1.0</v>
      </c>
      <c r="B461" s="3" t="s">
        <v>1375</v>
      </c>
      <c r="C461" s="3" t="s">
        <v>1376</v>
      </c>
      <c r="D461" s="3" t="s">
        <v>247</v>
      </c>
      <c r="E461" s="3" t="s">
        <v>27</v>
      </c>
      <c r="F461" s="3" t="s">
        <v>15</v>
      </c>
      <c r="G461" s="3" t="s">
        <v>1377</v>
      </c>
      <c r="H461" s="3" t="s">
        <v>879</v>
      </c>
      <c r="I461" s="3" t="str">
        <f>IFERROR(__xludf.DUMMYFUNCTION("GOOGLETRANSLATE(C461,""fr"",""en"")"),"Hello.
I write for my parents 75 and 77 years old (.Clients Macif for 40 years) they have always bought new vehicles and never had any worries, except this Wednesday starting from the Bouches du Rhône for return to their homes, on the highway An injector"&amp;" dropped (400kms from their home) The Macif was able to obtain a loan vehicle so that they could join their home except that the work will last a week, that my father is a heart to operate and that the Macif comes from Teaching him that he does not contri"&amp;"bute to having a loan vehicle covering this period !! its means that during this week, they will have to be locked up at home by wishing that they are not health concerns and that the neighbor May do their shopping ... They will also have to redo 400 kms "&amp;"to get their cars ...
I do not recommend that it is to take high -end insurance to arrive at this result, since the competitors of this offer the same services at a much more derisory price !!
So flee the Macif especially if your parents are like mine v"&amp;"ery and too nice.
A good hearing on an element to stick it in the text field.")</f>
        <v>Hello.
I write for my parents 75 and 77 years old (.Clients Macif for 40 years) they have always bought new vehicles and never had any worries, except this Wednesday starting from the Bouches du Rhône for return to their homes, on the highway An injector dropped (400kms from their home) The Macif was able to obtain a loan vehicle so that they could join their home except that the work will last a week, that my father is a heart to operate and that the Macif comes from Teaching him that he does not contribute to having a loan vehicle covering this period !! its means that during this week, they will have to be locked up at home by wishing that they are not health concerns and that the neighbor May do their shopping ... They will also have to redo 400 kms to get their cars ...
I do not recommend that it is to take high -end insurance to arrive at this result, since the competitors of this offer the same services at a much more derisory price !!
So flee the Macif especially if your parents are like mine very and too nice.
A good hearing on an element to stick it in the text field.</v>
      </c>
    </row>
    <row r="462" ht="15.75" customHeight="1">
      <c r="A462" s="3">
        <v>2.0</v>
      </c>
      <c r="B462" s="3" t="s">
        <v>1378</v>
      </c>
      <c r="C462" s="3" t="s">
        <v>1379</v>
      </c>
      <c r="D462" s="3" t="s">
        <v>399</v>
      </c>
      <c r="E462" s="3" t="s">
        <v>48</v>
      </c>
      <c r="F462" s="3" t="s">
        <v>15</v>
      </c>
      <c r="G462" s="3" t="s">
        <v>1380</v>
      </c>
      <c r="H462" s="3" t="s">
        <v>506</v>
      </c>
      <c r="I462" s="3" t="str">
        <f>IFERROR(__xludf.DUMMYFUNCTION("GOOGLETRANSLATE(C462,""fr"",""en"")"),"I see that I am not the only one to encounter this problem of care. It's really disappointing.
On stop since April 2019 due to burn out at work. I have been under antidepressant and anxiolytic treatment since that date.
I am extended again and the only "&amp;"answer I had and not by cardif but not the Cetelem recovery service ""I have to be hospitalized""
Now they are doctors and in fact what do I have to do?
On the other hand, the months when they did not take me while waiting for the answer and well as soo"&amp;"n as they gave it at Cetelem I was in recovery service with 5 calls per day (on my cell phone, at home and even my husband's laptop).
We pay and when we really need it there is no one left to help us in these delicate situations.
And yet my therapist fu"&amp;"lfilled the questionnaire carefully when what to do?")</f>
        <v>I see that I am not the only one to encounter this problem of care. It's really disappointing.
On stop since April 2019 due to burn out at work. I have been under antidepressant and anxiolytic treatment since that date.
I am extended again and the only answer I had and not by cardif but not the Cetelem recovery service "I have to be hospitalized"
Now they are doctors and in fact what do I have to do?
On the other hand, the months when they did not take me while waiting for the answer and well as soon as they gave it at Cetelem I was in recovery service with 5 calls per day (on my cell phone, at home and even my husband's laptop).
We pay and when we really need it there is no one left to help us in these delicate situations.
And yet my therapist fulfilled the questionnaire carefully when what to do?</v>
      </c>
    </row>
    <row r="463" ht="15.75" customHeight="1">
      <c r="A463" s="3">
        <v>4.0</v>
      </c>
      <c r="B463" s="3" t="s">
        <v>1381</v>
      </c>
      <c r="C463" s="3" t="s">
        <v>1382</v>
      </c>
      <c r="D463" s="3" t="s">
        <v>37</v>
      </c>
      <c r="E463" s="3" t="s">
        <v>27</v>
      </c>
      <c r="F463" s="3" t="s">
        <v>15</v>
      </c>
      <c r="G463" s="3" t="s">
        <v>1028</v>
      </c>
      <c r="H463" s="3" t="s">
        <v>50</v>
      </c>
      <c r="I463" s="3" t="str">
        <f>IFERROR(__xludf.DUMMYFUNCTION("GOOGLETRANSLATE(C463,""fr"",""en"")"),"Very nice on the phone, I am also delighted with all the explanations. And the prices too, that's why I want to associate all my contracts with you")</f>
        <v>Very nice on the phone, I am also delighted with all the explanations. And the prices too, that's why I want to associate all my contracts with you</v>
      </c>
    </row>
    <row r="464" ht="15.75" customHeight="1">
      <c r="A464" s="3">
        <v>5.0</v>
      </c>
      <c r="B464" s="3" t="s">
        <v>1383</v>
      </c>
      <c r="C464" s="3" t="s">
        <v>1384</v>
      </c>
      <c r="D464" s="3" t="s">
        <v>53</v>
      </c>
      <c r="E464" s="3" t="s">
        <v>27</v>
      </c>
      <c r="F464" s="3" t="s">
        <v>15</v>
      </c>
      <c r="G464" s="3" t="s">
        <v>622</v>
      </c>
      <c r="H464" s="3" t="s">
        <v>72</v>
      </c>
      <c r="I464" s="3" t="str">
        <f>IFERROR(__xludf.DUMMYFUNCTION("GOOGLETRANSLATE(C464,""fr"",""en"")"),"Very satisfied with the prices and products offered according to prices, as well as the ease of access to transmit the documents that are requested.")</f>
        <v>Very satisfied with the prices and products offered according to prices, as well as the ease of access to transmit the documents that are requested.</v>
      </c>
    </row>
    <row r="465" ht="15.75" customHeight="1">
      <c r="A465" s="3">
        <v>1.0</v>
      </c>
      <c r="B465" s="3" t="s">
        <v>1385</v>
      </c>
      <c r="C465" s="3" t="s">
        <v>1386</v>
      </c>
      <c r="D465" s="3" t="s">
        <v>484</v>
      </c>
      <c r="E465" s="3" t="s">
        <v>48</v>
      </c>
      <c r="F465" s="3" t="s">
        <v>15</v>
      </c>
      <c r="G465" s="3" t="s">
        <v>1387</v>
      </c>
      <c r="H465" s="3" t="s">
        <v>39</v>
      </c>
      <c r="I465" s="3" t="str">
        <f>IFERROR(__xludf.DUMMYFUNCTION("GOOGLETRANSLATE(C465,""fr"",""en"")"),"This service is lost to take sums without authorization and even though I have repeatedly requested the termination of the contract due to the non -taking into account.")</f>
        <v>This service is lost to take sums without authorization and even though I have repeatedly requested the termination of the contract due to the non -taking into account.</v>
      </c>
    </row>
    <row r="466" ht="15.75" customHeight="1">
      <c r="A466" s="3">
        <v>3.0</v>
      </c>
      <c r="B466" s="3" t="s">
        <v>1388</v>
      </c>
      <c r="C466" s="3" t="s">
        <v>1389</v>
      </c>
      <c r="D466" s="3" t="s">
        <v>85</v>
      </c>
      <c r="E466" s="3" t="s">
        <v>27</v>
      </c>
      <c r="F466" s="3" t="s">
        <v>15</v>
      </c>
      <c r="G466" s="3" t="s">
        <v>1390</v>
      </c>
      <c r="H466" s="3" t="s">
        <v>195</v>
      </c>
      <c r="I466" s="3" t="str">
        <f>IFERROR(__xludf.DUMMYFUNCTION("GOOGLETRANSLATE(C466,""fr"",""en"")"),"Litigious contract. Two different prices quote and very rapid and unjustified sag. I have doubts about this company and consult the consumer organization to adjust this dispute")</f>
        <v>Litigious contract. Two different prices quote and very rapid and unjustified sag. I have doubts about this company and consult the consumer organization to adjust this dispute</v>
      </c>
    </row>
    <row r="467" ht="15.75" customHeight="1">
      <c r="A467" s="3">
        <v>1.0</v>
      </c>
      <c r="B467" s="3" t="s">
        <v>1391</v>
      </c>
      <c r="C467" s="3" t="s">
        <v>1392</v>
      </c>
      <c r="D467" s="3" t="s">
        <v>13</v>
      </c>
      <c r="E467" s="3" t="s">
        <v>14</v>
      </c>
      <c r="F467" s="3" t="s">
        <v>15</v>
      </c>
      <c r="G467" s="3" t="s">
        <v>1393</v>
      </c>
      <c r="H467" s="3" t="s">
        <v>125</v>
      </c>
      <c r="I467" s="3" t="str">
        <f>IFERROR(__xludf.DUMMYFUNCTION("GOOGLETRANSLATE(C467,""fr"",""en"")"),"Hello, looking for a new mutual for my partner, I carried out online mutual comparisons online, and I was quickly contacted by a broker from Santiane. The latter unclear on the phone held my leg on the phone 30 min to tell me about his baratin. During thi"&amp;"s interview he praises the merits of Néoliane and send me a quote. Wanting to take the time to reflect, we agree with a telephone appointment on this day. The broker does not honor the time of the appointment and contacted me later.
In the meantime I wen"&amp;"t directly to the Neoliane site and realizes that it is not possible to subscribe directly to them.
I phone 04.92.17.53.58, then following the indications of the vocal server I type on the keys 3 then 2. I am then told not to hang up and that an advisor "&amp;"will answer me. I did the test twice and each time their server hangs up on me. So I tried to trick and press the keyboard keys not proposed (* and #), their vocal server tells me not to understand my choice and informs me that an advisor will take an app"&amp;"eal. After a few minutes of appeal, we advise takes on communication and presents himself as an adviser to the company Néoliane, but after a few minutes of conversation I realize that it is in fact a Santian broker. Fr. When you call the number indicated "&amp;"on the Neoliane website you are therefore redirected to the Santiane number.
In addition, the two telephone numbers are located in Nice, coincidence? or only one company. In short, this obscurantism does not make you want to adhere to their mutual, flee!")</f>
        <v>Hello, looking for a new mutual for my partner, I carried out online mutual comparisons online, and I was quickly contacted by a broker from Santiane. The latter unclear on the phone held my leg on the phone 30 min to tell me about his baratin. During this interview he praises the merits of Néoliane and send me a quote. Wanting to take the time to reflect, we agree with a telephone appointment on this day. The broker does not honor the time of the appointment and contacted me later.
In the meantime I went directly to the Neoliane site and realizes that it is not possible to subscribe directly to them.
I phone 04.92.17.53.58, then following the indications of the vocal server I type on the keys 3 then 2. I am then told not to hang up and that an advisor will answer me. I did the test twice and each time their server hangs up on me. So I tried to trick and press the keyboard keys not proposed (* and #), their vocal server tells me not to understand my choice and informs me that an advisor will take an appeal. After a few minutes of appeal, we advise takes on communication and presents himself as an adviser to the company Néoliane, but after a few minutes of conversation I realize that it is in fact a Santian broker. Fr. When you call the number indicated on the Neoliane website you are therefore redirected to the Santiane number.
In addition, the two telephone numbers are located in Nice, coincidence? or only one company. In short, this obscurantism does not make you want to adhere to their mutual, flee!</v>
      </c>
    </row>
    <row r="468" ht="15.75" customHeight="1">
      <c r="A468" s="3">
        <v>1.0</v>
      </c>
      <c r="B468" s="3" t="s">
        <v>1394</v>
      </c>
      <c r="C468" s="3" t="s">
        <v>1395</v>
      </c>
      <c r="D468" s="3" t="s">
        <v>37</v>
      </c>
      <c r="E468" s="3" t="s">
        <v>27</v>
      </c>
      <c r="F468" s="3" t="s">
        <v>15</v>
      </c>
      <c r="G468" s="3" t="s">
        <v>502</v>
      </c>
      <c r="H468" s="3" t="s">
        <v>58</v>
      </c>
      <c r="I468" s="3" t="str">
        <f>IFERROR(__xludf.DUMMYFUNCTION("GOOGLETRANSLATE(C468,""fr"",""en"")"),"I strongly recommend this insurance despite the overwhelming evidence filmed with the person in record recorded orally, Olivier Insurance prefers to put a 50/50 with opposing insurance to put penalties and therefore charge the 2 insured.
This insurance i"&amp;"s worth its price, that is to say nothing.")</f>
        <v>I strongly recommend this insurance despite the overwhelming evidence filmed with the person in record recorded orally, Olivier Insurance prefers to put a 50/50 with opposing insurance to put penalties and therefore charge the 2 insured.
This insurance is worth its price, that is to say nothing.</v>
      </c>
    </row>
    <row r="469" ht="15.75" customHeight="1">
      <c r="A469" s="3">
        <v>3.0</v>
      </c>
      <c r="B469" s="3" t="s">
        <v>1396</v>
      </c>
      <c r="C469" s="3" t="s">
        <v>1397</v>
      </c>
      <c r="D469" s="3" t="s">
        <v>53</v>
      </c>
      <c r="E469" s="3" t="s">
        <v>27</v>
      </c>
      <c r="F469" s="3" t="s">
        <v>15</v>
      </c>
      <c r="G469" s="3" t="s">
        <v>98</v>
      </c>
      <c r="H469" s="3" t="s">
        <v>99</v>
      </c>
      <c r="I469" s="3" t="str">
        <f>IFERROR(__xludf.DUMMYFUNCTION("GOOGLETRANSLATE(C469,""fr"",""en"")"),"I am satisfied with the site which is simple, efficient and quick.
I hope that the guarantees subscribed will be up to my expectations.
Sincerely, Nicolas")</f>
        <v>I am satisfied with the site which is simple, efficient and quick.
I hope that the guarantees subscribed will be up to my expectations.
Sincerely, Nicolas</v>
      </c>
    </row>
    <row r="470" ht="15.75" customHeight="1">
      <c r="A470" s="3">
        <v>1.0</v>
      </c>
      <c r="B470" s="3" t="s">
        <v>1398</v>
      </c>
      <c r="C470" s="3" t="s">
        <v>1399</v>
      </c>
      <c r="D470" s="3" t="s">
        <v>137</v>
      </c>
      <c r="E470" s="3" t="s">
        <v>27</v>
      </c>
      <c r="F470" s="3" t="s">
        <v>15</v>
      </c>
      <c r="G470" s="3" t="s">
        <v>629</v>
      </c>
      <c r="H470" s="3" t="s">
        <v>335</v>
      </c>
      <c r="I470" s="3" t="str">
        <f>IFERROR(__xludf.DUMMYFUNCTION("GOOGLETRANSLATE(C470,""fr"",""en"")"),"See a few posts later, I wrote a letter of contestation for abusive termination more than a month ago and still no answer when the deadline arrives on December 31. Not an email, not a phone call to discuss the points I dispute. I just know that the letter"&amp;" has been received, no way to have an interlocutor aware of anything. I run after the activist who is supposed to take care of my file (but hey I do not throw her stone he is a volunteer). Putting people in such a situation is a shame (because we are regi"&amp;"stered for three years in the insurance terminated files and we pay a fortune to ensure elsewhere). I had testimonials from lots of people who told me that when they had been in a loss situation (and I contest being in this case!), Their insurance had con"&amp;"tacted them to negotiate a termination "" amicable ""so as not to be registered on this famous list. This is what a human facial insurance is !!!")</f>
        <v>See a few posts later, I wrote a letter of contestation for abusive termination more than a month ago and still no answer when the deadline arrives on December 31. Not an email, not a phone call to discuss the points I dispute. I just know that the letter has been received, no way to have an interlocutor aware of anything. I run after the activist who is supposed to take care of my file (but hey I do not throw her stone he is a volunteer). Putting people in such a situation is a shame (because we are registered for three years in the insurance terminated files and we pay a fortune to ensure elsewhere). I had testimonials from lots of people who told me that when they had been in a loss situation (and I contest being in this case!), Their insurance had contacted them to negotiate a termination " amicable "so as not to be registered on this famous list. This is what a human facial insurance is !!!</v>
      </c>
    </row>
    <row r="471" ht="15.75" customHeight="1">
      <c r="A471" s="3">
        <v>4.0</v>
      </c>
      <c r="B471" s="3" t="s">
        <v>1400</v>
      </c>
      <c r="C471" s="3" t="s">
        <v>1401</v>
      </c>
      <c r="D471" s="3" t="s">
        <v>53</v>
      </c>
      <c r="E471" s="3" t="s">
        <v>27</v>
      </c>
      <c r="F471" s="3" t="s">
        <v>15</v>
      </c>
      <c r="G471" s="3" t="s">
        <v>1402</v>
      </c>
      <c r="H471" s="3" t="s">
        <v>29</v>
      </c>
      <c r="I471" s="3" t="str">
        <f>IFERROR(__xludf.DUMMYFUNCTION("GOOGLETRANSLATE(C471,""fr"",""en"")"),"I am satisfied with the quote, the prices are affordable, I hope that everything will go well, and that the advisers will be available if necessary. Thank you")</f>
        <v>I am satisfied with the quote, the prices are affordable, I hope that everything will go well, and that the advisers will be available if necessary. Thank you</v>
      </c>
    </row>
    <row r="472" ht="15.75" customHeight="1">
      <c r="A472" s="3">
        <v>3.0</v>
      </c>
      <c r="B472" s="3" t="s">
        <v>1403</v>
      </c>
      <c r="C472" s="3" t="s">
        <v>1404</v>
      </c>
      <c r="D472" s="3" t="s">
        <v>53</v>
      </c>
      <c r="E472" s="3" t="s">
        <v>27</v>
      </c>
      <c r="F472" s="3" t="s">
        <v>15</v>
      </c>
      <c r="G472" s="3" t="s">
        <v>1267</v>
      </c>
      <c r="H472" s="3" t="s">
        <v>58</v>
      </c>
      <c r="I472" s="3" t="str">
        <f>IFERROR(__xludf.DUMMYFUNCTION("GOOGLETRANSLATE(C472,""fr"",""en"")"),"I am very satisfied with the service. My interlocutor was very pleasant, helpful and competent. The monthly price and at my convenience. Thank you for this service.")</f>
        <v>I am very satisfied with the service. My interlocutor was very pleasant, helpful and competent. The monthly price and at my convenience. Thank you for this service.</v>
      </c>
    </row>
    <row r="473" ht="15.75" customHeight="1">
      <c r="A473" s="3">
        <v>1.0</v>
      </c>
      <c r="B473" s="3" t="s">
        <v>1405</v>
      </c>
      <c r="C473" s="3" t="s">
        <v>1406</v>
      </c>
      <c r="D473" s="3" t="s">
        <v>247</v>
      </c>
      <c r="E473" s="3" t="s">
        <v>27</v>
      </c>
      <c r="F473" s="3" t="s">
        <v>15</v>
      </c>
      <c r="G473" s="3" t="s">
        <v>1407</v>
      </c>
      <c r="H473" s="3" t="s">
        <v>964</v>
      </c>
      <c r="I473" s="3" t="str">
        <f>IFERROR(__xludf.DUMMYFUNCTION("GOOGLETRANSLATE(C473,""fr"",""en"")"),"Pay at a discount, does not respect the law.
I am the victim of a road accident The expert of the Macif figure at the lowest the repairs of my connivance vehicle with the Macif, despite the sending of the laws as a reminder they make fun of the laws !!!")</f>
        <v>Pay at a discount, does not respect the law.
I am the victim of a road accident The expert of the Macif figure at the lowest the repairs of my connivance vehicle with the Macif, despite the sending of the laws as a reminder they make fun of the laws !!!</v>
      </c>
    </row>
    <row r="474" ht="15.75" customHeight="1">
      <c r="A474" s="3">
        <v>1.0</v>
      </c>
      <c r="B474" s="3" t="s">
        <v>1408</v>
      </c>
      <c r="C474" s="3" t="s">
        <v>1409</v>
      </c>
      <c r="D474" s="3" t="s">
        <v>1410</v>
      </c>
      <c r="E474" s="3" t="s">
        <v>21</v>
      </c>
      <c r="F474" s="3" t="s">
        <v>15</v>
      </c>
      <c r="G474" s="3" t="s">
        <v>1411</v>
      </c>
      <c r="H474" s="3" t="s">
        <v>1022</v>
      </c>
      <c r="I474" s="3" t="str">
        <f>IFERROR(__xludf.DUMMYFUNCTION("GOOGLETRANSLATE(C474,""fr"",""en"")"),"A insurance loan insurance zero and in addition to bad times insurance to advise against their medical expert never provided compensation to refuse this basant on Swiss facts while I am in France and my disability recognized by the CPAM 100pour a hundred "&amp;"and the Swiss Baloise 75 for One hundred my credit mie was made in France and I am French")</f>
        <v>A insurance loan insurance zero and in addition to bad times insurance to advise against their medical expert never provided compensation to refuse this basant on Swiss facts while I am in France and my disability recognized by the CPAM 100pour a hundred and the Swiss Baloise 75 for One hundred my credit mie was made in France and I am French</v>
      </c>
    </row>
    <row r="475" ht="15.75" customHeight="1">
      <c r="A475" s="3">
        <v>1.0</v>
      </c>
      <c r="B475" s="3" t="s">
        <v>1412</v>
      </c>
      <c r="C475" s="3" t="s">
        <v>1413</v>
      </c>
      <c r="D475" s="3" t="s">
        <v>85</v>
      </c>
      <c r="E475" s="3" t="s">
        <v>27</v>
      </c>
      <c r="F475" s="3" t="s">
        <v>15</v>
      </c>
      <c r="G475" s="3" t="s">
        <v>1414</v>
      </c>
      <c r="H475" s="3" t="s">
        <v>39</v>
      </c>
      <c r="I475" s="3" t="str">
        <f>IFERROR(__xludf.DUMMYFUNCTION("GOOGLETRANSLATE(C475,""fr"",""en"")")," hello
They created me a 2nd account for the same vehicle and therefore withdraw 2 times 77 euros on my account and still not reimbursed. Insurer to flee I should have read all these messages before joining them in addition I roll without green card sinc"&amp;"e they did not send it to me and on my account impossible to print it is empty")</f>
        <v> hello
They created me a 2nd account for the same vehicle and therefore withdraw 2 times 77 euros on my account and still not reimbursed. Insurer to flee I should have read all these messages before joining them in addition I roll without green card since they did not send it to me and on my account impossible to print it is empty</v>
      </c>
    </row>
    <row r="476" ht="15.75" customHeight="1">
      <c r="A476" s="3">
        <v>3.0</v>
      </c>
      <c r="B476" s="3" t="s">
        <v>1415</v>
      </c>
      <c r="C476" s="3" t="s">
        <v>1416</v>
      </c>
      <c r="D476" s="3" t="s">
        <v>37</v>
      </c>
      <c r="E476" s="3" t="s">
        <v>27</v>
      </c>
      <c r="F476" s="3" t="s">
        <v>15</v>
      </c>
      <c r="G476" s="3" t="s">
        <v>1261</v>
      </c>
      <c r="H476" s="3" t="s">
        <v>50</v>
      </c>
      <c r="I476" s="3" t="str">
        <f>IFERROR(__xludf.DUMMYFUNCTION("GOOGLETRANSLATE(C476,""fr"",""en"")"),"Rather satisfied, but let's wait if necessary a problem .... because like many 'partner' the relationships between insurer and insured tend to spoil when it is necessary to compensate the insured .... go know why ???? ??")</f>
        <v>Rather satisfied, but let's wait if necessary a problem .... because like many 'partner' the relationships between insurer and insured tend to spoil when it is necessary to compensate the insured .... go know why ???? ??</v>
      </c>
    </row>
    <row r="477" ht="15.75" customHeight="1">
      <c r="A477" s="3">
        <v>4.0</v>
      </c>
      <c r="B477" s="3" t="s">
        <v>1417</v>
      </c>
      <c r="C477" s="3" t="s">
        <v>1418</v>
      </c>
      <c r="D477" s="3" t="s">
        <v>53</v>
      </c>
      <c r="E477" s="3" t="s">
        <v>27</v>
      </c>
      <c r="F477" s="3" t="s">
        <v>15</v>
      </c>
      <c r="G477" s="3" t="s">
        <v>908</v>
      </c>
      <c r="H477" s="3" t="s">
        <v>99</v>
      </c>
      <c r="I477" s="3" t="str">
        <f>IFERROR(__xludf.DUMMYFUNCTION("GOOGLETRANSLATE(C477,""fr"",""en"")"),"I am satisfied with the service. The price seems to me correct in relation to other insurance. Easy to access administrative approach. Everything to wear hand")</f>
        <v>I am satisfied with the service. The price seems to me correct in relation to other insurance. Easy to access administrative approach. Everything to wear hand</v>
      </c>
    </row>
    <row r="478" ht="15.75" customHeight="1">
      <c r="A478" s="3">
        <v>1.0</v>
      </c>
      <c r="B478" s="3" t="s">
        <v>1419</v>
      </c>
      <c r="C478" s="3" t="s">
        <v>1420</v>
      </c>
      <c r="D478" s="3" t="s">
        <v>1273</v>
      </c>
      <c r="E478" s="3" t="s">
        <v>805</v>
      </c>
      <c r="F478" s="3" t="s">
        <v>15</v>
      </c>
      <c r="G478" s="3" t="s">
        <v>1421</v>
      </c>
      <c r="H478" s="3" t="s">
        <v>72</v>
      </c>
      <c r="I478" s="3" t="str">
        <f>IFERROR(__xludf.DUMMYFUNCTION("GOOGLETRANSLATE(C478,""fr"",""en"")"),"Same opinion as the previous ones. My contract has taken 50 % increase in 6 years for a well -bearing cat who has never had any health concern. My advice: do not ensure your pet but provision any veterinary costs. This money will be better on your account"&amp;" than on theirs.")</f>
        <v>Same opinion as the previous ones. My contract has taken 50 % increase in 6 years for a well -bearing cat who has never had any health concern. My advice: do not ensure your pet but provision any veterinary costs. This money will be better on your account than on theirs.</v>
      </c>
    </row>
    <row r="479" ht="15.75" customHeight="1">
      <c r="A479" s="3">
        <v>4.0</v>
      </c>
      <c r="B479" s="3" t="s">
        <v>1422</v>
      </c>
      <c r="C479" s="3" t="s">
        <v>1423</v>
      </c>
      <c r="D479" s="3" t="s">
        <v>670</v>
      </c>
      <c r="E479" s="3" t="s">
        <v>27</v>
      </c>
      <c r="F479" s="3" t="s">
        <v>15</v>
      </c>
      <c r="G479" s="3" t="s">
        <v>467</v>
      </c>
      <c r="H479" s="3" t="s">
        <v>50</v>
      </c>
      <c r="I479" s="3" t="str">
        <f>IFERROR(__xludf.DUMMYFUNCTION("GOOGLETRANSLATE(C479,""fr"",""en"")"),"Very happy with my Eurofil insurance. Easy to have an advisor on the phone. Very attentive and we guided throughout the layout of our 2 vehicles damaged by hail
I highly recommend this insurer")</f>
        <v>Very happy with my Eurofil insurance. Easy to have an advisor on the phone. Very attentive and we guided throughout the layout of our 2 vehicles damaged by hail
I highly recommend this insurer</v>
      </c>
    </row>
    <row r="480" ht="15.75" customHeight="1">
      <c r="A480" s="3">
        <v>4.0</v>
      </c>
      <c r="B480" s="3" t="s">
        <v>1424</v>
      </c>
      <c r="C480" s="3" t="s">
        <v>1425</v>
      </c>
      <c r="D480" s="3" t="s">
        <v>53</v>
      </c>
      <c r="E480" s="3" t="s">
        <v>27</v>
      </c>
      <c r="F480" s="3" t="s">
        <v>15</v>
      </c>
      <c r="G480" s="3" t="s">
        <v>1426</v>
      </c>
      <c r="H480" s="3" t="s">
        <v>99</v>
      </c>
      <c r="I480" s="3" t="str">
        <f>IFERROR(__xludf.DUMMYFUNCTION("GOOGLETRANSLATE(C480,""fr"",""en"")"),"Simple fast. Quite satisfied with the price. For the rest to be seen with the operation. Quite satisfactory. good transaction. Not enough data for a second occasional driver.")</f>
        <v>Simple fast. Quite satisfied with the price. For the rest to be seen with the operation. Quite satisfactory. good transaction. Not enough data for a second occasional driver.</v>
      </c>
    </row>
    <row r="481" ht="15.75" customHeight="1">
      <c r="A481" s="3">
        <v>1.0</v>
      </c>
      <c r="B481" s="3" t="s">
        <v>1427</v>
      </c>
      <c r="C481" s="3" t="s">
        <v>1428</v>
      </c>
      <c r="D481" s="3" t="s">
        <v>137</v>
      </c>
      <c r="E481" s="3" t="s">
        <v>76</v>
      </c>
      <c r="F481" s="3" t="s">
        <v>15</v>
      </c>
      <c r="G481" s="3" t="s">
        <v>396</v>
      </c>
      <c r="H481" s="3" t="s">
        <v>29</v>
      </c>
      <c r="I481" s="3" t="str">
        <f>IFERROR(__xludf.DUMMYFUNCTION("GOOGLETRANSLATE(C481,""fr"",""en"")"),"Very procedural, no empathy, or are the ""values"" which they make a whole dish?
There are private insurers whose customer sense is much more important than the meaning of the member in this mutual.")</f>
        <v>Very procedural, no empathy, or are the "values" which they make a whole dish?
There are private insurers whose customer sense is much more important than the meaning of the member in this mutual.</v>
      </c>
    </row>
    <row r="482" ht="15.75" customHeight="1">
      <c r="A482" s="3">
        <v>1.0</v>
      </c>
      <c r="B482" s="3" t="s">
        <v>1429</v>
      </c>
      <c r="C482" s="3" t="s">
        <v>1430</v>
      </c>
      <c r="D482" s="3" t="s">
        <v>345</v>
      </c>
      <c r="E482" s="3" t="s">
        <v>21</v>
      </c>
      <c r="F482" s="3" t="s">
        <v>15</v>
      </c>
      <c r="G482" s="3" t="s">
        <v>1431</v>
      </c>
      <c r="H482" s="3" t="s">
        <v>1005</v>
      </c>
      <c r="I482" s="3" t="str">
        <f>IFERROR(__xludf.DUMMYFUNCTION("GOOGLETRANSLATE(C482,""fr"",""en"")"),"Each month I encounter problems, I am asked to return my documents to 4 times. Compensated 4 months late!")</f>
        <v>Each month I encounter problems, I am asked to return my documents to 4 times. Compensated 4 months late!</v>
      </c>
    </row>
    <row r="483" ht="15.75" customHeight="1">
      <c r="A483" s="3">
        <v>3.0</v>
      </c>
      <c r="B483" s="3" t="s">
        <v>1432</v>
      </c>
      <c r="C483" s="3" t="s">
        <v>1433</v>
      </c>
      <c r="D483" s="3" t="s">
        <v>13</v>
      </c>
      <c r="E483" s="3" t="s">
        <v>14</v>
      </c>
      <c r="F483" s="3" t="s">
        <v>15</v>
      </c>
      <c r="G483" s="3" t="s">
        <v>1434</v>
      </c>
      <c r="H483" s="3" t="s">
        <v>382</v>
      </c>
      <c r="I483" s="3" t="str">
        <f>IFERROR(__xludf.DUMMYFUNCTION("GOOGLETRANSLATE(C483,""fr"",""en"")"),"Ramata knew how to manage my problem, no one courteous and attentive. For reimbursements I will be fixed in a week, having to change glasses yet I don't have to complain.")</f>
        <v>Ramata knew how to manage my problem, no one courteous and attentive. For reimbursements I will be fixed in a week, having to change glasses yet I don't have to complain.</v>
      </c>
    </row>
    <row r="484" ht="15.75" customHeight="1">
      <c r="A484" s="3">
        <v>1.0</v>
      </c>
      <c r="B484" s="3" t="s">
        <v>1435</v>
      </c>
      <c r="C484" s="3" t="s">
        <v>1436</v>
      </c>
      <c r="D484" s="3" t="s">
        <v>37</v>
      </c>
      <c r="E484" s="3" t="s">
        <v>27</v>
      </c>
      <c r="F484" s="3" t="s">
        <v>15</v>
      </c>
      <c r="G484" s="3" t="s">
        <v>1437</v>
      </c>
      <c r="H484" s="3" t="s">
        <v>169</v>
      </c>
      <c r="I484" s="3" t="str">
        <f>IFERROR(__xludf.DUMMYFUNCTION("GOOGLETRANSLATE(C484,""fr"",""en"")"),"After having broken down 100km from, the 0km assistance just sent the tow truck. No car loan availability as the contract stipulates and no taxi availability. Suddenly, I had to manage on my own and advance the costs.
No interlocutor the olive tree on th"&amp;"e day of the incident but Europe assistance that speak to you like robots.
A commercial gesture was offered to me of € 38 of annual decrease on my contract of more than € 500 and a voucher of € 50 at Total ... crumbs compare to the damages that my family"&amp;" and I had undergone.")</f>
        <v>After having broken down 100km from, the 0km assistance just sent the tow truck. No car loan availability as the contract stipulates and no taxi availability. Suddenly, I had to manage on my own and advance the costs.
No interlocutor the olive tree on the day of the incident but Europe assistance that speak to you like robots.
A commercial gesture was offered to me of € 38 of annual decrease on my contract of more than € 500 and a voucher of € 50 at Total ... crumbs compare to the damages that my family and I had undergone.</v>
      </c>
    </row>
    <row r="485" ht="15.75" customHeight="1">
      <c r="A485" s="3">
        <v>5.0</v>
      </c>
      <c r="B485" s="3" t="s">
        <v>1438</v>
      </c>
      <c r="C485" s="3" t="s">
        <v>1439</v>
      </c>
      <c r="D485" s="3" t="s">
        <v>37</v>
      </c>
      <c r="E485" s="3" t="s">
        <v>27</v>
      </c>
      <c r="F485" s="3" t="s">
        <v>15</v>
      </c>
      <c r="G485" s="3" t="s">
        <v>295</v>
      </c>
      <c r="H485" s="3" t="s">
        <v>72</v>
      </c>
      <c r="I485" s="3" t="str">
        <f>IFERROR(__xludf.DUMMYFUNCTION("GOOGLETRANSLATE(C485,""fr"",""en"")"),"Satisfied with all very pleasant services and advisers I hope it will be a good experience and that everything will go well with you")</f>
        <v>Satisfied with all very pleasant services and advisers I hope it will be a good experience and that everything will go well with you</v>
      </c>
    </row>
    <row r="486" ht="15.75" customHeight="1">
      <c r="A486" s="3">
        <v>5.0</v>
      </c>
      <c r="B486" s="3" t="s">
        <v>1440</v>
      </c>
      <c r="C486" s="3" t="s">
        <v>1441</v>
      </c>
      <c r="D486" s="3" t="s">
        <v>26</v>
      </c>
      <c r="E486" s="3" t="s">
        <v>27</v>
      </c>
      <c r="F486" s="3" t="s">
        <v>15</v>
      </c>
      <c r="G486" s="3" t="s">
        <v>478</v>
      </c>
      <c r="H486" s="3" t="s">
        <v>23</v>
      </c>
      <c r="I486" s="3" t="str">
        <f>IFERROR(__xludf.DUMMYFUNCTION("GOOGLETRANSLATE(C486,""fr"",""en"")"),"Perfectly satisfied
Very good reception efficiency and professionalism.
Thank you for the proposals made to study my necessary guarantees.
")</f>
        <v>Perfectly satisfied
Very good reception efficiency and professionalism.
Thank you for the proposals made to study my necessary guarantees.
</v>
      </c>
    </row>
    <row r="487" ht="15.75" customHeight="1">
      <c r="A487" s="3">
        <v>4.0</v>
      </c>
      <c r="B487" s="3" t="s">
        <v>1442</v>
      </c>
      <c r="C487" s="3" t="s">
        <v>1443</v>
      </c>
      <c r="D487" s="3" t="s">
        <v>53</v>
      </c>
      <c r="E487" s="3" t="s">
        <v>27</v>
      </c>
      <c r="F487" s="3" t="s">
        <v>15</v>
      </c>
      <c r="G487" s="3" t="s">
        <v>547</v>
      </c>
      <c r="H487" s="3" t="s">
        <v>99</v>
      </c>
      <c r="I487" s="3" t="str">
        <f>IFERROR(__xludf.DUMMYFUNCTION("GOOGLETRANSLATE(C487,""fr"",""en"")"),"Very good interlocutor when making the quote.
I hope that during my other communication with your services everything will happen with the same level of quality.")</f>
        <v>Very good interlocutor when making the quote.
I hope that during my other communication with your services everything will happen with the same level of quality.</v>
      </c>
    </row>
    <row r="488" ht="15.75" customHeight="1">
      <c r="A488" s="3">
        <v>5.0</v>
      </c>
      <c r="B488" s="3" t="s">
        <v>1444</v>
      </c>
      <c r="C488" s="3" t="s">
        <v>1445</v>
      </c>
      <c r="D488" s="3" t="s">
        <v>53</v>
      </c>
      <c r="E488" s="3" t="s">
        <v>27</v>
      </c>
      <c r="F488" s="3" t="s">
        <v>15</v>
      </c>
      <c r="G488" s="3" t="s">
        <v>1446</v>
      </c>
      <c r="H488" s="3" t="s">
        <v>29</v>
      </c>
      <c r="I488" s="3" t="str">
        <f>IFERROR(__xludf.DUMMYFUNCTION("GOOGLETRANSLATE(C488,""fr"",""en"")"),"I am satisfied with the service. It is practical to do this online process. It is very easy to use.
The prices are attractive. If we make a mistake we can go back without eraseing anything.")</f>
        <v>I am satisfied with the service. It is practical to do this online process. It is very easy to use.
The prices are attractive. If we make a mistake we can go back without eraseing anything.</v>
      </c>
    </row>
    <row r="489" ht="15.75" customHeight="1">
      <c r="A489" s="3">
        <v>3.0</v>
      </c>
      <c r="B489" s="3" t="s">
        <v>1447</v>
      </c>
      <c r="C489" s="3" t="s">
        <v>1448</v>
      </c>
      <c r="D489" s="3" t="s">
        <v>13</v>
      </c>
      <c r="E489" s="3" t="s">
        <v>14</v>
      </c>
      <c r="F489" s="3" t="s">
        <v>15</v>
      </c>
      <c r="G489" s="3" t="s">
        <v>1449</v>
      </c>
      <c r="H489" s="3" t="s">
        <v>367</v>
      </c>
      <c r="I489" s="3" t="str">
        <f>IFERROR(__xludf.DUMMYFUNCTION("GOOGLETRANSLATE(C489,""fr"",""en"")"),"I have been contacting by a phone advisor who the latter tells me that the mutual insurance companies will increase, and that they offer cheaper prices, I ask him to send me his proposal by mail, which he confirms me , he asks me for my bank details etc, "&amp;"after having given him all the information he asks me, he tells me that he will send me a code and that I have to send him back, at this moment I Reports that this code is an electronic signature, this advisor having understood that I realized that he mad"&amp;"e me subscribe a contract by phone, he says to me but with the law you can terminate if that is not suitable, this advisor did not tell me from the start that his approach was to make me subscribe a mutual by phone I am disappointed with this practice")</f>
        <v>I have been contacting by a phone advisor who the latter tells me that the mutual insurance companies will increase, and that they offer cheaper prices, I ask him to send me his proposal by mail, which he confirms me , he asks me for my bank details etc, after having given him all the information he asks me, he tells me that he will send me a code and that I have to send him back, at this moment I Reports that this code is an electronic signature, this advisor having understood that I realized that he made me subscribe a contract by phone, he says to me but with the law you can terminate if that is not suitable, this advisor did not tell me from the start that his approach was to make me subscribe a mutual by phone I am disappointed with this practice</v>
      </c>
    </row>
    <row r="490" ht="15.75" customHeight="1">
      <c r="A490" s="3">
        <v>4.0</v>
      </c>
      <c r="B490" s="3" t="s">
        <v>1450</v>
      </c>
      <c r="C490" s="3" t="s">
        <v>1451</v>
      </c>
      <c r="D490" s="3" t="s">
        <v>53</v>
      </c>
      <c r="E490" s="3" t="s">
        <v>27</v>
      </c>
      <c r="F490" s="3" t="s">
        <v>15</v>
      </c>
      <c r="G490" s="3" t="s">
        <v>491</v>
      </c>
      <c r="H490" s="3" t="s">
        <v>58</v>
      </c>
      <c r="I490" s="3" t="str">
        <f>IFERROR(__xludf.DUMMYFUNCTION("GOOGLETRANSLATE(C490,""fr"",""en"")"),"For the moment I am very satisfied with direct insurance. I have not yet had a claim so to see in time. Customer service is available it is a good thing")</f>
        <v>For the moment I am very satisfied with direct insurance. I have not yet had a claim so to see in time. Customer service is available it is a good thing</v>
      </c>
    </row>
    <row r="491" ht="15.75" customHeight="1">
      <c r="A491" s="3">
        <v>3.0</v>
      </c>
      <c r="B491" s="3" t="s">
        <v>1452</v>
      </c>
      <c r="C491" s="3" t="s">
        <v>1453</v>
      </c>
      <c r="D491" s="3" t="s">
        <v>108</v>
      </c>
      <c r="E491" s="3" t="s">
        <v>76</v>
      </c>
      <c r="F491" s="3" t="s">
        <v>15</v>
      </c>
      <c r="G491" s="3" t="s">
        <v>824</v>
      </c>
      <c r="H491" s="3" t="s">
        <v>205</v>
      </c>
      <c r="I491" s="3" t="str">
        <f>IFERROR(__xludf.DUMMYFUNCTION("GOOGLETRANSLATE(C491,""fr"",""en"")"),"  Hello the AXA SOCIETY to increase it is a price of 10 percent approximately. I would like to know that I had no claim why this increase. In case you will keep up I would be an obligation to leave. Thank you for answering me .")</f>
        <v>  Hello the AXA SOCIETY to increase it is a price of 10 percent approximately. I would like to know that I had no claim why this increase. In case you will keep up I would be an obligation to leave. Thank you for answering me .</v>
      </c>
    </row>
    <row r="492" ht="15.75" customHeight="1">
      <c r="A492" s="3">
        <v>5.0</v>
      </c>
      <c r="B492" s="3" t="s">
        <v>1454</v>
      </c>
      <c r="C492" s="3" t="s">
        <v>1455</v>
      </c>
      <c r="D492" s="3" t="s">
        <v>61</v>
      </c>
      <c r="E492" s="3" t="s">
        <v>14</v>
      </c>
      <c r="F492" s="3" t="s">
        <v>15</v>
      </c>
      <c r="G492" s="3" t="s">
        <v>1456</v>
      </c>
      <c r="H492" s="3" t="s">
        <v>183</v>
      </c>
      <c r="I492" s="3" t="str">
        <f>IFERROR(__xludf.DUMMYFUNCTION("GOOGLETRANSLATE(C492,""fr"",""en"")"),"Following my termination J, I intended Santiane who answered me very quickly and effectively")</f>
        <v>Following my termination J, I intended Santiane who answered me very quickly and effectively</v>
      </c>
    </row>
    <row r="493" ht="15.75" customHeight="1">
      <c r="A493" s="3">
        <v>1.0</v>
      </c>
      <c r="B493" s="3" t="s">
        <v>1457</v>
      </c>
      <c r="C493" s="3" t="s">
        <v>1458</v>
      </c>
      <c r="D493" s="3" t="s">
        <v>123</v>
      </c>
      <c r="E493" s="3" t="s">
        <v>27</v>
      </c>
      <c r="F493" s="3" t="s">
        <v>15</v>
      </c>
      <c r="G493" s="3" t="s">
        <v>1459</v>
      </c>
      <c r="H493" s="3" t="s">
        <v>964</v>
      </c>
      <c r="I493" s="3" t="str">
        <f>IFERROR(__xludf.DUMMYFUNCTION("GOOGLETRANSLATE(C493,""fr"",""en"")"),"Hello,
Me, I am convinced that the maaf is a mutual that only seeks profits
I have been a customer at the MAAF since 1989, home insurance, 2 cars, caravan, boating, bonus 50% plus 8% winners. Bonus spent at 0.58, following 2 claims.
8 months ago, I had"&amp;" an increase in my franchise, doubled and spent at € 600 uros!
After question, the answer was that I did not have to accept!
In other words: ""You accept or get out!"".
I just changed my car and, to my surprise, the MAAF refused to ensure my new vehicl"&amp;"e.
In question, 2 minor claims (but minor or important = claims).
So, I confirm that the MAAF is a mutual that only seeks to make the benefit and which has no remorse not to reassure its customers, can they be very old or not!
But, following such acts,"&amp;" and, looking for a new company, I can say that this mutual is far from offering you the best prices!
Do a search and do not hesitate to change company!
Cordially")</f>
        <v>Hello,
Me, I am convinced that the maaf is a mutual that only seeks profits
I have been a customer at the MAAF since 1989, home insurance, 2 cars, caravan, boating, bonus 50% plus 8% winners. Bonus spent at 0.58, following 2 claims.
8 months ago, I had an increase in my franchise, doubled and spent at € 600 uros!
After question, the answer was that I did not have to accept!
In other words: "You accept or get out!".
I just changed my car and, to my surprise, the MAAF refused to ensure my new vehicle.
In question, 2 minor claims (but minor or important = claims).
So, I confirm that the MAAF is a mutual that only seeks to make the benefit and which has no remorse not to reassure its customers, can they be very old or not!
But, following such acts, and, looking for a new company, I can say that this mutual is far from offering you the best prices!
Do a search and do not hesitate to change company!
Cordially</v>
      </c>
    </row>
    <row r="494" ht="15.75" customHeight="1">
      <c r="A494" s="3">
        <v>1.0</v>
      </c>
      <c r="B494" s="3" t="s">
        <v>1460</v>
      </c>
      <c r="C494" s="3" t="s">
        <v>1461</v>
      </c>
      <c r="D494" s="3" t="s">
        <v>75</v>
      </c>
      <c r="E494" s="3" t="s">
        <v>27</v>
      </c>
      <c r="F494" s="3" t="s">
        <v>15</v>
      </c>
      <c r="G494" s="3" t="s">
        <v>1462</v>
      </c>
      <c r="H494" s="3" t="s">
        <v>604</v>
      </c>
      <c r="I494" s="3" t="str">
        <f>IFERROR(__xludf.DUMMYFUNCTION("GOOGLETRANSLATE(C494,""fr"",""en"")"),"I left Assu 2000 with a bonus coefficient of 0.80 January 2017, I subscribed a contract with Allianz in April of the same year. 1 year later I receive a letter with an increase in my car insurance, from 46 euros I drop to 50 euros without specifying my bo"&amp;"nus coefficient, I send an email by asking for what is my current coefficient, it answers me 0.80, while I should be 0.75 since the start of 2018")</f>
        <v>I left Assu 2000 with a bonus coefficient of 0.80 January 2017, I subscribed a contract with Allianz in April of the same year. 1 year later I receive a letter with an increase in my car insurance, from 46 euros I drop to 50 euros without specifying my bonus coefficient, I send an email by asking for what is my current coefficient, it answers me 0.80, while I should be 0.75 since the start of 2018</v>
      </c>
    </row>
    <row r="495" ht="15.75" customHeight="1">
      <c r="A495" s="3">
        <v>4.0</v>
      </c>
      <c r="B495" s="3" t="s">
        <v>1463</v>
      </c>
      <c r="C495" s="3" t="s">
        <v>1464</v>
      </c>
      <c r="D495" s="3" t="s">
        <v>37</v>
      </c>
      <c r="E495" s="3" t="s">
        <v>27</v>
      </c>
      <c r="F495" s="3" t="s">
        <v>15</v>
      </c>
      <c r="G495" s="3" t="s">
        <v>1465</v>
      </c>
      <c r="H495" s="3" t="s">
        <v>1252</v>
      </c>
      <c r="I495" s="3" t="str">
        <f>IFERROR(__xludf.DUMMYFUNCTION("GOOGLETRANSLATE(C495,""fr"",""en"")"),"Satisfied with the service, prices, fast, efficient, very professional. The whole process and explain well, the stages and the explanations too.Bravo to you. Continue like this.")</f>
        <v>Satisfied with the service, prices, fast, efficient, very professional. The whole process and explain well, the stages and the explanations too.Bravo to you. Continue like this.</v>
      </c>
    </row>
    <row r="496" ht="15.75" customHeight="1">
      <c r="A496" s="3">
        <v>1.0</v>
      </c>
      <c r="B496" s="3" t="s">
        <v>1466</v>
      </c>
      <c r="C496" s="3" t="s">
        <v>1467</v>
      </c>
      <c r="D496" s="3" t="s">
        <v>804</v>
      </c>
      <c r="E496" s="3" t="s">
        <v>805</v>
      </c>
      <c r="F496" s="3" t="s">
        <v>15</v>
      </c>
      <c r="G496" s="3" t="s">
        <v>1468</v>
      </c>
      <c r="H496" s="3" t="s">
        <v>195</v>
      </c>
      <c r="I496" s="3" t="str">
        <f>IFERROR(__xludf.DUMMYFUNCTION("GOOGLETRANSLATE(C496,""fr"",""en"")"),"I would like to inform that I am very unhappy dassur hair, in fact I transmitted the care bills for the year 2017 and 2018 they all had returned and in addition they had the other side to tell me that I do not Was more to insure them when I have an active"&amp;" account on your site and a levy of € 39.90 monthly.")</f>
        <v>I would like to inform that I am very unhappy dassur hair, in fact I transmitted the care bills for the year 2017 and 2018 they all had returned and in addition they had the other side to tell me that I do not Was more to insure them when I have an active account on your site and a levy of € 39.90 monthly.</v>
      </c>
    </row>
    <row r="497" ht="15.75" customHeight="1">
      <c r="A497" s="3">
        <v>5.0</v>
      </c>
      <c r="B497" s="3" t="s">
        <v>1469</v>
      </c>
      <c r="C497" s="3" t="s">
        <v>1470</v>
      </c>
      <c r="D497" s="3" t="s">
        <v>53</v>
      </c>
      <c r="E497" s="3" t="s">
        <v>27</v>
      </c>
      <c r="F497" s="3" t="s">
        <v>15</v>
      </c>
      <c r="G497" s="3" t="s">
        <v>872</v>
      </c>
      <c r="H497" s="3" t="s">
        <v>99</v>
      </c>
      <c r="I497" s="3" t="str">
        <f>IFERROR(__xludf.DUMMYFUNCTION("GOOGLETRANSLATE(C497,""fr"",""en"")"),"I am satisfied with the service I appreciate the speed to be insured and the price is satisfactory in the event of a problem with fast and effective management that is why I come back to make sure at home")</f>
        <v>I am satisfied with the service I appreciate the speed to be insured and the price is satisfactory in the event of a problem with fast and effective management that is why I come back to make sure at home</v>
      </c>
    </row>
    <row r="498" ht="15.75" customHeight="1">
      <c r="A498" s="3">
        <v>3.0</v>
      </c>
      <c r="B498" s="3" t="s">
        <v>1471</v>
      </c>
      <c r="C498" s="3" t="s">
        <v>1472</v>
      </c>
      <c r="D498" s="3" t="s">
        <v>97</v>
      </c>
      <c r="E498" s="3" t="s">
        <v>81</v>
      </c>
      <c r="F498" s="3" t="s">
        <v>15</v>
      </c>
      <c r="G498" s="3" t="s">
        <v>1473</v>
      </c>
      <c r="H498" s="3" t="s">
        <v>23</v>
      </c>
      <c r="I498" s="3" t="str">
        <f>IFERROR(__xludf.DUMMYFUNCTION("GOOGLETRANSLATE(C498,""fr"",""en"")"),"Insured all risks with ""Option Plus"" accessories. Following the theft of my top case, without degradation of the motorcycle, no care or for the top case or for what it contained (helmet, gloves and u). My vehicle would have had to be degraded or stolen "&amp;"to be able to access ""accessories"" support !!!!! Common email, telephone exchanges. ""We can't do anything for you sir"". And this despite a 50% bonus for more than 3 years and a nice letter of congratulations and announcement of franchise bonuses 2 mon"&amp;"ths ago.
In short, the feeling of having been stolen a second time, because the insurance premium was, moreover, high. Not a biker insurance that is sure, despite their name. I recommend, after exchange with them the mutual of bikers. Cheaper, limited fr"&amp;"anchise and guaranteed support in this case with the accessories option.")</f>
        <v>Insured all risks with "Option Plus" accessories. Following the theft of my top case, without degradation of the motorcycle, no care or for the top case or for what it contained (helmet, gloves and u). My vehicle would have had to be degraded or stolen to be able to access "accessories" support !!!!! Common email, telephone exchanges. "We can't do anything for you sir". And this despite a 50% bonus for more than 3 years and a nice letter of congratulations and announcement of franchise bonuses 2 months ago.
In short, the feeling of having been stolen a second time, because the insurance premium was, moreover, high. Not a biker insurance that is sure, despite their name. I recommend, after exchange with them the mutual of bikers. Cheaper, limited franchise and guaranteed support in this case with the accessories option.</v>
      </c>
    </row>
    <row r="499" ht="15.75" customHeight="1">
      <c r="A499" s="3">
        <v>4.0</v>
      </c>
      <c r="B499" s="3" t="s">
        <v>1474</v>
      </c>
      <c r="C499" s="3" t="s">
        <v>1475</v>
      </c>
      <c r="D499" s="3" t="s">
        <v>37</v>
      </c>
      <c r="E499" s="3" t="s">
        <v>27</v>
      </c>
      <c r="F499" s="3" t="s">
        <v>15</v>
      </c>
      <c r="G499" s="3" t="s">
        <v>198</v>
      </c>
      <c r="H499" s="3" t="s">
        <v>23</v>
      </c>
      <c r="I499" s="3" t="str">
        <f>IFERROR(__xludf.DUMMYFUNCTION("GOOGLETRANSLATE(C499,""fr"",""en"")"),"Clearly clear and precise advisor easy to understand. The giving prices are very correct and very affordable but a shame not yet to do motorcycle insurance.
")</f>
        <v>Clearly clear and precise advisor easy to understand. The giving prices are very correct and very affordable but a shame not yet to do motorcycle insurance.
</v>
      </c>
    </row>
    <row r="500" ht="15.75" customHeight="1">
      <c r="A500" s="3">
        <v>1.0</v>
      </c>
      <c r="B500" s="3" t="s">
        <v>1476</v>
      </c>
      <c r="C500" s="3" t="s">
        <v>1477</v>
      </c>
      <c r="D500" s="3" t="s">
        <v>85</v>
      </c>
      <c r="E500" s="3" t="s">
        <v>27</v>
      </c>
      <c r="F500" s="3" t="s">
        <v>15</v>
      </c>
      <c r="G500" s="3" t="s">
        <v>1164</v>
      </c>
      <c r="H500" s="3" t="s">
        <v>1090</v>
      </c>
      <c r="I500" s="3" t="str">
        <f>IFERROR(__xludf.DUMMYFUNCTION("GOOGLETRANSLATE(C500,""fr"",""en"")"),"Funny insurer, they increase your monthly payments for no reason and this despite the bonus and therefore no claim, they do what they want, ashamed when you know that making sure is compulsory. I advise you to flee urgently.")</f>
        <v>Funny insurer, they increase your monthly payments for no reason and this despite the bonus and therefore no claim, they do what they want, ashamed when you know that making sure is compulsory. I advise you to flee urgently.</v>
      </c>
    </row>
    <row r="501" ht="15.75" customHeight="1">
      <c r="A501" s="3">
        <v>3.0</v>
      </c>
      <c r="B501" s="3" t="s">
        <v>1478</v>
      </c>
      <c r="C501" s="3" t="s">
        <v>1479</v>
      </c>
      <c r="D501" s="3" t="s">
        <v>53</v>
      </c>
      <c r="E501" s="3" t="s">
        <v>27</v>
      </c>
      <c r="F501" s="3" t="s">
        <v>15</v>
      </c>
      <c r="G501" s="3" t="s">
        <v>1480</v>
      </c>
      <c r="H501" s="3" t="s">
        <v>58</v>
      </c>
      <c r="I501" s="3" t="str">
        <f>IFERROR(__xludf.DUMMYFUNCTION("GOOGLETRANSLATE(C501,""fr"",""en"")"),"I am aware of your services; I resens me to adjust my self -cisaion; as you do not accept the checks, I will adjust you by banking card :: greetings")</f>
        <v>I am aware of your services; I resens me to adjust my self -cisaion; as you do not accept the checks, I will adjust you by banking card :: greetings</v>
      </c>
    </row>
    <row r="502" ht="15.75" customHeight="1">
      <c r="A502" s="3">
        <v>1.0</v>
      </c>
      <c r="B502" s="3" t="s">
        <v>1481</v>
      </c>
      <c r="C502" s="3" t="s">
        <v>1482</v>
      </c>
      <c r="D502" s="3" t="s">
        <v>193</v>
      </c>
      <c r="E502" s="3" t="s">
        <v>14</v>
      </c>
      <c r="F502" s="3" t="s">
        <v>15</v>
      </c>
      <c r="G502" s="3" t="s">
        <v>1483</v>
      </c>
      <c r="H502" s="3" t="s">
        <v>44</v>
      </c>
      <c r="I502" s="3" t="str">
        <f>IFERROR(__xludf.DUMMYFUNCTION("GOOGLETRANSLATE(C502,""fr"",""en"")"),"Unheard of the purchase of medication on 07/01, sending the care sheet on 10/01. The 30 still no refund 1st call where I am reported that I miss the security count that I send on the field. Today after 4 calls I am told 15 days of processing time. They ar"&amp;"e very late never seen such a mediocre mutual! No taking into account customers fortunately that it is a mutual company because paid the high price for such a shabby service ever of life!")</f>
        <v>Unheard of the purchase of medication on 07/01, sending the care sheet on 10/01. The 30 still no refund 1st call where I am reported that I miss the security count that I send on the field. Today after 4 calls I am told 15 days of processing time. They are very late never seen such a mediocre mutual! No taking into account customers fortunately that it is a mutual company because paid the high price for such a shabby service ever of life!</v>
      </c>
    </row>
    <row r="503" ht="15.75" customHeight="1">
      <c r="A503" s="3">
        <v>3.0</v>
      </c>
      <c r="B503" s="3" t="s">
        <v>1484</v>
      </c>
      <c r="C503" s="3" t="s">
        <v>1485</v>
      </c>
      <c r="D503" s="3" t="s">
        <v>37</v>
      </c>
      <c r="E503" s="3" t="s">
        <v>27</v>
      </c>
      <c r="F503" s="3" t="s">
        <v>15</v>
      </c>
      <c r="G503" s="3" t="s">
        <v>1486</v>
      </c>
      <c r="H503" s="3" t="s">
        <v>72</v>
      </c>
      <c r="I503" s="3" t="str">
        <f>IFERROR(__xludf.DUMMYFUNCTION("GOOGLETRANSLATE(C503,""fr"",""en"")"),"Prices suit me.
The franchises are quite high but the prices balance the balance.
Being a new client at the Olivier Insurance so far nothing to complain about.")</f>
        <v>Prices suit me.
The franchises are quite high but the prices balance the balance.
Being a new client at the Olivier Insurance so far nothing to complain about.</v>
      </c>
    </row>
    <row r="504" ht="15.75" customHeight="1">
      <c r="A504" s="3">
        <v>1.0</v>
      </c>
      <c r="B504" s="3" t="s">
        <v>1487</v>
      </c>
      <c r="C504" s="3" t="s">
        <v>1488</v>
      </c>
      <c r="D504" s="3" t="s">
        <v>53</v>
      </c>
      <c r="E504" s="3" t="s">
        <v>27</v>
      </c>
      <c r="F504" s="3" t="s">
        <v>15</v>
      </c>
      <c r="G504" s="3" t="s">
        <v>509</v>
      </c>
      <c r="H504" s="3" t="s">
        <v>17</v>
      </c>
      <c r="I504" s="3" t="str">
        <f>IFERROR(__xludf.DUMMYFUNCTION("GOOGLETRANSLATE(C504,""fr"",""en"")"),"This insurance refused to insure us because being Personal Peugeot, we change the car every 6 months. In addition, they do not give any explanations, take us 4 different people to finally hang up and make us recall by another service provider who offers u"&amp;"s insurance 2 times more expensive! However, we have never had accidents or other claims.")</f>
        <v>This insurance refused to insure us because being Personal Peugeot, we change the car every 6 months. In addition, they do not give any explanations, take us 4 different people to finally hang up and make us recall by another service provider who offers us insurance 2 times more expensive! However, we have never had accidents or other claims.</v>
      </c>
    </row>
    <row r="505" ht="15.75" customHeight="1">
      <c r="A505" s="3">
        <v>3.0</v>
      </c>
      <c r="B505" s="3" t="s">
        <v>1489</v>
      </c>
      <c r="C505" s="3" t="s">
        <v>1490</v>
      </c>
      <c r="D505" s="3" t="s">
        <v>53</v>
      </c>
      <c r="E505" s="3" t="s">
        <v>27</v>
      </c>
      <c r="F505" s="3" t="s">
        <v>15</v>
      </c>
      <c r="G505" s="3" t="s">
        <v>1491</v>
      </c>
      <c r="H505" s="3" t="s">
        <v>72</v>
      </c>
      <c r="I505" s="3" t="str">
        <f>IFERROR(__xludf.DUMMYFUNCTION("GOOGLETRANSLATE(C505,""fr"",""en"")"),"The suitable price but we have not yet had to call on insurance for any problem, so we cannot yet assess")</f>
        <v>The suitable price but we have not yet had to call on insurance for any problem, so we cannot yet assess</v>
      </c>
    </row>
    <row r="506" ht="15.75" customHeight="1">
      <c r="A506" s="3">
        <v>1.0</v>
      </c>
      <c r="B506" s="3" t="s">
        <v>1492</v>
      </c>
      <c r="C506" s="3" t="s">
        <v>1493</v>
      </c>
      <c r="D506" s="3" t="s">
        <v>37</v>
      </c>
      <c r="E506" s="3" t="s">
        <v>27</v>
      </c>
      <c r="F506" s="3" t="s">
        <v>15</v>
      </c>
      <c r="G506" s="3" t="s">
        <v>1494</v>
      </c>
      <c r="H506" s="3" t="s">
        <v>335</v>
      </c>
      <c r="I506" s="3" t="str">
        <f>IFERROR(__xludf.DUMMYFUNCTION("GOOGLETRANSLATE(C506,""fr"",""en"")"),"This insurer is not recommended, perpetual confusion, green card always erroneous, reimbursement after extremely long termination 1 month see more, advisers at the end of argument and impossibility of communicating to managers who despise their customers."&amp;" Frankly all net insurance are really that ghosts when the problems are branching with customers")</f>
        <v>This insurer is not recommended, perpetual confusion, green card always erroneous, reimbursement after extremely long termination 1 month see more, advisers at the end of argument and impossibility of communicating to managers who despise their customers. Frankly all net insurance are really that ghosts when the problems are branching with customers</v>
      </c>
    </row>
    <row r="507" ht="15.75" customHeight="1">
      <c r="A507" s="3">
        <v>3.0</v>
      </c>
      <c r="B507" s="3" t="s">
        <v>1495</v>
      </c>
      <c r="C507" s="3" t="s">
        <v>1496</v>
      </c>
      <c r="D507" s="3" t="s">
        <v>37</v>
      </c>
      <c r="E507" s="3" t="s">
        <v>27</v>
      </c>
      <c r="F507" s="3" t="s">
        <v>15</v>
      </c>
      <c r="G507" s="3" t="s">
        <v>478</v>
      </c>
      <c r="H507" s="3" t="s">
        <v>23</v>
      </c>
      <c r="I507" s="3" t="str">
        <f>IFERROR(__xludf.DUMMYFUNCTION("GOOGLETRANSLATE(C507,""fr"",""en"")"),"Perfect I recommend this site
They are attentive and available
Sympathetic and patient interlocutor,
I really recommend the olive tree.
My wife is there too
CDLMT")</f>
        <v>Perfect I recommend this site
They are attentive and available
Sympathetic and patient interlocutor,
I really recommend the olive tree.
My wife is there too
CDLMT</v>
      </c>
    </row>
    <row r="508" ht="15.75" customHeight="1">
      <c r="A508" s="3">
        <v>1.0</v>
      </c>
      <c r="B508" s="3" t="s">
        <v>1497</v>
      </c>
      <c r="C508" s="3" t="s">
        <v>1498</v>
      </c>
      <c r="D508" s="3" t="s">
        <v>53</v>
      </c>
      <c r="E508" s="3" t="s">
        <v>27</v>
      </c>
      <c r="F508" s="3" t="s">
        <v>15</v>
      </c>
      <c r="G508" s="3" t="s">
        <v>298</v>
      </c>
      <c r="H508" s="3" t="s">
        <v>58</v>
      </c>
      <c r="I508" s="3" t="str">
        <f>IFERROR(__xludf.DUMMYFUNCTION("GOOGLETRANSLATE(C508,""fr"",""en"")"),"I am not satisfied with the prices for my car insurance which has increased instead of going down seen no inccidents from the beginning of my car insurance, it is impossible to remove certain arrangements on my too much dear contract for me")</f>
        <v>I am not satisfied with the prices for my car insurance which has increased instead of going down seen no inccidents from the beginning of my car insurance, it is impossible to remove certain arrangements on my too much dear contract for me</v>
      </c>
    </row>
    <row r="509" ht="15.75" customHeight="1">
      <c r="A509" s="3">
        <v>1.0</v>
      </c>
      <c r="B509" s="3" t="s">
        <v>1499</v>
      </c>
      <c r="C509" s="3" t="s">
        <v>1500</v>
      </c>
      <c r="D509" s="3" t="s">
        <v>123</v>
      </c>
      <c r="E509" s="3" t="s">
        <v>27</v>
      </c>
      <c r="F509" s="3" t="s">
        <v>15</v>
      </c>
      <c r="G509" s="3" t="s">
        <v>1501</v>
      </c>
      <c r="H509" s="3" t="s">
        <v>506</v>
      </c>
      <c r="I509" s="3" t="str">
        <f>IFERROR(__xludf.DUMMYFUNCTION("GOOGLETRANSLATE(C509,""fr"",""en"")"),"TO FLEE ! Customer for more than twenty years with bonus 50% ""for life"", but fired after three non -responsible accidents in three years ... Just received an impersonal letter, without any explanation or answer to my questions and customer service which"&amp;" remains unreachable. ..")</f>
        <v>TO FLEE ! Customer for more than twenty years with bonus 50% "for life", but fired after three non -responsible accidents in three years ... Just received an impersonal letter, without any explanation or answer to my questions and customer service which remains unreachable. ..</v>
      </c>
    </row>
    <row r="510" ht="15.75" customHeight="1">
      <c r="A510" s="3">
        <v>1.0</v>
      </c>
      <c r="B510" s="3" t="s">
        <v>1502</v>
      </c>
      <c r="C510" s="3" t="s">
        <v>1503</v>
      </c>
      <c r="D510" s="3" t="s">
        <v>373</v>
      </c>
      <c r="E510" s="3" t="s">
        <v>14</v>
      </c>
      <c r="F510" s="3" t="s">
        <v>15</v>
      </c>
      <c r="G510" s="3" t="s">
        <v>159</v>
      </c>
      <c r="H510" s="3" t="s">
        <v>159</v>
      </c>
      <c r="I510" s="3" t="str">
        <f>IFERROR(__xludf.DUMMYFUNCTION("GOOGLETRANSLATE(C510,""fr"",""en"")"),"It has been 2 weeks since it is impossible to connect to Mercernet. Impossible to have a person who can take the request.
The messages sent remain unanswered and the phone rings in the void. I am more than 10 hours away if I accumulate all my appeal atte"&amp;"mpts.
1 star is still too much!")</f>
        <v>It has been 2 weeks since it is impossible to connect to Mercernet. Impossible to have a person who can take the request.
The messages sent remain unanswered and the phone rings in the void. I am more than 10 hours away if I accumulate all my appeal attempts.
1 star is still too much!</v>
      </c>
    </row>
    <row r="511" ht="15.75" customHeight="1">
      <c r="A511" s="3">
        <v>4.0</v>
      </c>
      <c r="B511" s="3" t="s">
        <v>1504</v>
      </c>
      <c r="C511" s="3" t="s">
        <v>1505</v>
      </c>
      <c r="D511" s="3" t="s">
        <v>80</v>
      </c>
      <c r="E511" s="3" t="s">
        <v>81</v>
      </c>
      <c r="F511" s="3" t="s">
        <v>15</v>
      </c>
      <c r="G511" s="3" t="s">
        <v>1145</v>
      </c>
      <c r="H511" s="3" t="s">
        <v>17</v>
      </c>
      <c r="I511" s="3" t="str">
        <f>IFERROR(__xludf.DUMMYFUNCTION("GOOGLETRANSLATE(C511,""fr"",""en"")"),"TOP insurance with good customer service and price level very very well. Guaranteed report and price there is no better on the market. I recommend 100%.")</f>
        <v>TOP insurance with good customer service and price level very very well. Guaranteed report and price there is no better on the market. I recommend 100%.</v>
      </c>
    </row>
    <row r="512" ht="15.75" customHeight="1">
      <c r="A512" s="3">
        <v>5.0</v>
      </c>
      <c r="B512" s="3" t="s">
        <v>1506</v>
      </c>
      <c r="C512" s="3" t="s">
        <v>1507</v>
      </c>
      <c r="D512" s="3" t="s">
        <v>53</v>
      </c>
      <c r="E512" s="3" t="s">
        <v>27</v>
      </c>
      <c r="F512" s="3" t="s">
        <v>15</v>
      </c>
      <c r="G512" s="3" t="s">
        <v>1167</v>
      </c>
      <c r="H512" s="3" t="s">
        <v>23</v>
      </c>
      <c r="I512" s="3" t="str">
        <f>IFERROR(__xludf.DUMMYFUNCTION("GOOGLETRANSLATE(C512,""fr"",""en"")"),"I am satisfied with the service and the lower prices than my current insurance - very pleasant telephone reception. Recontacted within the period initially planned.
")</f>
        <v>I am satisfied with the service and the lower prices than my current insurance - very pleasant telephone reception. Recontacted within the period initially planned.
</v>
      </c>
    </row>
    <row r="513" ht="15.75" customHeight="1">
      <c r="A513" s="3">
        <v>3.0</v>
      </c>
      <c r="B513" s="3" t="s">
        <v>1508</v>
      </c>
      <c r="C513" s="3" t="s">
        <v>1509</v>
      </c>
      <c r="D513" s="3" t="s">
        <v>53</v>
      </c>
      <c r="E513" s="3" t="s">
        <v>27</v>
      </c>
      <c r="F513" s="3" t="s">
        <v>15</v>
      </c>
      <c r="G513" s="3" t="s">
        <v>370</v>
      </c>
      <c r="H513" s="3" t="s">
        <v>58</v>
      </c>
      <c r="I513" s="3" t="str">
        <f>IFERROR(__xludf.DUMMYFUNCTION("GOOGLETRANSLATE(C513,""fr"",""en"")"),"I do not understand why this year where I have not rolled (COVVID and my age) I am increased 44.29 euros, while the media announce that the insurance we lowered their prices ?? I would like an explanation from you thank you in advance")</f>
        <v>I do not understand why this year where I have not rolled (COVVID and my age) I am increased 44.29 euros, while the media announce that the insurance we lowered their prices ?? I would like an explanation from you thank you in advance</v>
      </c>
    </row>
    <row r="514" ht="15.75" customHeight="1">
      <c r="A514" s="3">
        <v>4.0</v>
      </c>
      <c r="B514" s="3" t="s">
        <v>1510</v>
      </c>
      <c r="C514" s="3" t="s">
        <v>1511</v>
      </c>
      <c r="D514" s="3" t="s">
        <v>37</v>
      </c>
      <c r="E514" s="3" t="s">
        <v>27</v>
      </c>
      <c r="F514" s="3" t="s">
        <v>15</v>
      </c>
      <c r="G514" s="3" t="s">
        <v>117</v>
      </c>
      <c r="H514" s="3" t="s">
        <v>99</v>
      </c>
      <c r="I514" s="3" t="str">
        <f>IFERROR(__xludf.DUMMYFUNCTION("GOOGLETRANSLATE(C514,""fr"",""en"")"),"I am satisfied with the service of Olivier Assurance thank you for responding and of course in addition the great passion with me and I hope to continue with you.")</f>
        <v>I am satisfied with the service of Olivier Assurance thank you for responding and of course in addition the great passion with me and I hope to continue with you.</v>
      </c>
    </row>
    <row r="515" ht="15.75" customHeight="1">
      <c r="A515" s="3">
        <v>4.0</v>
      </c>
      <c r="B515" s="3" t="s">
        <v>1512</v>
      </c>
      <c r="C515" s="3" t="s">
        <v>1513</v>
      </c>
      <c r="D515" s="3" t="s">
        <v>26</v>
      </c>
      <c r="E515" s="3" t="s">
        <v>27</v>
      </c>
      <c r="F515" s="3" t="s">
        <v>15</v>
      </c>
      <c r="G515" s="3" t="s">
        <v>1514</v>
      </c>
      <c r="H515" s="3" t="s">
        <v>99</v>
      </c>
      <c r="I515" s="3" t="str">
        <f>IFERROR(__xludf.DUMMYFUNCTION("GOOGLETRANSLATE(C515,""fr"",""en"")"),"I have been satisfied with the GMF services that has been sure for over 50 years.
Reactive service giving any satisfaction when requesting intervention.")</f>
        <v>I have been satisfied with the GMF services that has been sure for over 50 years.
Reactive service giving any satisfaction when requesting intervention.</v>
      </c>
    </row>
    <row r="516" ht="15.75" customHeight="1">
      <c r="A516" s="3">
        <v>2.0</v>
      </c>
      <c r="B516" s="3" t="s">
        <v>1515</v>
      </c>
      <c r="C516" s="3" t="s">
        <v>1516</v>
      </c>
      <c r="D516" s="3" t="s">
        <v>42</v>
      </c>
      <c r="E516" s="3" t="s">
        <v>14</v>
      </c>
      <c r="F516" s="3" t="s">
        <v>15</v>
      </c>
      <c r="G516" s="3" t="s">
        <v>1517</v>
      </c>
      <c r="H516" s="3" t="s">
        <v>44</v>
      </c>
      <c r="I516" s="3" t="str">
        <f>IFERROR(__xludf.DUMMYFUNCTION("GOOGLETRANSLATE(C516,""fr"",""en"")"),"hello
I go through this site because it seems that you will answer quickly :-).
Still no response to my email from February 5, recounting all the perpetrators meeting to obtain a paid third party card (file received by AG2R on December 10)! 3 calls for "&amp;"customer service 3 different explanations :-) and still no affiliation! Do not ask me to make an email in the health service, it's done (3832394-1580919165).
Maybe my son will be a break before the end of his CDD contract :-) :-) Thank you")</f>
        <v>hello
I go through this site because it seems that you will answer quickly :-).
Still no response to my email from February 5, recounting all the perpetrators meeting to obtain a paid third party card (file received by AG2R on December 10)! 3 calls for customer service 3 different explanations :-) and still no affiliation! Do not ask me to make an email in the health service, it's done (3832394-1580919165).
Maybe my son will be a break before the end of his CDD contract :-) :-) Thank you</v>
      </c>
    </row>
    <row r="517" ht="15.75" customHeight="1">
      <c r="A517" s="3">
        <v>2.0</v>
      </c>
      <c r="B517" s="3" t="s">
        <v>1518</v>
      </c>
      <c r="C517" s="3" t="s">
        <v>1519</v>
      </c>
      <c r="D517" s="3" t="s">
        <v>80</v>
      </c>
      <c r="E517" s="3" t="s">
        <v>81</v>
      </c>
      <c r="F517" s="3" t="s">
        <v>15</v>
      </c>
      <c r="G517" s="3" t="s">
        <v>1520</v>
      </c>
      <c r="H517" s="3" t="s">
        <v>139</v>
      </c>
      <c r="I517" s="3" t="str">
        <f>IFERROR(__xludf.DUMMYFUNCTION("GOOGLETRANSLATE(C517,""fr"",""en"")"),"Customer service deplorable to believe that the extended deadlines due to confinement, which is understandable, have made the interlocutors lose all competence. A renegotiated contract in April for a mid-May deadline. To date I have still not received my "&amp;"certificate, I circulate with a digital copy, I have not received a maturity notice and I learn by my broker that a registered letter was sent to me. I therefore settle my online subscription without insurance certificate. Ubuesque ... Abusive behavior.")</f>
        <v>Customer service deplorable to believe that the extended deadlines due to confinement, which is understandable, have made the interlocutors lose all competence. A renegotiated contract in April for a mid-May deadline. To date I have still not received my certificate, I circulate with a digital copy, I have not received a maturity notice and I learn by my broker that a registered letter was sent to me. I therefore settle my online subscription without insurance certificate. Ubuesque ... Abusive behavior.</v>
      </c>
    </row>
    <row r="518" ht="15.75" customHeight="1">
      <c r="A518" s="3">
        <v>5.0</v>
      </c>
      <c r="B518" s="3" t="s">
        <v>1521</v>
      </c>
      <c r="C518" s="3" t="s">
        <v>1522</v>
      </c>
      <c r="D518" s="3" t="s">
        <v>26</v>
      </c>
      <c r="E518" s="3" t="s">
        <v>27</v>
      </c>
      <c r="F518" s="3" t="s">
        <v>15</v>
      </c>
      <c r="G518" s="3" t="s">
        <v>664</v>
      </c>
      <c r="H518" s="3" t="s">
        <v>99</v>
      </c>
      <c r="I518" s="3" t="str">
        <f>IFERROR(__xludf.DUMMYFUNCTION("GOOGLETRANSLATE(C518,""fr"",""en"")"),"Member for 50 years at the GMF I will never change an insurer ==&gt; Rest assured! The interlocutors on the phone are competent and good advisers and the agency staff are also and receive us with courtesy and at a specific time. Bravo to all and thank you.")</f>
        <v>Member for 50 years at the GMF I will never change an insurer ==&gt; Rest assured! The interlocutors on the phone are competent and good advisers and the agency staff are also and receive us with courtesy and at a specific time. Bravo to all and thank you.</v>
      </c>
    </row>
    <row r="519" ht="15.75" customHeight="1">
      <c r="A519" s="3">
        <v>1.0</v>
      </c>
      <c r="B519" s="3" t="s">
        <v>1523</v>
      </c>
      <c r="C519" s="3" t="s">
        <v>1524</v>
      </c>
      <c r="D519" s="3" t="s">
        <v>108</v>
      </c>
      <c r="E519" s="3" t="s">
        <v>109</v>
      </c>
      <c r="F519" s="3" t="s">
        <v>15</v>
      </c>
      <c r="G519" s="3" t="s">
        <v>1525</v>
      </c>
      <c r="H519" s="3" t="s">
        <v>401</v>
      </c>
      <c r="I519" s="3" t="str">
        <f>IFERROR(__xludf.DUMMYFUNCTION("GOOGLETRANSLATE(C519,""fr"",""en"")"),"Hello, Excellium contract since 2016, I have already lost 2000 euros in addition to the 3000 that they priced to me with the 4% in the initial payment, in all in 2 years and 4 months JSU at least 5000 euros in loss, Thank you with all my heart axa for the"&amp;" joy you bring us to our family")</f>
        <v>Hello, Excellium contract since 2016, I have already lost 2000 euros in addition to the 3000 that they priced to me with the 4% in the initial payment, in all in 2 years and 4 months JSU at least 5000 euros in loss, Thank you with all my heart axa for the joy you bring us to our family</v>
      </c>
    </row>
    <row r="520" ht="15.75" customHeight="1">
      <c r="A520" s="3">
        <v>3.0</v>
      </c>
      <c r="B520" s="3" t="s">
        <v>1526</v>
      </c>
      <c r="C520" s="3" t="s">
        <v>1527</v>
      </c>
      <c r="D520" s="3" t="s">
        <v>57</v>
      </c>
      <c r="E520" s="3" t="s">
        <v>14</v>
      </c>
      <c r="F520" s="3" t="s">
        <v>15</v>
      </c>
      <c r="G520" s="3" t="s">
        <v>1528</v>
      </c>
      <c r="H520" s="3" t="s">
        <v>428</v>
      </c>
      <c r="I520" s="3" t="str">
        <f>IFERROR(__xludf.DUMMYFUNCTION("GOOGLETRANSLATE(C520,""fr"",""en"")"),"Hello, the MGP Lyria Prestige (the maximum). That I pay 124.49 euros per month for me only and in addition the reimbursements not 100%. Personally, I find rather a little expensive I have been at the MGP since 1984 anyway. And clear health is to accompany"&amp;" us thank you
I have an estimate of reimbursement for a tooth of front, however reimbursed 100% and not on 1170.70 euros I pay 390 euros.
THANK YOU BEST REGARDS")</f>
        <v>Hello, the MGP Lyria Prestige (the maximum). That I pay 124.49 euros per month for me only and in addition the reimbursements not 100%. Personally, I find rather a little expensive I have been at the MGP since 1984 anyway. And clear health is to accompany us thank you
I have an estimate of reimbursement for a tooth of front, however reimbursed 100% and not on 1170.70 euros I pay 390 euros.
THANK YOU BEST REGARDS</v>
      </c>
    </row>
    <row r="521" ht="15.75" customHeight="1">
      <c r="A521" s="3">
        <v>4.0</v>
      </c>
      <c r="B521" s="3" t="s">
        <v>1529</v>
      </c>
      <c r="C521" s="3" t="s">
        <v>1530</v>
      </c>
      <c r="D521" s="3" t="s">
        <v>53</v>
      </c>
      <c r="E521" s="3" t="s">
        <v>27</v>
      </c>
      <c r="F521" s="3" t="s">
        <v>15</v>
      </c>
      <c r="G521" s="3" t="s">
        <v>1531</v>
      </c>
      <c r="H521" s="3" t="s">
        <v>23</v>
      </c>
      <c r="I521" s="3" t="str">
        <f>IFERROR(__xludf.DUMMYFUNCTION("GOOGLETRANSLATE(C521,""fr"",""en"")"),"Fast and clear. Except for the termination of my old insurance which does not appear on the list and is done that blocks the system. But otherwise nothing to complain about. thank you")</f>
        <v>Fast and clear. Except for the termination of my old insurance which does not appear on the list and is done that blocks the system. But otherwise nothing to complain about. thank you</v>
      </c>
    </row>
    <row r="522" ht="15.75" customHeight="1">
      <c r="A522" s="3">
        <v>1.0</v>
      </c>
      <c r="B522" s="3" t="s">
        <v>1532</v>
      </c>
      <c r="C522" s="3" t="s">
        <v>1533</v>
      </c>
      <c r="D522" s="3" t="s">
        <v>564</v>
      </c>
      <c r="E522" s="3" t="s">
        <v>76</v>
      </c>
      <c r="F522" s="3" t="s">
        <v>15</v>
      </c>
      <c r="G522" s="3" t="s">
        <v>1534</v>
      </c>
      <c r="H522" s="3" t="s">
        <v>205</v>
      </c>
      <c r="I522" s="3" t="str">
        <f>IFERROR(__xludf.DUMMYFUNCTION("GOOGLETRANSLATE(C522,""fr"",""en"")"),"Groupama made the acquisition of the Amaguiz group I was one of the customers Amaguiz
The price increase has not stopped getting on 15 years (maybe more), I made contact to be called the day and time to renegotiate the price of the subscription, today Hu"&amp;"i I'm still waiting ...
A company that is not serious that does not recall!
You can be sure that I change the cremerie soon.")</f>
        <v>Groupama made the acquisition of the Amaguiz group I was one of the customers Amaguiz
The price increase has not stopped getting on 15 years (maybe more), I made contact to be called the day and time to renegotiate the price of the subscription, today Hui I'm still waiting ...
A company that is not serious that does not recall!
You can be sure that I change the cremerie soon.</v>
      </c>
    </row>
    <row r="523" ht="15.75" customHeight="1">
      <c r="A523" s="3">
        <v>5.0</v>
      </c>
      <c r="B523" s="3" t="s">
        <v>1535</v>
      </c>
      <c r="C523" s="3" t="s">
        <v>1536</v>
      </c>
      <c r="D523" s="3" t="s">
        <v>37</v>
      </c>
      <c r="E523" s="3" t="s">
        <v>27</v>
      </c>
      <c r="F523" s="3" t="s">
        <v>15</v>
      </c>
      <c r="G523" s="3" t="s">
        <v>1537</v>
      </c>
      <c r="H523" s="3" t="s">
        <v>316</v>
      </c>
      <c r="I523" s="3" t="str">
        <f>IFERROR(__xludf.DUMMYFUNCTION("GOOGLETRANSLATE(C523,""fr"",""en"")"),"
For almost two years with them everything is going very well. They knew how to defend me in a disaster which I was wrongly accused. Customer service can be easily reached and very helpful")</f>
        <v>
For almost two years with them everything is going very well. They knew how to defend me in a disaster which I was wrongly accused. Customer service can be easily reached and very helpful</v>
      </c>
    </row>
    <row r="524" ht="15.75" customHeight="1">
      <c r="A524" s="3">
        <v>3.0</v>
      </c>
      <c r="B524" s="3" t="s">
        <v>1538</v>
      </c>
      <c r="C524" s="3" t="s">
        <v>1539</v>
      </c>
      <c r="D524" s="3" t="s">
        <v>341</v>
      </c>
      <c r="E524" s="3" t="s">
        <v>76</v>
      </c>
      <c r="F524" s="3" t="s">
        <v>15</v>
      </c>
      <c r="G524" s="3" t="s">
        <v>1540</v>
      </c>
      <c r="H524" s="3" t="s">
        <v>94</v>
      </c>
      <c r="I524" s="3" t="str">
        <f>IFERROR(__xludf.DUMMYFUNCTION("GOOGLETRANSLATE(C524,""fr"",""en"")"),"Always advise unavailable because you can work !! 3 months that I await the agreement of my credit repurchase !! 3 months that I await my house insurance under the pretext that my advisor cannot join by phone the service which must give the agreement for "&amp;"our depends !!! In the meantime I juggle my two accounts and it is a real gallery that earned me additional costs !!")</f>
        <v>Always advise unavailable because you can work !! 3 months that I await the agreement of my credit repurchase !! 3 months that I await my house insurance under the pretext that my advisor cannot join by phone the service which must give the agreement for our depends !!! In the meantime I juggle my two accounts and it is a real gallery that earned me additional costs !!</v>
      </c>
    </row>
    <row r="525" ht="15.75" customHeight="1">
      <c r="A525" s="3">
        <v>3.0</v>
      </c>
      <c r="B525" s="3" t="s">
        <v>1541</v>
      </c>
      <c r="C525" s="3" t="s">
        <v>1542</v>
      </c>
      <c r="D525" s="3" t="s">
        <v>75</v>
      </c>
      <c r="E525" s="3" t="s">
        <v>109</v>
      </c>
      <c r="F525" s="3" t="s">
        <v>15</v>
      </c>
      <c r="G525" s="3" t="s">
        <v>1543</v>
      </c>
      <c r="H525" s="3" t="s">
        <v>190</v>
      </c>
      <c r="I525" s="3" t="str">
        <f>IFERROR(__xludf.DUMMYFUNCTION("GOOGLETRANSLATE(C525,""fr"",""en"")"),"I have paid insurance for 18 years it was worth nothing I would have had to dead I have 60 years I can not receive anything that if I died and at 65 years more at all even for the Heritiers c is agf allianz chorus a scandal")</f>
        <v>I have paid insurance for 18 years it was worth nothing I would have had to dead I have 60 years I can not receive anything that if I died and at 65 years more at all even for the Heritiers c is agf allianz chorus a scandal</v>
      </c>
    </row>
    <row r="526" ht="15.75" customHeight="1">
      <c r="A526" s="3">
        <v>3.0</v>
      </c>
      <c r="B526" s="3" t="s">
        <v>1544</v>
      </c>
      <c r="C526" s="3" t="s">
        <v>1545</v>
      </c>
      <c r="D526" s="3" t="s">
        <v>108</v>
      </c>
      <c r="E526" s="3" t="s">
        <v>76</v>
      </c>
      <c r="F526" s="3" t="s">
        <v>15</v>
      </c>
      <c r="G526" s="3" t="s">
        <v>1546</v>
      </c>
      <c r="H526" s="3" t="s">
        <v>428</v>
      </c>
      <c r="I526" s="3" t="str">
        <f>IFERROR(__xludf.DUMMYFUNCTION("GOOGLETRANSLATE(C526,""fr"",""en"")"),"
On January 19, 2021 a very large claim took place in my home: a huge water leak (several hundred liters) which would have completely flooded my apartment, as well as my neighbors, if I was not present. I managed to cut the water. The water was hot and I"&amp;" thought that the leak came from the hot water tank (cumulus, water heater). Quickly, I declared the claim to AXA.
I lived without water, and I implored someone coming. However, it was only a week later that a technician came. He presented himself, but"&amp;" failed to determine the cause of the leak-the technician himself admitted that he was not a plumber.
A few days after the incident, I heard strange noises coming from the false ceiling where the hot water tank was. I thought he was operating empty, wh"&amp;"ich is why I had to cut the electricity in a part of the house (there was no way to know which of the switches corresponded to the hot water tank) . My friends told me that a hot water tank operating in empty presented risks - Axa did not tell me anything"&amp;" !!!!!
We are on February 19. I have been living without water for a month - I can neither take a shower, nor wash my hands, do the cleaning, nor do the dishes, or use the washing machine, or even hunt! This is why I was forced to collect rainwater for"&amp;" my needs! It is a disaster at home, since without water, there is no way to maintain the apartment correctly.
For six years, we have been paying home insurance at AXA - and when a claim has happened, this insurance has done nothing - for a month, I ha"&amp;"ve lived without water, and the plumber has still not come! !!!!
AXA has an inhuman relationship to her client: because of this insurance, I was sentenced to a life as a resident of a slum!
For our part, we paid the subscription - AXA, for its part,"&amp;" did nothing at all !!! AXA abandons you, and you will have to do all the repairs yourself! The money we paid in Axa - it's money thrown out the window!
If you are eager to have medieval experience-Subscribe to AXA!
If you want to transform your hom"&amp;"e into a slum - choose Axa !!!
Sinister number: 0000009154533473")</f>
        <v>
On January 19, 2021 a very large claim took place in my home: a huge water leak (several hundred liters) which would have completely flooded my apartment, as well as my neighbors, if I was not present. I managed to cut the water. The water was hot and I thought that the leak came from the hot water tank (cumulus, water heater). Quickly, I declared the claim to AXA.
I lived without water, and I implored someone coming. However, it was only a week later that a technician came. He presented himself, but failed to determine the cause of the leak-the technician himself admitted that he was not a plumber.
A few days after the incident, I heard strange noises coming from the false ceiling where the hot water tank was. I thought he was operating empty, which is why I had to cut the electricity in a part of the house (there was no way to know which of the switches corresponded to the hot water tank) . My friends told me that a hot water tank operating in empty presented risks - Axa did not tell me anything !!!!!
We are on February 19. I have been living without water for a month - I can neither take a shower, nor wash my hands, do the cleaning, nor do the dishes, or use the washing machine, or even hunt! This is why I was forced to collect rainwater for my needs! It is a disaster at home, since without water, there is no way to maintain the apartment correctly.
For six years, we have been paying home insurance at AXA - and when a claim has happened, this insurance has done nothing - for a month, I have lived without water, and the plumber has still not come! !!!!
AXA has an inhuman relationship to her client: because of this insurance, I was sentenced to a life as a resident of a slum!
For our part, we paid the subscription - AXA, for its part, did nothing at all !!! AXA abandons you, and you will have to do all the repairs yourself! The money we paid in Axa - it's money thrown out the window!
If you are eager to have medieval experience-Subscribe to AXA!
If you want to transform your home into a slum - choose Axa !!!
Sinister number: 0000009154533473</v>
      </c>
    </row>
    <row r="527" ht="15.75" customHeight="1">
      <c r="A527" s="3">
        <v>1.0</v>
      </c>
      <c r="B527" s="3" t="s">
        <v>1547</v>
      </c>
      <c r="C527" s="3" t="s">
        <v>1548</v>
      </c>
      <c r="D527" s="3" t="s">
        <v>193</v>
      </c>
      <c r="E527" s="3" t="s">
        <v>14</v>
      </c>
      <c r="F527" s="3" t="s">
        <v>15</v>
      </c>
      <c r="G527" s="3" t="s">
        <v>204</v>
      </c>
      <c r="H527" s="3" t="s">
        <v>205</v>
      </c>
      <c r="I527" s="3" t="str">
        <f>IFERROR(__xludf.DUMMYFUNCTION("GOOGLETRANSLATE(C527,""fr"",""en"")"),"Released delivered after 48 years. Avoids to young teachers: at the start of her career the MGEN was part of the almost compulsory package. Don't let yourself go. The mutualist spirit has evaporated for a long time. Thank you to the bank which was respons"&amp;"ible for termination formalities and offered us more interesting services.")</f>
        <v>Released delivered after 48 years. Avoids to young teachers: at the start of her career the MGEN was part of the almost compulsory package. Don't let yourself go. The mutualist spirit has evaporated for a long time. Thank you to the bank which was responsible for termination formalities and offered us more interesting services.</v>
      </c>
    </row>
    <row r="528" ht="15.75" customHeight="1">
      <c r="A528" s="3">
        <v>2.0</v>
      </c>
      <c r="B528" s="3" t="s">
        <v>1549</v>
      </c>
      <c r="C528" s="3" t="s">
        <v>1550</v>
      </c>
      <c r="D528" s="3" t="s">
        <v>53</v>
      </c>
      <c r="E528" s="3" t="s">
        <v>27</v>
      </c>
      <c r="F528" s="3" t="s">
        <v>15</v>
      </c>
      <c r="G528" s="3" t="s">
        <v>1551</v>
      </c>
      <c r="H528" s="3" t="s">
        <v>17</v>
      </c>
      <c r="I528" s="3" t="str">
        <f>IFERROR(__xludf.DUMMYFUNCTION("GOOGLETRANSLATE(C528,""fr"",""en"")"),"The prices increasing each year, I will certainly have to go back in prospecting and find cheaper!
Fed up for others!
")</f>
        <v>The prices increasing each year, I will certainly have to go back in prospecting and find cheaper!
Fed up for others!
</v>
      </c>
    </row>
    <row r="529" ht="15.75" customHeight="1">
      <c r="A529" s="3">
        <v>5.0</v>
      </c>
      <c r="B529" s="3" t="s">
        <v>1552</v>
      </c>
      <c r="C529" s="3" t="s">
        <v>1553</v>
      </c>
      <c r="D529" s="3" t="s">
        <v>53</v>
      </c>
      <c r="E529" s="3" t="s">
        <v>27</v>
      </c>
      <c r="F529" s="3" t="s">
        <v>15</v>
      </c>
      <c r="G529" s="3" t="s">
        <v>905</v>
      </c>
      <c r="H529" s="3" t="s">
        <v>58</v>
      </c>
      <c r="I529" s="3" t="str">
        <f>IFERROR(__xludf.DUMMYFUNCTION("GOOGLETRANSLATE(C529,""fr"",""en"")"),"I am satisfied with telephone services and reception and the professionalism of contact I will recommend around me and plan to take home insurance at home")</f>
        <v>I am satisfied with telephone services and reception and the professionalism of contact I will recommend around me and plan to take home insurance at home</v>
      </c>
    </row>
    <row r="530" ht="15.75" customHeight="1">
      <c r="A530" s="3">
        <v>1.0</v>
      </c>
      <c r="B530" s="3" t="s">
        <v>1554</v>
      </c>
      <c r="C530" s="3" t="s">
        <v>1555</v>
      </c>
      <c r="D530" s="3" t="s">
        <v>327</v>
      </c>
      <c r="E530" s="3" t="s">
        <v>27</v>
      </c>
      <c r="F530" s="3" t="s">
        <v>15</v>
      </c>
      <c r="G530" s="3" t="s">
        <v>1556</v>
      </c>
      <c r="H530" s="3" t="s">
        <v>69</v>
      </c>
      <c r="I530" s="3" t="str">
        <f>IFERROR(__xludf.DUMMYFUNCTION("GOOGLETRANSLATE(C530,""fr"",""en"")"),"""Pacifica"", the name is only an induction in error, beware !!")</f>
        <v>"Pacifica", the name is only an induction in error, beware !!</v>
      </c>
    </row>
    <row r="531" ht="15.75" customHeight="1">
      <c r="A531" s="3">
        <v>3.0</v>
      </c>
      <c r="B531" s="3" t="s">
        <v>1557</v>
      </c>
      <c r="C531" s="3" t="s">
        <v>1558</v>
      </c>
      <c r="D531" s="3" t="s">
        <v>13</v>
      </c>
      <c r="E531" s="3" t="s">
        <v>14</v>
      </c>
      <c r="F531" s="3" t="s">
        <v>15</v>
      </c>
      <c r="G531" s="3" t="s">
        <v>1559</v>
      </c>
      <c r="H531" s="3" t="s">
        <v>879</v>
      </c>
      <c r="I531" s="3" t="str">
        <f>IFERROR(__xludf.DUMMYFUNCTION("GOOGLETRANSLATE(C531,""fr"",""en"")"),"Hello,
Following an error according to my mother, advisor Erika who took charge of us following our call, it is perfectly busy with us. Understanding, sympathetic, audible, kind and good advice. We want the best. Good luck for the future. God bless you.")</f>
        <v>Hello,
Following an error according to my mother, advisor Erika who took charge of us following our call, it is perfectly busy with us. Understanding, sympathetic, audible, kind and good advice. We want the best. Good luck for the future. God bless you.</v>
      </c>
    </row>
    <row r="532" ht="15.75" customHeight="1">
      <c r="A532" s="3">
        <v>5.0</v>
      </c>
      <c r="B532" s="3" t="s">
        <v>1560</v>
      </c>
      <c r="C532" s="3" t="s">
        <v>1561</v>
      </c>
      <c r="D532" s="3" t="s">
        <v>1151</v>
      </c>
      <c r="E532" s="3" t="s">
        <v>48</v>
      </c>
      <c r="F532" s="3" t="s">
        <v>15</v>
      </c>
      <c r="G532" s="3" t="s">
        <v>461</v>
      </c>
      <c r="H532" s="3" t="s">
        <v>50</v>
      </c>
      <c r="I532" s="3" t="str">
        <f>IFERROR(__xludf.DUMMYFUNCTION("GOOGLETRANSLATE(C532,""fr"",""en"")"),"Satisfied with the contact of the interlocutor, the comparison between all the companies, the simplicity of assembly of the contract and the economy carried out !! Thank you")</f>
        <v>Satisfied with the contact of the interlocutor, the comparison between all the companies, the simplicity of assembly of the contract and the economy carried out !! Thank you</v>
      </c>
    </row>
    <row r="533" ht="15.75" customHeight="1">
      <c r="A533" s="3">
        <v>1.0</v>
      </c>
      <c r="B533" s="3" t="s">
        <v>1562</v>
      </c>
      <c r="C533" s="3" t="s">
        <v>1563</v>
      </c>
      <c r="D533" s="3" t="s">
        <v>373</v>
      </c>
      <c r="E533" s="3" t="s">
        <v>14</v>
      </c>
      <c r="F533" s="3" t="s">
        <v>15</v>
      </c>
      <c r="G533" s="3" t="s">
        <v>1564</v>
      </c>
      <c r="H533" s="3" t="s">
        <v>378</v>
      </c>
      <c r="I533" s="3" t="str">
        <f>IFERROR(__xludf.DUMMYFUNCTION("GOOGLETRANSLATE(C533,""fr"",""en"")"),"Worse and worse. Telephone service relocated to the other end of the earth. Refunds, as soon as they are manual are hypothetical ... A waste of time, a disaster ... Mutual imposed by the employer ...")</f>
        <v>Worse and worse. Telephone service relocated to the other end of the earth. Refunds, as soon as they are manual are hypothetical ... A waste of time, a disaster ... Mutual imposed by the employer ...</v>
      </c>
    </row>
    <row r="534" ht="15.75" customHeight="1">
      <c r="A534" s="3">
        <v>4.0</v>
      </c>
      <c r="B534" s="3" t="s">
        <v>1565</v>
      </c>
      <c r="C534" s="3" t="s">
        <v>1566</v>
      </c>
      <c r="D534" s="3" t="s">
        <v>37</v>
      </c>
      <c r="E534" s="3" t="s">
        <v>27</v>
      </c>
      <c r="F534" s="3" t="s">
        <v>15</v>
      </c>
      <c r="G534" s="3" t="s">
        <v>778</v>
      </c>
      <c r="H534" s="3" t="s">
        <v>50</v>
      </c>
      <c r="I534" s="3" t="str">
        <f>IFERROR(__xludf.DUMMYFUNCTION("GOOGLETRANSLATE(C534,""fr"",""en"")"),"I am delighted to join your insurance. The advisers I had on the phone were very friendly and competent.
I will gladly recommend your company to my entourage.")</f>
        <v>I am delighted to join your insurance. The advisers I had on the phone were very friendly and competent.
I will gladly recommend your company to my entourage.</v>
      </c>
    </row>
    <row r="535" ht="15.75" customHeight="1">
      <c r="A535" s="3">
        <v>2.0</v>
      </c>
      <c r="B535" s="3" t="s">
        <v>1567</v>
      </c>
      <c r="C535" s="3" t="s">
        <v>1568</v>
      </c>
      <c r="D535" s="3" t="s">
        <v>108</v>
      </c>
      <c r="E535" s="3" t="s">
        <v>76</v>
      </c>
      <c r="F535" s="3" t="s">
        <v>15</v>
      </c>
      <c r="G535" s="3" t="s">
        <v>943</v>
      </c>
      <c r="H535" s="3" t="s">
        <v>655</v>
      </c>
      <c r="I535" s="3" t="str">
        <f>IFERROR(__xludf.DUMMYFUNCTION("GOOGLETRANSLATE(C535,""fr"",""en"")"),"This company has chosen the ostrich policy in the event of a dispute.")</f>
        <v>This company has chosen the ostrich policy in the event of a dispute.</v>
      </c>
    </row>
    <row r="536" ht="15.75" customHeight="1">
      <c r="A536" s="3">
        <v>2.0</v>
      </c>
      <c r="B536" s="3" t="s">
        <v>1569</v>
      </c>
      <c r="C536" s="3" t="s">
        <v>1570</v>
      </c>
      <c r="D536" s="3" t="s">
        <v>131</v>
      </c>
      <c r="E536" s="3" t="s">
        <v>27</v>
      </c>
      <c r="F536" s="3" t="s">
        <v>15</v>
      </c>
      <c r="G536" s="3" t="s">
        <v>1571</v>
      </c>
      <c r="H536" s="3" t="s">
        <v>335</v>
      </c>
      <c r="I536" s="3" t="str">
        <f>IFERROR(__xludf.DUMMYFUNCTION("GOOGLETRANSLATE(C536,""fr"",""en"")"),"Loyalty for 44 years (without liable disaster) everything is fine until the day when you have a road accident. I got struck at the back of my recognized non -responsible vehicle, I left with my sister on Cure Thermal, I call the assistance, I am told that"&amp;" I will be entitled to a rental car when the expert has passed, so 3 days later, I manage by myself to recover a vehicle, the expert declares My non-repairable vehicle, I am offered a misery for reimbursement when it was in perfect condition invoices in s"&amp;"upport, after 3 recommended letters and the intervention of a legal advisor friend I am still granted a small Supplement after 3 months of negotiation, a shame, now I am assured elsewhere for my car and my home insurance")</f>
        <v>Loyalty for 44 years (without liable disaster) everything is fine until the day when you have a road accident. I got struck at the back of my recognized non -responsible vehicle, I left with my sister on Cure Thermal, I call the assistance, I am told that I will be entitled to a rental car when the expert has passed, so 3 days later, I manage by myself to recover a vehicle, the expert declares My non-repairable vehicle, I am offered a misery for reimbursement when it was in perfect condition invoices in support, after 3 recommended letters and the intervention of a legal advisor friend I am still granted a small Supplement after 3 months of negotiation, a shame, now I am assured elsewhere for my car and my home insurance</v>
      </c>
    </row>
    <row r="537" ht="15.75" customHeight="1">
      <c r="A537" s="3">
        <v>5.0</v>
      </c>
      <c r="B537" s="3" t="s">
        <v>1572</v>
      </c>
      <c r="C537" s="3" t="s">
        <v>1573</v>
      </c>
      <c r="D537" s="3" t="s">
        <v>57</v>
      </c>
      <c r="E537" s="3" t="s">
        <v>14</v>
      </c>
      <c r="F537" s="3" t="s">
        <v>15</v>
      </c>
      <c r="G537" s="3" t="s">
        <v>664</v>
      </c>
      <c r="H537" s="3" t="s">
        <v>99</v>
      </c>
      <c r="I537" s="3" t="str">
        <f>IFERROR(__xludf.DUMMYFUNCTION("GOOGLETRANSLATE(C537,""fr"",""en"")"),"Always listening to its members, the MGP has constantly adapted to the evolution of our society and provide the best answers in terms of health protection.")</f>
        <v>Always listening to its members, the MGP has constantly adapted to the evolution of our society and provide the best answers in terms of health protection.</v>
      </c>
    </row>
    <row r="538" ht="15.75" customHeight="1">
      <c r="A538" s="3">
        <v>4.0</v>
      </c>
      <c r="B538" s="3" t="s">
        <v>1574</v>
      </c>
      <c r="C538" s="3" t="s">
        <v>1575</v>
      </c>
      <c r="D538" s="3" t="s">
        <v>53</v>
      </c>
      <c r="E538" s="3" t="s">
        <v>27</v>
      </c>
      <c r="F538" s="3" t="s">
        <v>15</v>
      </c>
      <c r="G538" s="3" t="s">
        <v>1243</v>
      </c>
      <c r="H538" s="3" t="s">
        <v>58</v>
      </c>
      <c r="I538" s="3" t="str">
        <f>IFERROR(__xludf.DUMMYFUNCTION("GOOGLETRANSLATE(C538,""fr"",""en"")"),"I am satisfied with my quote The prices correspond and interlocutor was very kind thank you I recommend direct insurance to all my relationships have a good day")</f>
        <v>I am satisfied with my quote The prices correspond and interlocutor was very kind thank you I recommend direct insurance to all my relationships have a good day</v>
      </c>
    </row>
    <row r="539" ht="15.75" customHeight="1">
      <c r="A539" s="3">
        <v>3.0</v>
      </c>
      <c r="B539" s="3" t="s">
        <v>1576</v>
      </c>
      <c r="C539" s="3" t="s">
        <v>1577</v>
      </c>
      <c r="D539" s="3" t="s">
        <v>75</v>
      </c>
      <c r="E539" s="3" t="s">
        <v>76</v>
      </c>
      <c r="F539" s="3" t="s">
        <v>15</v>
      </c>
      <c r="G539" s="3" t="s">
        <v>571</v>
      </c>
      <c r="H539" s="3" t="s">
        <v>58</v>
      </c>
      <c r="I539" s="3" t="str">
        <f>IFERROR(__xludf.DUMMYFUNCTION("GOOGLETRANSLATE(C539,""fr"",""en"")"),"For 2 months no access to my customer area, sent from emails and several calls made every week and person to help me unlock my customer area. I paid for home insurance but I do not have the right to access my customer area. This is unacceptable that")</f>
        <v>For 2 months no access to my customer area, sent from emails and several calls made every week and person to help me unlock my customer area. I paid for home insurance but I do not have the right to access my customer area. This is unacceptable that</v>
      </c>
    </row>
    <row r="540" ht="15.75" customHeight="1">
      <c r="A540" s="3">
        <v>5.0</v>
      </c>
      <c r="B540" s="3" t="s">
        <v>1578</v>
      </c>
      <c r="C540" s="3" t="s">
        <v>1579</v>
      </c>
      <c r="D540" s="3" t="s">
        <v>37</v>
      </c>
      <c r="E540" s="3" t="s">
        <v>27</v>
      </c>
      <c r="F540" s="3" t="s">
        <v>15</v>
      </c>
      <c r="G540" s="3" t="s">
        <v>1421</v>
      </c>
      <c r="H540" s="3" t="s">
        <v>72</v>
      </c>
      <c r="I540" s="3" t="str">
        <f>IFERROR(__xludf.DUMMYFUNCTION("GOOGLETRANSLATE(C540,""fr"",""en"")"),"Very satisfied good service Repron all questions I highly recommend :) We can ask our questions, get very quickly thank you very much and have a good day!
Cordially")</f>
        <v>Very satisfied good service Repron all questions I highly recommend :) We can ask our questions, get very quickly thank you very much and have a good day!
Cordially</v>
      </c>
    </row>
    <row r="541" ht="15.75" customHeight="1">
      <c r="A541" s="3">
        <v>4.0</v>
      </c>
      <c r="B541" s="3" t="s">
        <v>1580</v>
      </c>
      <c r="C541" s="3" t="s">
        <v>1581</v>
      </c>
      <c r="D541" s="3" t="s">
        <v>53</v>
      </c>
      <c r="E541" s="3" t="s">
        <v>27</v>
      </c>
      <c r="F541" s="3" t="s">
        <v>15</v>
      </c>
      <c r="G541" s="3" t="s">
        <v>219</v>
      </c>
      <c r="H541" s="3" t="s">
        <v>99</v>
      </c>
      <c r="I541" s="3" t="str">
        <f>IFERROR(__xludf.DUMMYFUNCTION("GOOGLETRANSLATE(C541,""fr"",""en"")"),"I am satisfied with the ease to take out a contract.
I hope that it will be so simple in the event of a problem and that customer service will help me without making myself wait more than 10 min on the phone.")</f>
        <v>I am satisfied with the ease to take out a contract.
I hope that it will be so simple in the event of a problem and that customer service will help me without making myself wait more than 10 min on the phone.</v>
      </c>
    </row>
    <row r="542" ht="15.75" customHeight="1">
      <c r="A542" s="3">
        <v>3.0</v>
      </c>
      <c r="B542" s="3" t="s">
        <v>1582</v>
      </c>
      <c r="C542" s="3" t="s">
        <v>1583</v>
      </c>
      <c r="D542" s="3" t="s">
        <v>108</v>
      </c>
      <c r="E542" s="3" t="s">
        <v>109</v>
      </c>
      <c r="F542" s="3" t="s">
        <v>15</v>
      </c>
      <c r="G542" s="3" t="s">
        <v>1584</v>
      </c>
      <c r="H542" s="3" t="s">
        <v>262</v>
      </c>
      <c r="I542" s="3" t="str">
        <f>IFERROR(__xludf.DUMMYFUNCTION("GOOGLETRANSLATE(C542,""fr"",""en"")"),"Hello here is an info for the perp reference axa
Advisers do not
do not know the Sapin 2 law I think so here
The pact law
 So I send it to you if it can help
New 100 percent output in capital possible for mini perp
The Sapin 2 law of November 8,"&amp;" 2016 allows you to request the early release of its perp
However, the insured must fulfill the following 3 conditions
The value of the contract must be less than 2,000 euros
No payment must have been made in the past 4 years for free payment perp
"&amp;"
For perp providing regular payments
 Membership of the contract will have to date at least 4 years before the buy -back request
The amount of its income from the previous year should not exceed a ceiling corresponding to the valid degreasing threshold "&amp;"in terms of housing tax or 25,839 euros for the first part of the family quotient 36,628 euros for a couple increased by 6037 euros For the 1st half part and 4,757 euros from the 2nd additional half in 2019
Exit in 100 per100 in capital during retireme"&amp;"nt for all PERPs
pact law
The PACTE law from its promulgation in 2019 will allow the exit in 100 per100 of the PERP capital during the retirement
 This output will be applicable to all PERPs regardless of their opening dates
To date the capital outi"&amp;"ng being limited to 20 percent the balance necessarily being in a life annuity
This possibility of leaving 100% in capital is therefore a major progress for this retirement savings product, remember the only existing open to everyone.
Despite this for"&amp;" me I was refused to reimburse the capital
Sad truth but I think I will contact a lawyer despite the letters sent to AR then
Emails, chats calls to my 2 advisers
Since nothing moves after 3 months to the same patience has limits")</f>
        <v>Hello here is an info for the perp reference axa
Advisers do not
do not know the Sapin 2 law I think so here
The pact law
 So I send it to you if it can help
New 100 percent output in capital possible for mini perp
The Sapin 2 law of November 8, 2016 allows you to request the early release of its perp
However, the insured must fulfill the following 3 conditions
The value of the contract must be less than 2,000 euros
No payment must have been made in the past 4 years for free payment perp
For perp providing regular payments
 Membership of the contract will have to date at least 4 years before the buy -back request
The amount of its income from the previous year should not exceed a ceiling corresponding to the valid degreasing threshold in terms of housing tax or 25,839 euros for the first part of the family quotient 36,628 euros for a couple increased by 6037 euros For the 1st half part and 4,757 euros from the 2nd additional half in 2019
Exit in 100 per100 in capital during retirement for all PERPs
pact law
The PACTE law from its promulgation in 2019 will allow the exit in 100 per100 of the PERP capital during the retirement
 This output will be applicable to all PERPs regardless of their opening dates
To date the capital outing being limited to 20 percent the balance necessarily being in a life annuity
This possibility of leaving 100% in capital is therefore a major progress for this retirement savings product, remember the only existing open to everyone.
Despite this for me I was refused to reimburse the capital
Sad truth but I think I will contact a lawyer despite the letters sent to AR then
Emails, chats calls to my 2 advisers
Since nothing moves after 3 months to the same patience has limits</v>
      </c>
    </row>
    <row r="543" ht="15.75" customHeight="1">
      <c r="A543" s="3">
        <v>2.0</v>
      </c>
      <c r="B543" s="3" t="s">
        <v>1585</v>
      </c>
      <c r="C543" s="3" t="s">
        <v>1586</v>
      </c>
      <c r="D543" s="3" t="s">
        <v>13</v>
      </c>
      <c r="E543" s="3" t="s">
        <v>14</v>
      </c>
      <c r="F543" s="3" t="s">
        <v>15</v>
      </c>
      <c r="G543" s="3" t="s">
        <v>1175</v>
      </c>
      <c r="H543" s="3" t="s">
        <v>69</v>
      </c>
      <c r="I543" s="3" t="str">
        <f>IFERROR(__xludf.DUMMYFUNCTION("GOOGLETRANSLATE(C543,""fr"",""en"")"),"I have been affiliated with this mutual insurance company since January. Since January no reimbursement because my security number the card is false.
No one answers the phone or email
I ended up receiving a new card in June (!!!)
But this time my date "&amp;"of birth is false.
I had to suspend all my dental care and move my kine sessions.")</f>
        <v>I have been affiliated with this mutual insurance company since January. Since January no reimbursement because my security number the card is false.
No one answers the phone or email
I ended up receiving a new card in June (!!!)
But this time my date of birth is false.
I had to suspend all my dental care and move my kine sessions.</v>
      </c>
    </row>
    <row r="544" ht="15.75" customHeight="1">
      <c r="A544" s="3">
        <v>1.0</v>
      </c>
      <c r="B544" s="3" t="s">
        <v>1587</v>
      </c>
      <c r="C544" s="3" t="s">
        <v>1588</v>
      </c>
      <c r="D544" s="3" t="s">
        <v>75</v>
      </c>
      <c r="E544" s="3" t="s">
        <v>27</v>
      </c>
      <c r="F544" s="3" t="s">
        <v>15</v>
      </c>
      <c r="G544" s="3" t="s">
        <v>509</v>
      </c>
      <c r="H544" s="3" t="s">
        <v>17</v>
      </c>
      <c r="I544" s="3" t="str">
        <f>IFERROR(__xludf.DUMMYFUNCTION("GOOGLETRANSLATE(C544,""fr"",""en"")"),"Very unhappy with Allianz! I signed an insurance contract for my vehicle in early December, I sent all the requested documents and I paid for the month in progress more 2 months in advance. Arrived at the end of December I receive emails telling me that m"&amp;"y file is incomplete and that I lack documents, that I only have a few days to send them to which case my contract would be terminated and that I will lose the 2 months paid in advance ... I call advisers to find out more they answer me not to worry, that"&amp;" these are automatic messages, that we should not take it into account. okay
Arrived on January 5 I receive an email telling me that my contract is terminated for lack of a complete file ... I call, I call ... After hours of waiting I manage to have a ad"&amp;"visor. I explain my situation to her and after a long verification she realizes that the problem comes from them and she reactivates my contract to me. I thought the story closed but no ...
In mid-March I receive a letter telling me that a levy of € 220 "&amp;"appeared on my account on February 5 and that it had been rejected by my bank for lack of provisions and that it would be represented on March 5. I specify that I have no trace of these levies from my account and I do not understand the amount at all beca"&amp;"use I was supposed to pay € 75 per month. So I recall Allianz and I come across that on advisers who do not understand. And today I receive a letter of formal notice to pay the sum of € 585 which corresponds to my insurance year ...
Anyway, you will unde"&amp;"rstand this insurance is a large joke ...")</f>
        <v>Very unhappy with Allianz! I signed an insurance contract for my vehicle in early December, I sent all the requested documents and I paid for the month in progress more 2 months in advance. Arrived at the end of December I receive emails telling me that my file is incomplete and that I lack documents, that I only have a few days to send them to which case my contract would be terminated and that I will lose the 2 months paid in advance ... I call advisers to find out more they answer me not to worry, that these are automatic messages, that we should not take it into account. okay
Arrived on January 5 I receive an email telling me that my contract is terminated for lack of a complete file ... I call, I call ... After hours of waiting I manage to have a advisor. I explain my situation to her and after a long verification she realizes that the problem comes from them and she reactivates my contract to me. I thought the story closed but no ...
In mid-March I receive a letter telling me that a levy of € 220 appeared on my account on February 5 and that it had been rejected by my bank for lack of provisions and that it would be represented on March 5. I specify that I have no trace of these levies from my account and I do not understand the amount at all because I was supposed to pay € 75 per month. So I recall Allianz and I come across that on advisers who do not understand. And today I receive a letter of formal notice to pay the sum of € 585 which corresponds to my insurance year ...
Anyway, you will understand this insurance is a large joke ...</v>
      </c>
    </row>
    <row r="545" ht="15.75" customHeight="1">
      <c r="A545" s="3">
        <v>5.0</v>
      </c>
      <c r="B545" s="3" t="s">
        <v>1589</v>
      </c>
      <c r="C545" s="3" t="s">
        <v>1590</v>
      </c>
      <c r="D545" s="3" t="s">
        <v>37</v>
      </c>
      <c r="E545" s="3" t="s">
        <v>27</v>
      </c>
      <c r="F545" s="3" t="s">
        <v>15</v>
      </c>
      <c r="G545" s="3" t="s">
        <v>1591</v>
      </c>
      <c r="H545" s="3" t="s">
        <v>17</v>
      </c>
      <c r="I545" s="3" t="str">
        <f>IFERROR(__xludf.DUMMYFUNCTION("GOOGLETRANSLATE(C545,""fr"",""en"")"),"I am satisfied
Thank you very much for your service the prices are very attractive thank you for the speed and the answers really satisfied with this insurance")</f>
        <v>I am satisfied
Thank you very much for your service the prices are very attractive thank you for the speed and the answers really satisfied with this insurance</v>
      </c>
    </row>
    <row r="546" ht="15.75" customHeight="1">
      <c r="A546" s="3">
        <v>1.0</v>
      </c>
      <c r="B546" s="3" t="s">
        <v>1592</v>
      </c>
      <c r="C546" s="3" t="s">
        <v>1593</v>
      </c>
      <c r="D546" s="3" t="s">
        <v>65</v>
      </c>
      <c r="E546" s="3" t="s">
        <v>14</v>
      </c>
      <c r="F546" s="3" t="s">
        <v>15</v>
      </c>
      <c r="G546" s="3" t="s">
        <v>225</v>
      </c>
      <c r="H546" s="3" t="s">
        <v>72</v>
      </c>
      <c r="I546" s="3" t="str">
        <f>IFERROR(__xludf.DUMMYFUNCTION("GOOGLETRANSLATE(C546,""fr"",""en"")"),"The health insurance that I subscribed to Cegema was average in terms of the price of the subscription compared to the guarantees.
Bad for the management of reimbursements: third -party payment abandoned unilaterally and important deadlines to obtain cer"&amp;"tain reimbursements.
Very bad for information by phone or in response to emails.
After termination of my contract within the framework provided by law (2 months before the due date) I was wrongly taken from the monthly subscription the month following t"&amp;"he end of the contract and I waited more than 2 months to be reimbursed ..")</f>
        <v>The health insurance that I subscribed to Cegema was average in terms of the price of the subscription compared to the guarantees.
Bad for the management of reimbursements: third -party payment abandoned unilaterally and important deadlines to obtain certain reimbursements.
Very bad for information by phone or in response to emails.
After termination of my contract within the framework provided by law (2 months before the due date) I was wrongly taken from the monthly subscription the month following the end of the contract and I waited more than 2 months to be reimbursed ..</v>
      </c>
    </row>
    <row r="547" ht="15.75" customHeight="1">
      <c r="A547" s="3">
        <v>1.0</v>
      </c>
      <c r="B547" s="3" t="s">
        <v>1594</v>
      </c>
      <c r="C547" s="3" t="s">
        <v>1595</v>
      </c>
      <c r="D547" s="3" t="s">
        <v>65</v>
      </c>
      <c r="E547" s="3" t="s">
        <v>14</v>
      </c>
      <c r="F547" s="3" t="s">
        <v>15</v>
      </c>
      <c r="G547" s="3" t="s">
        <v>1596</v>
      </c>
      <c r="H547" s="3" t="s">
        <v>72</v>
      </c>
      <c r="I547" s="3" t="str">
        <f>IFERROR(__xludf.DUMMYFUNCTION("GOOGLETRANSLATE(C547,""fr"",""en"")"),"23 minutes of waiting on the phone I offer me do the 2 to be recalling, 15 minutes after the phone does not ring the time to catch the phone next to me they had already hung up. I await an osteopathic reimbursement. Do not respond to the message. Member s"&amp;"ince 2017 I will go to see elsewhere")</f>
        <v>23 minutes of waiting on the phone I offer me do the 2 to be recalling, 15 minutes after the phone does not ring the time to catch the phone next to me they had already hung up. I await an osteopathic reimbursement. Do not respond to the message. Member since 2017 I will go to see elsewhere</v>
      </c>
    </row>
    <row r="548" ht="15.75" customHeight="1">
      <c r="A548" s="3">
        <v>4.0</v>
      </c>
      <c r="B548" s="3" t="s">
        <v>1597</v>
      </c>
      <c r="C548" s="3" t="s">
        <v>1598</v>
      </c>
      <c r="D548" s="3" t="s">
        <v>137</v>
      </c>
      <c r="E548" s="3" t="s">
        <v>76</v>
      </c>
      <c r="F548" s="3" t="s">
        <v>15</v>
      </c>
      <c r="G548" s="3" t="s">
        <v>1599</v>
      </c>
      <c r="H548" s="3" t="s">
        <v>111</v>
      </c>
      <c r="I548" s="3" t="str">
        <f>IFERROR(__xludf.DUMMYFUNCTION("GOOGLETRANSLATE(C548,""fr"",""en"")"),"Employing telephone contact, even rare. My interlocutor took the time, both to make sure to understand the problem of my questioning and to formulate his remarks by making sure to answer my request well and to assort his response of additional measures po"&amp;"ssible in order to obtain A cover perfectly suited to my needs. Rare to meet a person so attentive to your request and competent in their completely wise advice.
Thank you Madam; You were great")</f>
        <v>Employing telephone contact, even rare. My interlocutor took the time, both to make sure to understand the problem of my questioning and to formulate his remarks by making sure to answer my request well and to assort his response of additional measures possible in order to obtain A cover perfectly suited to my needs. Rare to meet a person so attentive to your request and competent in their completely wise advice.
Thank you Madam; You were great</v>
      </c>
    </row>
    <row r="549" ht="15.75" customHeight="1">
      <c r="A549" s="3">
        <v>4.0</v>
      </c>
      <c r="B549" s="3" t="s">
        <v>1600</v>
      </c>
      <c r="C549" s="3" t="s">
        <v>1601</v>
      </c>
      <c r="D549" s="3" t="s">
        <v>37</v>
      </c>
      <c r="E549" s="3" t="s">
        <v>27</v>
      </c>
      <c r="F549" s="3" t="s">
        <v>15</v>
      </c>
      <c r="G549" s="3" t="s">
        <v>105</v>
      </c>
      <c r="H549" s="3" t="s">
        <v>17</v>
      </c>
      <c r="I549" s="3" t="str">
        <f>IFERROR(__xludf.DUMMYFUNCTION("GOOGLETRANSLATE(C549,""fr"",""en"")"),"Difficult to understand why all risk insurance is not possible with my vehicle by W knowing that the condition to benefit from the insurance all risk is to send photos of my vehicle with the W plates, it is a bit contradictory with their response, apart f"&amp;"rom that, I am satisfied.")</f>
        <v>Difficult to understand why all risk insurance is not possible with my vehicle by W knowing that the condition to benefit from the insurance all risk is to send photos of my vehicle with the W plates, it is a bit contradictory with their response, apart from that, I am satisfied.</v>
      </c>
    </row>
    <row r="550" ht="15.75" customHeight="1">
      <c r="A550" s="3">
        <v>5.0</v>
      </c>
      <c r="B550" s="3" t="s">
        <v>1602</v>
      </c>
      <c r="C550" s="3" t="s">
        <v>1603</v>
      </c>
      <c r="D550" s="3" t="s">
        <v>32</v>
      </c>
      <c r="E550" s="3" t="s">
        <v>14</v>
      </c>
      <c r="F550" s="3" t="s">
        <v>15</v>
      </c>
      <c r="G550" s="3" t="s">
        <v>1604</v>
      </c>
      <c r="H550" s="3" t="s">
        <v>34</v>
      </c>
      <c r="I550" s="3" t="str">
        <f>IFERROR(__xludf.DUMMYFUNCTION("GOOGLETRANSLATE(C550,""fr"",""en"")"),"It's good for me the april tranquility and good April it's a good year for me it's been a long time I have you the year like that I thank you")</f>
        <v>It's good for me the april tranquility and good April it's a good year for me it's been a long time I have you the year like that I thank you</v>
      </c>
    </row>
    <row r="551" ht="15.75" customHeight="1">
      <c r="A551" s="3">
        <v>4.0</v>
      </c>
      <c r="B551" s="3" t="s">
        <v>1605</v>
      </c>
      <c r="C551" s="3" t="s">
        <v>1606</v>
      </c>
      <c r="D551" s="3" t="s">
        <v>53</v>
      </c>
      <c r="E551" s="3" t="s">
        <v>27</v>
      </c>
      <c r="F551" s="3" t="s">
        <v>15</v>
      </c>
      <c r="G551" s="3" t="s">
        <v>1607</v>
      </c>
      <c r="H551" s="3" t="s">
        <v>69</v>
      </c>
      <c r="I551" s="3" t="str">
        <f>IFERROR(__xludf.DUMMYFUNCTION("GOOGLETRANSLATE(C551,""fr"",""en"")"),"Very good price very good site I hope that going through the Internet there will be no problem for all that paper because it scares more to have anyone opposite")</f>
        <v>Very good price very good site I hope that going through the Internet there will be no problem for all that paper because it scares more to have anyone opposite</v>
      </c>
    </row>
    <row r="552" ht="15.75" customHeight="1">
      <c r="A552" s="3">
        <v>1.0</v>
      </c>
      <c r="B552" s="3" t="s">
        <v>1608</v>
      </c>
      <c r="C552" s="3" t="s">
        <v>1609</v>
      </c>
      <c r="D552" s="3" t="s">
        <v>137</v>
      </c>
      <c r="E552" s="3" t="s">
        <v>27</v>
      </c>
      <c r="F552" s="3" t="s">
        <v>15</v>
      </c>
      <c r="G552" s="3" t="s">
        <v>1610</v>
      </c>
      <c r="H552" s="3" t="s">
        <v>266</v>
      </c>
      <c r="I552" s="3" t="str">
        <f>IFERROR(__xludf.DUMMYFUNCTION("GOOGLETRANSLATE(C552,""fr"",""en"")"),"Insurance to avoid, the advisers tell you that they will do what is necessary to correct your information (after an entry error on their part), except that it is not. Suddenly I did not receive any letter, they suspended my insurance without warn (Interne"&amp;"t, emails it exists by the way). In short, I had to call them a dozen times so that an advisor ends up really solving my problem.")</f>
        <v>Insurance to avoid, the advisers tell you that they will do what is necessary to correct your information (after an entry error on their part), except that it is not. Suddenly I did not receive any letter, they suspended my insurance without warn (Internet, emails it exists by the way). In short, I had to call them a dozen times so that an advisor ends up really solving my problem.</v>
      </c>
    </row>
    <row r="553" ht="15.75" customHeight="1">
      <c r="A553" s="3">
        <v>4.0</v>
      </c>
      <c r="B553" s="3" t="s">
        <v>1611</v>
      </c>
      <c r="C553" s="3" t="s">
        <v>1612</v>
      </c>
      <c r="D553" s="3" t="s">
        <v>53</v>
      </c>
      <c r="E553" s="3" t="s">
        <v>27</v>
      </c>
      <c r="F553" s="3" t="s">
        <v>15</v>
      </c>
      <c r="G553" s="3" t="s">
        <v>22</v>
      </c>
      <c r="H553" s="3" t="s">
        <v>23</v>
      </c>
      <c r="I553" s="3" t="str">
        <f>IFERROR(__xludf.DUMMYFUNCTION("GOOGLETRANSLATE(C553,""fr"",""en"")"),"Support OK when our gearbox made us miss: tow truck arrived quickly, but on the other hand management for the complicated return (taxi for a rental agency which did not have a car available in fact. Fortunately we have could take a train instead with a ta"&amp;"xi on arrival).")</f>
        <v>Support OK when our gearbox made us miss: tow truck arrived quickly, but on the other hand management for the complicated return (taxi for a rental agency which did not have a car available in fact. Fortunately we have could take a train instead with a taxi on arrival).</v>
      </c>
    </row>
    <row r="554" ht="15.75" customHeight="1">
      <c r="A554" s="3">
        <v>4.0</v>
      </c>
      <c r="B554" s="3" t="s">
        <v>1613</v>
      </c>
      <c r="C554" s="3" t="s">
        <v>1614</v>
      </c>
      <c r="D554" s="3" t="s">
        <v>37</v>
      </c>
      <c r="E554" s="3" t="s">
        <v>27</v>
      </c>
      <c r="F554" s="3" t="s">
        <v>15</v>
      </c>
      <c r="G554" s="3" t="s">
        <v>54</v>
      </c>
      <c r="H554" s="3" t="s">
        <v>23</v>
      </c>
      <c r="I554" s="3" t="str">
        <f>IFERROR(__xludf.DUMMYFUNCTION("GOOGLETRANSLATE(C554,""fr"",""en"")"),"For the moment it is just a file for a new customer who was planned during the insurer research sites of insurance comparators")</f>
        <v>For the moment it is just a file for a new customer who was planned during the insurer research sites of insurance comparators</v>
      </c>
    </row>
    <row r="555" ht="15.75" customHeight="1">
      <c r="A555" s="3">
        <v>1.0</v>
      </c>
      <c r="B555" s="3" t="s">
        <v>1615</v>
      </c>
      <c r="C555" s="3" t="s">
        <v>1616</v>
      </c>
      <c r="D555" s="3" t="s">
        <v>422</v>
      </c>
      <c r="E555" s="3" t="s">
        <v>76</v>
      </c>
      <c r="F555" s="3" t="s">
        <v>15</v>
      </c>
      <c r="G555" s="3" t="s">
        <v>590</v>
      </c>
      <c r="H555" s="3" t="s">
        <v>58</v>
      </c>
      <c r="I555" s="3" t="str">
        <f>IFERROR(__xludf.DUMMYFUNCTION("GOOGLETRANSLATE(C555,""fr"",""en"")"),"I really wonder what is the point of paying for home insurance that pays only for the search for leak in the event of a stripping of the waters. Depending on the person, we receive different information. An advisor even believed that they could do nothing"&amp;" at all! Once the claim is declared - it is impossible to reach them by phone and it is impossible to find an email address. I will change insurance as soon as I can.")</f>
        <v>I really wonder what is the point of paying for home insurance that pays only for the search for leak in the event of a stripping of the waters. Depending on the person, we receive different information. An advisor even believed that they could do nothing at all! Once the claim is declared - it is impossible to reach them by phone and it is impossible to find an email address. I will change insurance as soon as I can.</v>
      </c>
    </row>
    <row r="556" ht="15.75" customHeight="1">
      <c r="A556" s="3">
        <v>1.0</v>
      </c>
      <c r="B556" s="3" t="s">
        <v>1617</v>
      </c>
      <c r="C556" s="3" t="s">
        <v>1618</v>
      </c>
      <c r="D556" s="3" t="s">
        <v>13</v>
      </c>
      <c r="E556" s="3" t="s">
        <v>14</v>
      </c>
      <c r="F556" s="3" t="s">
        <v>15</v>
      </c>
      <c r="G556" s="3" t="s">
        <v>374</v>
      </c>
      <c r="H556" s="3" t="s">
        <v>347</v>
      </c>
      <c r="I556" s="3" t="str">
        <f>IFERROR(__xludf.DUMMYFUNCTION("GOOGLETRANSLATE(C556,""fr"",""en"")"),"Neoliane Compagnons are competent !!! No one and all the Services refer the ball All the apologies are good for avoiding reimbursing you on the other hand for the sags they are the 1st")</f>
        <v>Neoliane Compagnons are competent !!! No one and all the Services refer the ball All the apologies are good for avoiding reimbursing you on the other hand for the sags they are the 1st</v>
      </c>
    </row>
    <row r="557" ht="15.75" customHeight="1">
      <c r="A557" s="3">
        <v>4.0</v>
      </c>
      <c r="B557" s="3" t="s">
        <v>1619</v>
      </c>
      <c r="C557" s="3" t="s">
        <v>1620</v>
      </c>
      <c r="D557" s="3" t="s">
        <v>53</v>
      </c>
      <c r="E557" s="3" t="s">
        <v>27</v>
      </c>
      <c r="F557" s="3" t="s">
        <v>15</v>
      </c>
      <c r="G557" s="3" t="s">
        <v>992</v>
      </c>
      <c r="H557" s="3" t="s">
        <v>23</v>
      </c>
      <c r="I557" s="3" t="str">
        <f>IFERROR(__xludf.DUMMYFUNCTION("GOOGLETRANSLATE(C557,""fr"",""en"")"),"I am satisfied with the service, but I think there could be other service as an additional guarantee guarantee repair.
Do you have a km insurance?")</f>
        <v>I am satisfied with the service, but I think there could be other service as an additional guarantee guarantee repair.
Do you have a km insurance?</v>
      </c>
    </row>
    <row r="558" ht="15.75" customHeight="1">
      <c r="A558" s="3">
        <v>5.0</v>
      </c>
      <c r="B558" s="3" t="s">
        <v>1621</v>
      </c>
      <c r="C558" s="3" t="s">
        <v>1622</v>
      </c>
      <c r="D558" s="3" t="s">
        <v>37</v>
      </c>
      <c r="E558" s="3" t="s">
        <v>27</v>
      </c>
      <c r="F558" s="3" t="s">
        <v>15</v>
      </c>
      <c r="G558" s="3" t="s">
        <v>1402</v>
      </c>
      <c r="H558" s="3" t="s">
        <v>29</v>
      </c>
      <c r="I558" s="3" t="str">
        <f>IFERROR(__xludf.DUMMYFUNCTION("GOOGLETRANSLATE(C558,""fr"",""en"")"),"I am satisfied with the service The price are very good and the advisor I also had I really recommend and it was of really incredible speed
")</f>
        <v>I am satisfied with the service The price are very good and the advisor I also had I really recommend and it was of really incredible speed
</v>
      </c>
    </row>
    <row r="559" ht="15.75" customHeight="1">
      <c r="A559" s="3">
        <v>3.0</v>
      </c>
      <c r="B559" s="3" t="s">
        <v>320</v>
      </c>
      <c r="C559" s="3" t="s">
        <v>1623</v>
      </c>
      <c r="D559" s="3" t="s">
        <v>37</v>
      </c>
      <c r="E559" s="3" t="s">
        <v>27</v>
      </c>
      <c r="F559" s="3" t="s">
        <v>15</v>
      </c>
      <c r="G559" s="3" t="s">
        <v>1624</v>
      </c>
      <c r="H559" s="3" t="s">
        <v>411</v>
      </c>
      <c r="I559" s="3" t="str">
        <f>IFERROR(__xludf.DUMMYFUNCTION("GOOGLETRANSLATE(C559,""fr"",""en"")"),"Having subscribed to an all -risk auto contract at the end of November 2016 with this online insurer, I am still, on January 28, 2017, awaiting the reception of my internet link allowing me to access my customer area, despite the Multiple emails and phone"&amp;" calls.
A shame for an online insurer !!
On the phone (because they do not respond to emails except by sending an automatic email to accuse receipt), sellers (sorry, advisers) always serve the same soup:
We are sorry but we have a computer concern that"&amp;" prevents us from sending you your link. But I bring up your request.
However, their telephone reception message continues to ensure that you can do your procedures or obtain information on your contracts by consulting your customer area.
No alert messa"&amp;"ge to report the problem.
Even less excuse message for the discomfort caused by this problem.
I am seriously starting to study the different possibilities to terminate my contract if the situation does not evolve quickly. Because if it takes 2 months to"&amp;" this online insurer to resolve a problem with the sending of internet link, I dare not imagine deadlines and procrastination in the event of a disaster.
For the anecdote, it only took them 48 hours to claim me € 15 to change 1 figure on my amendment (in"&amp;"itial declaration error on the phone when taking the information to establish the contract).")</f>
        <v>Having subscribed to an all -risk auto contract at the end of November 2016 with this online insurer, I am still, on January 28, 2017, awaiting the reception of my internet link allowing me to access my customer area, despite the Multiple emails and phone calls.
A shame for an online insurer !!
On the phone (because they do not respond to emails except by sending an automatic email to accuse receipt), sellers (sorry, advisers) always serve the same soup:
We are sorry but we have a computer concern that prevents us from sending you your link. But I bring up your request.
However, their telephone reception message continues to ensure that you can do your procedures or obtain information on your contracts by consulting your customer area.
No alert message to report the problem.
Even less excuse message for the discomfort caused by this problem.
I am seriously starting to study the different possibilities to terminate my contract if the situation does not evolve quickly. Because if it takes 2 months to this online insurer to resolve a problem with the sending of internet link, I dare not imagine deadlines and procrastination in the event of a disaster.
For the anecdote, it only took them 48 hours to claim me € 15 to change 1 figure on my amendment (initial declaration error on the phone when taking the information to establish the contract).</v>
      </c>
    </row>
    <row r="560" ht="15.75" customHeight="1">
      <c r="A560" s="3">
        <v>4.0</v>
      </c>
      <c r="B560" s="3" t="s">
        <v>1625</v>
      </c>
      <c r="C560" s="3" t="s">
        <v>1626</v>
      </c>
      <c r="D560" s="3" t="s">
        <v>53</v>
      </c>
      <c r="E560" s="3" t="s">
        <v>27</v>
      </c>
      <c r="F560" s="3" t="s">
        <v>15</v>
      </c>
      <c r="G560" s="3" t="s">
        <v>664</v>
      </c>
      <c r="H560" s="3" t="s">
        <v>99</v>
      </c>
      <c r="I560" s="3" t="str">
        <f>IFERROR(__xludf.DUMMYFUNCTION("GOOGLETRANSLATE(C560,""fr"",""en"")"),"Simple and practical. The prices are well placed and the guarantees seem correct.
I am a former customer who returns following the replacement of my current vehicle.")</f>
        <v>Simple and practical. The prices are well placed and the guarantees seem correct.
I am a former customer who returns following the replacement of my current vehicle.</v>
      </c>
    </row>
    <row r="561" ht="15.75" customHeight="1">
      <c r="A561" s="3">
        <v>1.0</v>
      </c>
      <c r="B561" s="3" t="s">
        <v>1627</v>
      </c>
      <c r="C561" s="3" t="s">
        <v>1628</v>
      </c>
      <c r="D561" s="3" t="s">
        <v>327</v>
      </c>
      <c r="E561" s="3" t="s">
        <v>76</v>
      </c>
      <c r="F561" s="3" t="s">
        <v>15</v>
      </c>
      <c r="G561" s="3" t="s">
        <v>50</v>
      </c>
      <c r="H561" s="3" t="s">
        <v>50</v>
      </c>
      <c r="I561" s="3" t="str">
        <f>IFERROR(__xludf.DUMMYFUNCTION("GOOGLETRANSLATE(C561,""fr"",""en"")"),"Insured at Pacifica for a few years, I have been waiting for the reimbursement of a damage from the entrance to my home following a traffic accident for 7 and a half months.
Pacifica's only action is to send a letter to opposing insurance after my phone "&amp;"calls.
I think I grasp the insurance mediator.
")</f>
        <v>Insured at Pacifica for a few years, I have been waiting for the reimbursement of a damage from the entrance to my home following a traffic accident for 7 and a half months.
Pacifica's only action is to send a letter to opposing insurance after my phone calls.
I think I grasp the insurance mediator.
</v>
      </c>
    </row>
    <row r="562" ht="15.75" customHeight="1">
      <c r="A562" s="3">
        <v>5.0</v>
      </c>
      <c r="B562" s="3" t="s">
        <v>1629</v>
      </c>
      <c r="C562" s="3" t="s">
        <v>1630</v>
      </c>
      <c r="D562" s="3" t="s">
        <v>80</v>
      </c>
      <c r="E562" s="3" t="s">
        <v>81</v>
      </c>
      <c r="F562" s="3" t="s">
        <v>15</v>
      </c>
      <c r="G562" s="3" t="s">
        <v>1631</v>
      </c>
      <c r="H562" s="3" t="s">
        <v>29</v>
      </c>
      <c r="I562" s="3" t="str">
        <f>IFERROR(__xludf.DUMMYFUNCTION("GOOGLETRANSLATE(C562,""fr"",""en"")"),"I am satisfied with the service The prices suit me simple practical I highly recommend the advisor was very explicit and very efficient thank you for everything")</f>
        <v>I am satisfied with the service The prices suit me simple practical I highly recommend the advisor was very explicit and very efficient thank you for everything</v>
      </c>
    </row>
    <row r="563" ht="15.75" customHeight="1">
      <c r="A563" s="3">
        <v>5.0</v>
      </c>
      <c r="B563" s="3" t="s">
        <v>1632</v>
      </c>
      <c r="C563" s="3" t="s">
        <v>1633</v>
      </c>
      <c r="D563" s="3" t="s">
        <v>37</v>
      </c>
      <c r="E563" s="3" t="s">
        <v>27</v>
      </c>
      <c r="F563" s="3" t="s">
        <v>15</v>
      </c>
      <c r="G563" s="3" t="s">
        <v>830</v>
      </c>
      <c r="H563" s="3" t="s">
        <v>17</v>
      </c>
      <c r="I563" s="3" t="str">
        <f>IFERROR(__xludf.DUMMYFUNCTION("GOOGLETRANSLATE(C563,""fr"",""en"")"),"I am satisfied with Olivier insurance because he has listened and inexpensive in the insurance field and I will recommend to my loved ones and other people")</f>
        <v>I am satisfied with Olivier insurance because he has listened and inexpensive in the insurance field and I will recommend to my loved ones and other people</v>
      </c>
    </row>
    <row r="564" ht="15.75" customHeight="1">
      <c r="A564" s="3">
        <v>3.0</v>
      </c>
      <c r="B564" s="3" t="s">
        <v>1634</v>
      </c>
      <c r="C564" s="3" t="s">
        <v>1635</v>
      </c>
      <c r="D564" s="3" t="s">
        <v>53</v>
      </c>
      <c r="E564" s="3" t="s">
        <v>27</v>
      </c>
      <c r="F564" s="3" t="s">
        <v>15</v>
      </c>
      <c r="G564" s="3" t="s">
        <v>1551</v>
      </c>
      <c r="H564" s="3" t="s">
        <v>17</v>
      </c>
      <c r="I564" s="3" t="str">
        <f>IFERROR(__xludf.DUMMYFUNCTION("GOOGLETRANSLATE(C564,""fr"",""en"")"),"I am satisfied with the price
and telephone service for each call always a good answer
And very well inform for each information request
Best regards
")</f>
        <v>I am satisfied with the price
and telephone service for each call always a good answer
And very well inform for each information request
Best regards
</v>
      </c>
    </row>
    <row r="565" ht="15.75" customHeight="1">
      <c r="A565" s="3">
        <v>1.0</v>
      </c>
      <c r="B565" s="3" t="s">
        <v>1636</v>
      </c>
      <c r="C565" s="3" t="s">
        <v>1637</v>
      </c>
      <c r="D565" s="3" t="s">
        <v>228</v>
      </c>
      <c r="E565" s="3" t="s">
        <v>14</v>
      </c>
      <c r="F565" s="3" t="s">
        <v>15</v>
      </c>
      <c r="G565" s="3" t="s">
        <v>1638</v>
      </c>
      <c r="H565" s="3" t="s">
        <v>1639</v>
      </c>
      <c r="I565" s="3" t="str">
        <f>IFERROR(__xludf.DUMMYFUNCTION("GOOGLETRANSLATE(C565,""fr"",""en"")"),"Contract offers by phone by advisor by insisting that he was well adapted to my profile, new retirement, to the beet of an ALD, assessment 600 euros spent for nothing, no basic care, better to buy chocolates M would have done more good")</f>
        <v>Contract offers by phone by advisor by insisting that he was well adapted to my profile, new retirement, to the beet of an ALD, assessment 600 euros spent for nothing, no basic care, better to buy chocolates M would have done more good</v>
      </c>
    </row>
    <row r="566" ht="15.75" customHeight="1">
      <c r="A566" s="3">
        <v>4.0</v>
      </c>
      <c r="B566" s="3" t="s">
        <v>1640</v>
      </c>
      <c r="C566" s="3" t="s">
        <v>1641</v>
      </c>
      <c r="D566" s="3" t="s">
        <v>53</v>
      </c>
      <c r="E566" s="3" t="s">
        <v>27</v>
      </c>
      <c r="F566" s="3" t="s">
        <v>15</v>
      </c>
      <c r="G566" s="3" t="s">
        <v>1642</v>
      </c>
      <c r="H566" s="3" t="s">
        <v>72</v>
      </c>
      <c r="I566" s="3" t="str">
        <f>IFERROR(__xludf.DUMMYFUNCTION("GOOGLETRANSLATE(C566,""fr"",""en"")"),"I am very satisfied with my contracts and the associated means of communication (let us still specify that I have never had a defect in payment or a claim declared for 12 years) situation to be experienced to have an objective opinion on the quality of se"&amp;"rvice and the Respect for the insurer's commitments")</f>
        <v>I am very satisfied with my contracts and the associated means of communication (let us still specify that I have never had a defect in payment or a claim declared for 12 years) situation to be experienced to have an objective opinion on the quality of service and the Respect for the insurer's commitments</v>
      </c>
    </row>
    <row r="567" ht="15.75" customHeight="1">
      <c r="A567" s="3">
        <v>1.0</v>
      </c>
      <c r="B567" s="3" t="s">
        <v>1643</v>
      </c>
      <c r="C567" s="3" t="s">
        <v>1644</v>
      </c>
      <c r="D567" s="3" t="s">
        <v>37</v>
      </c>
      <c r="E567" s="3" t="s">
        <v>27</v>
      </c>
      <c r="F567" s="3" t="s">
        <v>15</v>
      </c>
      <c r="G567" s="3" t="s">
        <v>1531</v>
      </c>
      <c r="H567" s="3" t="s">
        <v>23</v>
      </c>
      <c r="I567" s="3" t="str">
        <f>IFERROR(__xludf.DUMMYFUNCTION("GOOGLETRANSLATE(C567,""fr"",""en"")")," Excessive franchise and failing advice
Insurance to proscribe
After almost 10 years with this insurance I saw my contract terminate unilaterally by the latter following several non -responsible claims")</f>
        <v> Excessive franchise and failing advice
Insurance to proscribe
After almost 10 years with this insurance I saw my contract terminate unilaterally by the latter following several non -responsible claims</v>
      </c>
    </row>
    <row r="568" ht="15.75" customHeight="1">
      <c r="A568" s="3">
        <v>1.0</v>
      </c>
      <c r="B568" s="3" t="s">
        <v>1645</v>
      </c>
      <c r="C568" s="3" t="s">
        <v>1646</v>
      </c>
      <c r="D568" s="3" t="s">
        <v>97</v>
      </c>
      <c r="E568" s="3" t="s">
        <v>81</v>
      </c>
      <c r="F568" s="3" t="s">
        <v>15</v>
      </c>
      <c r="G568" s="3" t="s">
        <v>1647</v>
      </c>
      <c r="H568" s="3" t="s">
        <v>266</v>
      </c>
      <c r="I568" s="3" t="str">
        <f>IFERROR(__xludf.DUMMYFUNCTION("GOOGLETRANSLATE(C568,""fr"",""en"")"),"Never seen such an uncompromising customer service. No listening when you ask them for a commercial gesture for the opening of a second contract ... and especially a total velocity when you oppose them a wish to withdraw because the quote is too high. The"&amp;"y have nothing to do with the ""biker"" mentality they pride themselves on, they just want to make a maximum of money and force the subscription at a high price. How do you want to maintain a provider with such contemptuous attitude. The advisers are horr"&amp;"ible. Run away !")</f>
        <v>Never seen such an uncompromising customer service. No listening when you ask them for a commercial gesture for the opening of a second contract ... and especially a total velocity when you oppose them a wish to withdraw because the quote is too high. They have nothing to do with the "biker" mentality they pride themselves on, they just want to make a maximum of money and force the subscription at a high price. How do you want to maintain a provider with such contemptuous attitude. The advisers are horrible. Run away !</v>
      </c>
    </row>
    <row r="569" ht="15.75" customHeight="1">
      <c r="A569" s="3">
        <v>4.0</v>
      </c>
      <c r="B569" s="3" t="s">
        <v>1648</v>
      </c>
      <c r="C569" s="3" t="s">
        <v>1649</v>
      </c>
      <c r="D569" s="3" t="s">
        <v>37</v>
      </c>
      <c r="E569" s="3" t="s">
        <v>27</v>
      </c>
      <c r="F569" s="3" t="s">
        <v>15</v>
      </c>
      <c r="G569" s="3" t="s">
        <v>1650</v>
      </c>
      <c r="H569" s="3" t="s">
        <v>23</v>
      </c>
      <c r="I569" s="3" t="str">
        <f>IFERROR(__xludf.DUMMYFUNCTION("GOOGLETRANSLATE(C569,""fr"",""en"")"),"I am satisfied with the prices and the quality of your salespeople. Impeccable value for money when I have the opportunity I offer your insurance to my friends and acquaintances")</f>
        <v>I am satisfied with the prices and the quality of your salespeople. Impeccable value for money when I have the opportunity I offer your insurance to my friends and acquaintances</v>
      </c>
    </row>
    <row r="570" ht="15.75" customHeight="1">
      <c r="A570" s="3">
        <v>3.0</v>
      </c>
      <c r="B570" s="3" t="s">
        <v>1651</v>
      </c>
      <c r="C570" s="3" t="s">
        <v>1652</v>
      </c>
      <c r="D570" s="3" t="s">
        <v>57</v>
      </c>
      <c r="E570" s="3" t="s">
        <v>14</v>
      </c>
      <c r="F570" s="3" t="s">
        <v>15</v>
      </c>
      <c r="G570" s="3" t="s">
        <v>896</v>
      </c>
      <c r="H570" s="3" t="s">
        <v>29</v>
      </c>
      <c r="I570" s="3" t="str">
        <f>IFERROR(__xludf.DUMMYFUNCTION("GOOGLETRANSLATE(C570,""fr"",""en"")"),"The prices of the MGP are a little high and unfortunately as many mutuals do not reimburse the optics very well. The answers by email are far too long to arrive !!! On the other hand, the rest of the services are completely correct and I have a counselor "&amp;"who has just called me instead of answering by email to explain a particular situation to me, which is really very good.")</f>
        <v>The prices of the MGP are a little high and unfortunately as many mutuals do not reimburse the optics very well. The answers by email are far too long to arrive !!! On the other hand, the rest of the services are completely correct and I have a counselor who has just called me instead of answering by email to explain a particular situation to me, which is really very good.</v>
      </c>
    </row>
    <row r="571" ht="15.75" customHeight="1">
      <c r="A571" s="3">
        <v>1.0</v>
      </c>
      <c r="B571" s="3" t="s">
        <v>1653</v>
      </c>
      <c r="C571" s="3" t="s">
        <v>1654</v>
      </c>
      <c r="D571" s="3" t="s">
        <v>327</v>
      </c>
      <c r="E571" s="3" t="s">
        <v>76</v>
      </c>
      <c r="F571" s="3" t="s">
        <v>15</v>
      </c>
      <c r="G571" s="3" t="s">
        <v>937</v>
      </c>
      <c r="H571" s="3" t="s">
        <v>230</v>
      </c>
      <c r="I571" s="3" t="str">
        <f>IFERROR(__xludf.DUMMYFUNCTION("GOOGLETRANSLATE(C571,""fr"",""en"")"),"I have just had a claim on my presented MacBook Pro for the WE has a friend who dropped him from his office, result of HS 547 € of reparation motherboard, declaration of claim made to his civil liability
 Pacifica answer
Insurance does not reimburse rep"&amp;"air costs because this is considered to be a transfer of guard ?? And that civil liability would have walked if the disaster had arrived at my place !!
Pacifica orgasism to avoid.
In the event of a claim, all pretexts will be invoked so as not to compen"&amp;"sate")</f>
        <v>I have just had a claim on my presented MacBook Pro for the WE has a friend who dropped him from his office, result of HS 547 € of reparation motherboard, declaration of claim made to his civil liability
 Pacifica answer
Insurance does not reimburse repair costs because this is considered to be a transfer of guard ?? And that civil liability would have walked if the disaster had arrived at my place !!
Pacifica orgasism to avoid.
In the event of a claim, all pretexts will be invoked so as not to compensate</v>
      </c>
    </row>
    <row r="572" ht="15.75" customHeight="1">
      <c r="A572" s="3">
        <v>4.0</v>
      </c>
      <c r="B572" s="3" t="s">
        <v>1655</v>
      </c>
      <c r="C572" s="3" t="s">
        <v>1656</v>
      </c>
      <c r="D572" s="3" t="s">
        <v>37</v>
      </c>
      <c r="E572" s="3" t="s">
        <v>27</v>
      </c>
      <c r="F572" s="3" t="s">
        <v>15</v>
      </c>
      <c r="G572" s="3" t="s">
        <v>1657</v>
      </c>
      <c r="H572" s="3" t="s">
        <v>99</v>
      </c>
      <c r="I572" s="3" t="str">
        <f>IFERROR(__xludf.DUMMYFUNCTION("GOOGLETRANSLATE(C572,""fr"",""en"")"),"The site is not practical enough in terms of receiving documents but nevertheless the service is of very good quality, the operators very friendly")</f>
        <v>The site is not practical enough in terms of receiving documents but nevertheless the service is of very good quality, the operators very friendly</v>
      </c>
    </row>
    <row r="573" ht="15.75" customHeight="1">
      <c r="A573" s="3">
        <v>4.0</v>
      </c>
      <c r="B573" s="3" t="s">
        <v>1658</v>
      </c>
      <c r="C573" s="3" t="s">
        <v>1659</v>
      </c>
      <c r="D573" s="3" t="s">
        <v>80</v>
      </c>
      <c r="E573" s="3" t="s">
        <v>81</v>
      </c>
      <c r="F573" s="3" t="s">
        <v>15</v>
      </c>
      <c r="G573" s="3" t="s">
        <v>574</v>
      </c>
      <c r="H573" s="3" t="s">
        <v>99</v>
      </c>
      <c r="I573" s="3" t="str">
        <f>IFERROR(__xludf.DUMMYFUNCTION("GOOGLETRANSLATE(C573,""fr"",""en"")"),"For the moment, rather satisfied with the subscription conditions (ease, availability). To be confirmed in case of solicitation, hoping not to have recourse!")</f>
        <v>For the moment, rather satisfied with the subscription conditions (ease, availability). To be confirmed in case of solicitation, hoping not to have recourse!</v>
      </c>
    </row>
    <row r="574" ht="15.75" customHeight="1">
      <c r="A574" s="3">
        <v>5.0</v>
      </c>
      <c r="B574" s="3" t="s">
        <v>1660</v>
      </c>
      <c r="C574" s="3" t="s">
        <v>1661</v>
      </c>
      <c r="D574" s="3" t="s">
        <v>53</v>
      </c>
      <c r="E574" s="3" t="s">
        <v>27</v>
      </c>
      <c r="F574" s="3" t="s">
        <v>15</v>
      </c>
      <c r="G574" s="3" t="s">
        <v>1662</v>
      </c>
      <c r="H574" s="3" t="s">
        <v>72</v>
      </c>
      <c r="I574" s="3" t="str">
        <f>IFERROR(__xludf.DUMMYFUNCTION("GOOGLETRANSLATE(C574,""fr"",""en"")"),"Excellent insurance. Very good relational level. Good value for money. The advance of the first two months at the registration can however be embarrassing for the small marks.")</f>
        <v>Excellent insurance. Very good relational level. Good value for money. The advance of the first two months at the registration can however be embarrassing for the small marks.</v>
      </c>
    </row>
    <row r="575" ht="15.75" customHeight="1">
      <c r="A575" s="3">
        <v>2.0</v>
      </c>
      <c r="B575" s="3" t="s">
        <v>1663</v>
      </c>
      <c r="C575" s="3" t="s">
        <v>1664</v>
      </c>
      <c r="D575" s="3" t="s">
        <v>97</v>
      </c>
      <c r="E575" s="3" t="s">
        <v>81</v>
      </c>
      <c r="F575" s="3" t="s">
        <v>15</v>
      </c>
      <c r="G575" s="3" t="s">
        <v>1665</v>
      </c>
      <c r="H575" s="3" t="s">
        <v>94</v>
      </c>
      <c r="I575" s="3" t="str">
        <f>IFERROR(__xludf.DUMMYFUNCTION("GOOGLETRANSLATE(C575,""fr"",""en"")"),"To flee urgently, having had a non-responsible accident, having the contact details of the manager, AMV refuses to reimburse me because the manager of the accident does not respond to their mail !!!!! (I plan to file a complaint against AMV)")</f>
        <v>To flee urgently, having had a non-responsible accident, having the contact details of the manager, AMV refuses to reimburse me because the manager of the accident does not respond to their mail !!!!! (I plan to file a complaint against AMV)</v>
      </c>
    </row>
    <row r="576" ht="15.75" customHeight="1">
      <c r="A576" s="3">
        <v>3.0</v>
      </c>
      <c r="B576" s="3" t="s">
        <v>1666</v>
      </c>
      <c r="C576" s="3" t="s">
        <v>1667</v>
      </c>
      <c r="D576" s="3" t="s">
        <v>53</v>
      </c>
      <c r="E576" s="3" t="s">
        <v>27</v>
      </c>
      <c r="F576" s="3" t="s">
        <v>15</v>
      </c>
      <c r="G576" s="3" t="s">
        <v>1668</v>
      </c>
      <c r="H576" s="3" t="s">
        <v>69</v>
      </c>
      <c r="I576" s="3" t="str">
        <f>IFERROR(__xludf.DUMMYFUNCTION("GOOGLETRANSLATE(C576,""fr"",""en"")"),"The completion of the quote is slow when you are already a customer, the form could be more efficient when completed from its customer area (reuse of information already known: name, address, bonus or penalties)")</f>
        <v>The completion of the quote is slow when you are already a customer, the form could be more efficient when completed from its customer area (reuse of information already known: name, address, bonus or penalties)</v>
      </c>
    </row>
    <row r="577" ht="15.75" customHeight="1">
      <c r="A577" s="3">
        <v>5.0</v>
      </c>
      <c r="B577" s="3" t="s">
        <v>1669</v>
      </c>
      <c r="C577" s="3" t="s">
        <v>1670</v>
      </c>
      <c r="D577" s="3" t="s">
        <v>37</v>
      </c>
      <c r="E577" s="3" t="s">
        <v>27</v>
      </c>
      <c r="F577" s="3" t="s">
        <v>15</v>
      </c>
      <c r="G577" s="3" t="s">
        <v>1671</v>
      </c>
      <c r="H577" s="3" t="s">
        <v>347</v>
      </c>
      <c r="I577" s="3" t="str">
        <f>IFERROR(__xludf.DUMMYFUNCTION("GOOGLETRANSLATE(C577,""fr"",""en"")"),"Completely satisfied with the relationships maintained with ease and qualities/price the insurer having the simplicity of solving all problems with the solutions by benefiting their customers.")</f>
        <v>Completely satisfied with the relationships maintained with ease and qualities/price the insurer having the simplicity of solving all problems with the solutions by benefiting their customers.</v>
      </c>
    </row>
    <row r="578" ht="15.75" customHeight="1">
      <c r="A578" s="3">
        <v>2.0</v>
      </c>
      <c r="B578" s="3" t="s">
        <v>1672</v>
      </c>
      <c r="C578" s="3" t="s">
        <v>1673</v>
      </c>
      <c r="D578" s="3" t="s">
        <v>53</v>
      </c>
      <c r="E578" s="3" t="s">
        <v>27</v>
      </c>
      <c r="F578" s="3" t="s">
        <v>15</v>
      </c>
      <c r="G578" s="3" t="s">
        <v>255</v>
      </c>
      <c r="H578" s="3" t="s">
        <v>29</v>
      </c>
      <c r="I578" s="3" t="str">
        <f>IFERROR(__xludf.DUMMYFUNCTION("GOOGLETRANSLATE(C578,""fr"",""en"")"),"I am satisfied thank you for a simple and effective service I recommend
Thank you for speed
I recommend to those around me because it is fast")</f>
        <v>I am satisfied thank you for a simple and effective service I recommend
Thank you for speed
I recommend to those around me because it is fast</v>
      </c>
    </row>
    <row r="579" ht="15.75" customHeight="1">
      <c r="A579" s="3">
        <v>2.0</v>
      </c>
      <c r="B579" s="3" t="s">
        <v>1674</v>
      </c>
      <c r="C579" s="3" t="s">
        <v>1675</v>
      </c>
      <c r="D579" s="3" t="s">
        <v>373</v>
      </c>
      <c r="E579" s="3" t="s">
        <v>14</v>
      </c>
      <c r="F579" s="3" t="s">
        <v>15</v>
      </c>
      <c r="G579" s="3" t="s">
        <v>1676</v>
      </c>
      <c r="H579" s="3" t="s">
        <v>597</v>
      </c>
      <c r="I579" s="3" t="str">
        <f>IFERROR(__xludf.DUMMYFUNCTION("GOOGLETRANSLATE(C579,""fr"",""en"")"),"My employer changed mutual to Mercer ... What a mistake! Obliged to go through my management so that things are moving forward ... A first email of excuses after x reminders while requiring new supporting documents not necessarily justified. But I still s"&amp;"end thinking that all this will be settled and finally 3 weeks after still nothing, x new reminders to finally ask me again my social security statements!? In short, a gallery!")</f>
        <v>My employer changed mutual to Mercer ... What a mistake! Obliged to go through my management so that things are moving forward ... A first email of excuses after x reminders while requiring new supporting documents not necessarily justified. But I still send thinking that all this will be settled and finally 3 weeks after still nothing, x new reminders to finally ask me again my social security statements!? In short, a gallery!</v>
      </c>
    </row>
    <row r="580" ht="15.75" customHeight="1">
      <c r="A580" s="3">
        <v>1.0</v>
      </c>
      <c r="B580" s="3" t="s">
        <v>1677</v>
      </c>
      <c r="C580" s="3" t="s">
        <v>1678</v>
      </c>
      <c r="D580" s="3" t="s">
        <v>123</v>
      </c>
      <c r="E580" s="3" t="s">
        <v>81</v>
      </c>
      <c r="F580" s="3" t="s">
        <v>15</v>
      </c>
      <c r="G580" s="3" t="s">
        <v>1679</v>
      </c>
      <c r="H580" s="3" t="s">
        <v>94</v>
      </c>
      <c r="I580" s="3" t="str">
        <f>IFERROR(__xludf.DUMMYFUNCTION("GOOGLETRANSLATE(C580,""fr"",""en"")"),"Look for the error you are not well placed
Ci attached to your competitors")</f>
        <v>Look for the error you are not well placed
Ci attached to your competitors</v>
      </c>
    </row>
    <row r="581" ht="15.75" customHeight="1">
      <c r="A581" s="3">
        <v>4.0</v>
      </c>
      <c r="B581" s="3" t="s">
        <v>1680</v>
      </c>
      <c r="C581" s="3" t="s">
        <v>1681</v>
      </c>
      <c r="D581" s="3" t="s">
        <v>53</v>
      </c>
      <c r="E581" s="3" t="s">
        <v>27</v>
      </c>
      <c r="F581" s="3" t="s">
        <v>15</v>
      </c>
      <c r="G581" s="3" t="s">
        <v>896</v>
      </c>
      <c r="H581" s="3" t="s">
        <v>29</v>
      </c>
      <c r="I581" s="3" t="str">
        <f>IFERROR(__xludf.DUMMYFUNCTION("GOOGLETRANSLATE(C581,""fr"",""en"")"),"I am super happy, super easy and efficient and fast to ensure my car, and with the super efficient method of payment. I recommend for all young people.")</f>
        <v>I am super happy, super easy and efficient and fast to ensure my car, and with the super efficient method of payment. I recommend for all young people.</v>
      </c>
    </row>
    <row r="582" ht="15.75" customHeight="1">
      <c r="A582" s="3">
        <v>4.0</v>
      </c>
      <c r="B582" s="3" t="s">
        <v>1682</v>
      </c>
      <c r="C582" s="3" t="s">
        <v>1683</v>
      </c>
      <c r="D582" s="3" t="s">
        <v>53</v>
      </c>
      <c r="E582" s="3" t="s">
        <v>27</v>
      </c>
      <c r="F582" s="3" t="s">
        <v>15</v>
      </c>
      <c r="G582" s="3" t="s">
        <v>1684</v>
      </c>
      <c r="H582" s="3" t="s">
        <v>50</v>
      </c>
      <c r="I582" s="3" t="str">
        <f>IFERROR(__xludf.DUMMYFUNCTION("GOOGLETRANSLATE(C582,""fr"",""en"")"),"The prices are reasonable, and all doing online is very practical
The Max third -party contract meets my expectations, I hope that customer monitoring is up to it despite your insurance for online insurance (without physical agency)")</f>
        <v>The prices are reasonable, and all doing online is very practical
The Max third -party contract meets my expectations, I hope that customer monitoring is up to it despite your insurance for online insurance (without physical agency)</v>
      </c>
    </row>
    <row r="583" ht="15.75" customHeight="1">
      <c r="A583" s="3">
        <v>3.0</v>
      </c>
      <c r="B583" s="3" t="s">
        <v>1685</v>
      </c>
      <c r="C583" s="3" t="s">
        <v>1686</v>
      </c>
      <c r="D583" s="3" t="s">
        <v>37</v>
      </c>
      <c r="E583" s="3" t="s">
        <v>27</v>
      </c>
      <c r="F583" s="3" t="s">
        <v>15</v>
      </c>
      <c r="G583" s="3" t="s">
        <v>1687</v>
      </c>
      <c r="H583" s="3" t="s">
        <v>367</v>
      </c>
      <c r="I583" s="3" t="str">
        <f>IFERROR(__xludf.DUMMYFUNCTION("GOOGLETRANSLATE(C583,""fr"",""en"")"),"I was stolen my vehicle on May 08 and was found 3 days later. After the passage of the expert I am offered to compensate the damage of the vehicle or to give me a sum of money. I choose the repair of my vehicle. To date, the olive tree tells me that I sti"&amp;"ll have not received the expert report which was sent to it 1 month ago and the expert tells me that it is necessary to see with my insurer! In addition I learn that my contract was terminated following this claim! What to do ?? Why do we pay car insuranc"&amp;"e? I will have to move towards the mediation of insurance to assert my rights! It's a shame. I cannot have my vehicle repaired until the insurance claims to have the expert report. And I'm waiting for pedestrian !!
")</f>
        <v>I was stolen my vehicle on May 08 and was found 3 days later. After the passage of the expert I am offered to compensate the damage of the vehicle or to give me a sum of money. I choose the repair of my vehicle. To date, the olive tree tells me that I still have not received the expert report which was sent to it 1 month ago and the expert tells me that it is necessary to see with my insurer! In addition I learn that my contract was terminated following this claim! What to do ?? Why do we pay car insurance? I will have to move towards the mediation of insurance to assert my rights! It's a shame. I cannot have my vehicle repaired until the insurance claims to have the expert report. And I'm waiting for pedestrian !!
</v>
      </c>
    </row>
    <row r="584" ht="15.75" customHeight="1">
      <c r="A584" s="3">
        <v>5.0</v>
      </c>
      <c r="B584" s="3" t="s">
        <v>1688</v>
      </c>
      <c r="C584" s="3" t="s">
        <v>1689</v>
      </c>
      <c r="D584" s="3" t="s">
        <v>97</v>
      </c>
      <c r="E584" s="3" t="s">
        <v>81</v>
      </c>
      <c r="F584" s="3" t="s">
        <v>15</v>
      </c>
      <c r="G584" s="3" t="s">
        <v>99</v>
      </c>
      <c r="H584" s="3" t="s">
        <v>99</v>
      </c>
      <c r="I584" s="3" t="str">
        <f>IFERROR(__xludf.DUMMYFUNCTION("GOOGLETRANSLATE(C584,""fr"",""en"")"),"I am very satisfied with this service. The staff are attentive and very responsive. The processing of my contract modification was treated quickly.")</f>
        <v>I am very satisfied with this service. The staff are attentive and very responsive. The processing of my contract modification was treated quickly.</v>
      </c>
    </row>
    <row r="585" ht="15.75" customHeight="1">
      <c r="A585" s="3">
        <v>5.0</v>
      </c>
      <c r="B585" s="3" t="s">
        <v>1690</v>
      </c>
      <c r="C585" s="3" t="s">
        <v>1691</v>
      </c>
      <c r="D585" s="3" t="s">
        <v>53</v>
      </c>
      <c r="E585" s="3" t="s">
        <v>27</v>
      </c>
      <c r="F585" s="3" t="s">
        <v>15</v>
      </c>
      <c r="G585" s="3" t="s">
        <v>827</v>
      </c>
      <c r="H585" s="3" t="s">
        <v>29</v>
      </c>
      <c r="I585" s="3" t="str">
        <f>IFERROR(__xludf.DUMMYFUNCTION("GOOGLETRANSLATE(C585,""fr"",""en"")"),"Simple and practical, the price is reasonable by comparing with the competition. The subscription is simple and quick. The information provided is clear")</f>
        <v>Simple and practical, the price is reasonable by comparing with the competition. The subscription is simple and quick. The information provided is clear</v>
      </c>
    </row>
    <row r="586" ht="15.75" customHeight="1">
      <c r="A586" s="3">
        <v>4.0</v>
      </c>
      <c r="B586" s="3" t="s">
        <v>1692</v>
      </c>
      <c r="C586" s="3" t="s">
        <v>1693</v>
      </c>
      <c r="D586" s="3" t="s">
        <v>37</v>
      </c>
      <c r="E586" s="3" t="s">
        <v>27</v>
      </c>
      <c r="F586" s="3" t="s">
        <v>15</v>
      </c>
      <c r="G586" s="3" t="s">
        <v>568</v>
      </c>
      <c r="H586" s="3" t="s">
        <v>23</v>
      </c>
      <c r="I586" s="3" t="str">
        <f>IFERROR(__xludf.DUMMYFUNCTION("GOOGLETRANSLATE(C586,""fr"",""en"")"),"The prices are acceptable.
The service is practical.
Slightly long telephone subscription service.
Too much insistence on ""recommended"" offers.")</f>
        <v>The prices are acceptable.
The service is practical.
Slightly long telephone subscription service.
Too much insistence on "recommended" offers.</v>
      </c>
    </row>
    <row r="587" ht="15.75" customHeight="1">
      <c r="A587" s="3">
        <v>5.0</v>
      </c>
      <c r="B587" s="3" t="s">
        <v>1694</v>
      </c>
      <c r="C587" s="3" t="s">
        <v>1695</v>
      </c>
      <c r="D587" s="3" t="s">
        <v>53</v>
      </c>
      <c r="E587" s="3" t="s">
        <v>27</v>
      </c>
      <c r="F587" s="3" t="s">
        <v>15</v>
      </c>
      <c r="G587" s="3" t="s">
        <v>526</v>
      </c>
      <c r="H587" s="3" t="s">
        <v>29</v>
      </c>
      <c r="I587" s="3" t="str">
        <f>IFERROR(__xludf.DUMMYFUNCTION("GOOGLETRANSLATE(C587,""fr"",""en"")"),"The prices and guarantees are suitable. I am satisfied with the speed of execution and the treatment of data. I'm waiting to see how the subscription year is going.")</f>
        <v>The prices and guarantees are suitable. I am satisfied with the speed of execution and the treatment of data. I'm waiting to see how the subscription year is going.</v>
      </c>
    </row>
    <row r="588" ht="15.75" customHeight="1">
      <c r="A588" s="3">
        <v>5.0</v>
      </c>
      <c r="B588" s="3" t="s">
        <v>1696</v>
      </c>
      <c r="C588" s="3" t="s">
        <v>1697</v>
      </c>
      <c r="D588" s="3" t="s">
        <v>37</v>
      </c>
      <c r="E588" s="3" t="s">
        <v>27</v>
      </c>
      <c r="F588" s="3" t="s">
        <v>15</v>
      </c>
      <c r="G588" s="3" t="s">
        <v>1531</v>
      </c>
      <c r="H588" s="3" t="s">
        <v>23</v>
      </c>
      <c r="I588" s="3" t="str">
        <f>IFERROR(__xludf.DUMMYFUNCTION("GOOGLETRANSLATE(C588,""fr"",""en"")"),"To see on time level price is very correct but the day I have a disaster I hope that you will be reliable and available and that I would not have a bad surprise")</f>
        <v>To see on time level price is very correct but the day I have a disaster I hope that you will be reliable and available and that I would not have a bad surprise</v>
      </c>
    </row>
    <row r="589" ht="15.75" customHeight="1">
      <c r="A589" s="3">
        <v>1.0</v>
      </c>
      <c r="B589" s="3" t="s">
        <v>1698</v>
      </c>
      <c r="C589" s="3" t="s">
        <v>1699</v>
      </c>
      <c r="D589" s="3" t="s">
        <v>85</v>
      </c>
      <c r="E589" s="3" t="s">
        <v>27</v>
      </c>
      <c r="F589" s="3" t="s">
        <v>15</v>
      </c>
      <c r="G589" s="3" t="s">
        <v>1700</v>
      </c>
      <c r="H589" s="3" t="s">
        <v>205</v>
      </c>
      <c r="I589" s="3" t="str">
        <f>IFERROR(__xludf.DUMMYFUNCTION("GOOGLETRANSLATE(C589,""fr"",""en"")"),"Insurer to avoid, you file a contract you pay without problem and then he studies if you keep you or not, in my case they have ejected me simply because I have said it forgotten to report a penalty that does not appear anywhere on the information statemen"&amp;"t of my former insurer. I paid € 140 at registration Refund € 35 and 1 month of insurance. Your file is studied after paying why it is not made before I am made a proposal on the site when requesting research or I provide everything then arises an incompr"&amp;"ehensible problem and you are fired cost of the operation nearly € 110 hear the confirmation before paying, I do not recommend this insurer")</f>
        <v>Insurer to avoid, you file a contract you pay without problem and then he studies if you keep you or not, in my case they have ejected me simply because I have said it forgotten to report a penalty that does not appear anywhere on the information statement of my former insurer. I paid € 140 at registration Refund € 35 and 1 month of insurance. Your file is studied after paying why it is not made before I am made a proposal on the site when requesting research or I provide everything then arises an incomprehensible problem and you are fired cost of the operation nearly € 110 hear the confirmation before paying, I do not recommend this insurer</v>
      </c>
    </row>
    <row r="590" ht="15.75" customHeight="1">
      <c r="A590" s="3">
        <v>4.0</v>
      </c>
      <c r="B590" s="3" t="s">
        <v>1701</v>
      </c>
      <c r="C590" s="3" t="s">
        <v>1702</v>
      </c>
      <c r="D590" s="3" t="s">
        <v>53</v>
      </c>
      <c r="E590" s="3" t="s">
        <v>27</v>
      </c>
      <c r="F590" s="3" t="s">
        <v>15</v>
      </c>
      <c r="G590" s="3" t="s">
        <v>896</v>
      </c>
      <c r="H590" s="3" t="s">
        <v>29</v>
      </c>
      <c r="I590" s="3" t="str">
        <f>IFERROR(__xludf.DUMMYFUNCTION("GOOGLETRANSLATE(C590,""fr"",""en"")"),"Too bad the prices vary between 2 clicks ... otherwise ok, and cheaper than competitors ...
Fast and easy for subscription
Remain to be seen if the protection will be up to")</f>
        <v>Too bad the prices vary between 2 clicks ... otherwise ok, and cheaper than competitors ...
Fast and easy for subscription
Remain to be seen if the protection will be up to</v>
      </c>
    </row>
    <row r="591" ht="15.75" customHeight="1">
      <c r="A591" s="3">
        <v>1.0</v>
      </c>
      <c r="B591" s="3" t="s">
        <v>1703</v>
      </c>
      <c r="C591" s="3" t="s">
        <v>1704</v>
      </c>
      <c r="D591" s="3" t="s">
        <v>327</v>
      </c>
      <c r="E591" s="3" t="s">
        <v>27</v>
      </c>
      <c r="F591" s="3" t="s">
        <v>15</v>
      </c>
      <c r="G591" s="3" t="s">
        <v>194</v>
      </c>
      <c r="H591" s="3" t="s">
        <v>195</v>
      </c>
      <c r="I591" s="3" t="str">
        <f>IFERROR(__xludf.DUMMYFUNCTION("GOOGLETRANSLATE(C591,""fr"",""en"")"),"I have been at Pacifica for 3 years (and I wonder why by the way). When the contract is opened, they are adorable but as soon as we have to manage a dispute, that we are explained on a claim or a payment ""advisers"" are very unpleasant, have no active li"&amp;"stening, I hear no smile, no benevolence and when I ask why I am not even a smile I am asked or is the report. The report ? Is that I pay a service to be at least welcomed properly. I pay really dear, double comparing to other insurers (MMA, Matmut, Axa, "&amp;"Maif ..) and yet I have no satisfactory service outside of basic customer service.")</f>
        <v>I have been at Pacifica for 3 years (and I wonder why by the way). When the contract is opened, they are adorable but as soon as we have to manage a dispute, that we are explained on a claim or a payment "advisers" are very unpleasant, have no active listening, I hear no smile, no benevolence and when I ask why I am not even a smile I am asked or is the report. The report ? Is that I pay a service to be at least welcomed properly. I pay really dear, double comparing to other insurers (MMA, Matmut, Axa, Maif ..) and yet I have no satisfactory service outside of basic customer service.</v>
      </c>
    </row>
    <row r="592" ht="15.75" customHeight="1">
      <c r="A592" s="3">
        <v>4.0</v>
      </c>
      <c r="B592" s="3" t="s">
        <v>1705</v>
      </c>
      <c r="C592" s="3" t="s">
        <v>1706</v>
      </c>
      <c r="D592" s="3" t="s">
        <v>53</v>
      </c>
      <c r="E592" s="3" t="s">
        <v>27</v>
      </c>
      <c r="F592" s="3" t="s">
        <v>15</v>
      </c>
      <c r="G592" s="3" t="s">
        <v>872</v>
      </c>
      <c r="H592" s="3" t="s">
        <v>99</v>
      </c>
      <c r="I592" s="3" t="str">
        <f>IFERROR(__xludf.DUMMYFUNCTION("GOOGLETRANSLATE(C592,""fr"",""en"")"),"For the moment it's simple. Not too expensive now to see the rest. I hope to be well insured in any risk. I have come here out of economy at the moment it's good")</f>
        <v>For the moment it's simple. Not too expensive now to see the rest. I hope to be well insured in any risk. I have come here out of economy at the moment it's good</v>
      </c>
    </row>
    <row r="593" ht="15.75" customHeight="1">
      <c r="A593" s="3">
        <v>4.0</v>
      </c>
      <c r="B593" s="3" t="s">
        <v>1707</v>
      </c>
      <c r="C593" s="3" t="s">
        <v>1708</v>
      </c>
      <c r="D593" s="3" t="s">
        <v>37</v>
      </c>
      <c r="E593" s="3" t="s">
        <v>27</v>
      </c>
      <c r="F593" s="3" t="s">
        <v>15</v>
      </c>
      <c r="G593" s="3" t="s">
        <v>992</v>
      </c>
      <c r="H593" s="3" t="s">
        <v>23</v>
      </c>
      <c r="I593" s="3" t="str">
        <f>IFERROR(__xludf.DUMMYFUNCTION("GOOGLETRANSLATE(C593,""fr"",""en"")"),"The quote was clear. Explanations too. Creation of the rapid contract. Interesting price. Interlocutors at my listening. I am currently satisfied.")</f>
        <v>The quote was clear. Explanations too. Creation of the rapid contract. Interesting price. Interlocutors at my listening. I am currently satisfied.</v>
      </c>
    </row>
    <row r="594" ht="15.75" customHeight="1">
      <c r="A594" s="3">
        <v>1.0</v>
      </c>
      <c r="B594" s="3" t="s">
        <v>1709</v>
      </c>
      <c r="C594" s="3" t="s">
        <v>1710</v>
      </c>
      <c r="D594" s="3" t="s">
        <v>422</v>
      </c>
      <c r="E594" s="3" t="s">
        <v>76</v>
      </c>
      <c r="F594" s="3" t="s">
        <v>15</v>
      </c>
      <c r="G594" s="3" t="s">
        <v>1421</v>
      </c>
      <c r="H594" s="3" t="s">
        <v>72</v>
      </c>
      <c r="I594" s="3" t="str">
        <f>IFERROR(__xludf.DUMMYFUNCTION("GOOGLETRANSLATE(C594,""fr"",""en"")"),"I have been engaged in a Prud'Homal dispute for two years, I have never obtained anything from Sogessur. I was successful for this action, in December 2020, since I have been trying to get what is planned by insurance, but nothing. I call every week, I am"&amp;" confirmed that my file is complete, that the lawyer in charge of my file will send me an email and that I will receive a transfer: nothing. Since 2 weeks the tone has changed, the person I have at the end of the line, confirms to me that the file is comp"&amp;"lete, but that the lawyer does nothing ... (Ah good really). So, she will transmit the file to her superiors, and that I will receive a transfer: nothing. So I point out that it does not seem to work either, suddenly I am invited to send a handwritten let"&amp;"ter by registered mail. At least, like that, I clearly think it will move forward, and I would not disturb anyone on the phone.
 ")</f>
        <v>I have been engaged in a Prud'Homal dispute for two years, I have never obtained anything from Sogessur. I was successful for this action, in December 2020, since I have been trying to get what is planned by insurance, but nothing. I call every week, I am confirmed that my file is complete, that the lawyer in charge of my file will send me an email and that I will receive a transfer: nothing. Since 2 weeks the tone has changed, the person I have at the end of the line, confirms to me that the file is complete, but that the lawyer does nothing ... (Ah good really). So, she will transmit the file to her superiors, and that I will receive a transfer: nothing. So I point out that it does not seem to work either, suddenly I am invited to send a handwritten letter by registered mail. At least, like that, I clearly think it will move forward, and I would not disturb anyone on the phone.
 </v>
      </c>
    </row>
    <row r="595" ht="15.75" customHeight="1">
      <c r="A595" s="3">
        <v>2.0</v>
      </c>
      <c r="B595" s="3" t="s">
        <v>1711</v>
      </c>
      <c r="C595" s="3" t="s">
        <v>1712</v>
      </c>
      <c r="D595" s="3" t="s">
        <v>53</v>
      </c>
      <c r="E595" s="3" t="s">
        <v>27</v>
      </c>
      <c r="F595" s="3" t="s">
        <v>15</v>
      </c>
      <c r="G595" s="3" t="s">
        <v>1713</v>
      </c>
      <c r="H595" s="3" t="s">
        <v>322</v>
      </c>
      <c r="I595" s="3" t="str">
        <f>IFERROR(__xludf.DUMMYFUNCTION("GOOGLETRANSLATE(C595,""fr"",""en"")"),"C an insurance that is useless as long as you need, of course that it is cheaper, but that does not mean that you have to defraud customers .....")</f>
        <v>C an insurance that is useless as long as you need, of course that it is cheaper, but that does not mean that you have to defraud customers .....</v>
      </c>
    </row>
    <row r="596" ht="15.75" customHeight="1">
      <c r="A596" s="3">
        <v>5.0</v>
      </c>
      <c r="B596" s="3" t="s">
        <v>1714</v>
      </c>
      <c r="C596" s="3" t="s">
        <v>1715</v>
      </c>
      <c r="D596" s="3" t="s">
        <v>37</v>
      </c>
      <c r="E596" s="3" t="s">
        <v>27</v>
      </c>
      <c r="F596" s="3" t="s">
        <v>15</v>
      </c>
      <c r="G596" s="3" t="s">
        <v>233</v>
      </c>
      <c r="H596" s="3" t="s">
        <v>17</v>
      </c>
      <c r="I596" s="3" t="str">
        <f>IFERROR(__xludf.DUMMYFUNCTION("GOOGLETRANSLATE(C596,""fr"",""en"")"),"It's fast hoping not to be disappointed with this insurance and price level please make a gesture for the experienced drivers thank you well to you.")</f>
        <v>It's fast hoping not to be disappointed with this insurance and price level please make a gesture for the experienced drivers thank you well to you.</v>
      </c>
    </row>
    <row r="597" ht="15.75" customHeight="1">
      <c r="A597" s="3">
        <v>1.0</v>
      </c>
      <c r="B597" s="3" t="s">
        <v>1716</v>
      </c>
      <c r="C597" s="3" t="s">
        <v>1717</v>
      </c>
      <c r="D597" s="3" t="s">
        <v>108</v>
      </c>
      <c r="E597" s="3" t="s">
        <v>27</v>
      </c>
      <c r="F597" s="3" t="s">
        <v>15</v>
      </c>
      <c r="G597" s="3" t="s">
        <v>1219</v>
      </c>
      <c r="H597" s="3" t="s">
        <v>99</v>
      </c>
      <c r="I597" s="3" t="str">
        <f>IFERROR(__xludf.DUMMYFUNCTION("GOOGLETRANSLATE(C597,""fr"",""en"")"),"I pay much too expensive for the car that I use I would like to pay cheaper to the essential third party is what you can do that please?")</f>
        <v>I pay much too expensive for the car that I use I would like to pay cheaper to the essential third party is what you can do that please?</v>
      </c>
    </row>
    <row r="598" ht="15.75" customHeight="1">
      <c r="A598" s="3">
        <v>3.0</v>
      </c>
      <c r="B598" s="3" t="s">
        <v>1718</v>
      </c>
      <c r="C598" s="3" t="s">
        <v>1719</v>
      </c>
      <c r="D598" s="3" t="s">
        <v>61</v>
      </c>
      <c r="E598" s="3" t="s">
        <v>14</v>
      </c>
      <c r="F598" s="3" t="s">
        <v>15</v>
      </c>
      <c r="G598" s="3" t="s">
        <v>1720</v>
      </c>
      <c r="H598" s="3" t="s">
        <v>1639</v>
      </c>
      <c r="I598" s="3" t="str">
        <f>IFERROR(__xludf.DUMMYFUNCTION("GOOGLETRANSLATE(C598,""fr"",""en"")"),"It's my broker for three years and I recommend comparing everything is really beneficial for the portfolio. I like the presence they have every year because I do not always think about it and they give me by offering me new formulas when it is necessary, "&amp;"while advising me not to change when it is no longer OPORTUN . They work quickly that is on but in any case the exclates are clear and that is enough for me")</f>
        <v>It's my broker for three years and I recommend comparing everything is really beneficial for the portfolio. I like the presence they have every year because I do not always think about it and they give me by offering me new formulas when it is necessary, while advising me not to change when it is no longer OPORTUN . They work quickly that is on but in any case the exclates are clear and that is enough for me</v>
      </c>
    </row>
    <row r="599" ht="15.75" customHeight="1">
      <c r="A599" s="3">
        <v>1.0</v>
      </c>
      <c r="B599" s="3" t="s">
        <v>1721</v>
      </c>
      <c r="C599" s="3" t="s">
        <v>1722</v>
      </c>
      <c r="D599" s="3" t="s">
        <v>108</v>
      </c>
      <c r="E599" s="3" t="s">
        <v>76</v>
      </c>
      <c r="F599" s="3" t="s">
        <v>15</v>
      </c>
      <c r="G599" s="3" t="s">
        <v>1414</v>
      </c>
      <c r="H599" s="3" t="s">
        <v>39</v>
      </c>
      <c r="I599" s="3" t="str">
        <f>IFERROR(__xludf.DUMMYFUNCTION("GOOGLETRANSLATE(C599,""fr"",""en"")"),"Poorly closed home insurance on their side and he sends to litigation despite the clarification of the situation, despite a fault emanate from them
TO FLEE")</f>
        <v>Poorly closed home insurance on their side and he sends to litigation despite the clarification of the situation, despite a fault emanate from them
TO FLEE</v>
      </c>
    </row>
    <row r="600" ht="15.75" customHeight="1">
      <c r="A600" s="3">
        <v>5.0</v>
      </c>
      <c r="B600" s="3" t="s">
        <v>1723</v>
      </c>
      <c r="C600" s="3" t="s">
        <v>1724</v>
      </c>
      <c r="D600" s="3" t="s">
        <v>37</v>
      </c>
      <c r="E600" s="3" t="s">
        <v>27</v>
      </c>
      <c r="F600" s="3" t="s">
        <v>15</v>
      </c>
      <c r="G600" s="3" t="s">
        <v>1725</v>
      </c>
      <c r="H600" s="3" t="s">
        <v>205</v>
      </c>
      <c r="I600" s="3" t="str">
        <f>IFERROR(__xludf.DUMMYFUNCTION("GOOGLETRANSLATE(C600,""fr"",""en"")"),"Adapts to the needs and services I need. Best price report price I found. For me, I am satisfied because well suited to my insurance needs.")</f>
        <v>Adapts to the needs and services I need. Best price report price I found. For me, I am satisfied because well suited to my insurance needs.</v>
      </c>
    </row>
    <row r="601" ht="15.75" customHeight="1">
      <c r="A601" s="3">
        <v>5.0</v>
      </c>
      <c r="B601" s="3" t="s">
        <v>1726</v>
      </c>
      <c r="C601" s="3" t="s">
        <v>1727</v>
      </c>
      <c r="D601" s="3" t="s">
        <v>97</v>
      </c>
      <c r="E601" s="3" t="s">
        <v>81</v>
      </c>
      <c r="F601" s="3" t="s">
        <v>15</v>
      </c>
      <c r="G601" s="3" t="s">
        <v>1154</v>
      </c>
      <c r="H601" s="3" t="s">
        <v>50</v>
      </c>
      <c r="I601" s="3" t="str">
        <f>IFERROR(__xludf.DUMMYFUNCTION("GOOGLETRANSLATE(C601,""fr"",""en"")"),"I am satisfied with the service, the best placed price found, despite the substantial cost for a 50 cc scooter.
I recommend because it is very easy to ensure immediately.")</f>
        <v>I am satisfied with the service, the best placed price found, despite the substantial cost for a 50 cc scooter.
I recommend because it is very easy to ensure immediately.</v>
      </c>
    </row>
    <row r="602" ht="15.75" customHeight="1">
      <c r="A602" s="3">
        <v>5.0</v>
      </c>
      <c r="B602" s="3" t="s">
        <v>1728</v>
      </c>
      <c r="C602" s="3" t="s">
        <v>1729</v>
      </c>
      <c r="D602" s="3" t="s">
        <v>97</v>
      </c>
      <c r="E602" s="3" t="s">
        <v>81</v>
      </c>
      <c r="F602" s="3" t="s">
        <v>15</v>
      </c>
      <c r="G602" s="3" t="s">
        <v>1402</v>
      </c>
      <c r="H602" s="3" t="s">
        <v>29</v>
      </c>
      <c r="I602" s="3" t="str">
        <f>IFERROR(__xludf.DUMMYFUNCTION("GOOGLETRANSLATE(C602,""fr"",""en"")"),"Satisfied with the very simple and logical computer system.
Price adapted to users, simple and efficient.
Very good telephone contact, reception and understanding of requests.
Professional person and without commercial forcing, I recommend.")</f>
        <v>Satisfied with the very simple and logical computer system.
Price adapted to users, simple and efficient.
Very good telephone contact, reception and understanding of requests.
Professional person and without commercial forcing, I recommend.</v>
      </c>
    </row>
    <row r="603" ht="15.75" customHeight="1">
      <c r="A603" s="3">
        <v>2.0</v>
      </c>
      <c r="B603" s="3" t="s">
        <v>1730</v>
      </c>
      <c r="C603" s="3" t="s">
        <v>1731</v>
      </c>
      <c r="D603" s="3" t="s">
        <v>97</v>
      </c>
      <c r="E603" s="3" t="s">
        <v>81</v>
      </c>
      <c r="F603" s="3" t="s">
        <v>15</v>
      </c>
      <c r="G603" s="3" t="s">
        <v>1732</v>
      </c>
      <c r="H603" s="3" t="s">
        <v>367</v>
      </c>
      <c r="I603" s="3" t="str">
        <f>IFERROR(__xludf.DUMMYFUNCTION("GOOGLETRANSLATE(C603,""fr"",""en"")"),"Very difficult to reach them on the phone, no refund suite vehicle sale despite mail with AR and email exchanges. Obligation to involve legal protection")</f>
        <v>Very difficult to reach them on the phone, no refund suite vehicle sale despite mail with AR and email exchanges. Obligation to involve legal protection</v>
      </c>
    </row>
    <row r="604" ht="15.75" customHeight="1">
      <c r="A604" s="3">
        <v>1.0</v>
      </c>
      <c r="B604" s="3" t="s">
        <v>1733</v>
      </c>
      <c r="C604" s="3" t="s">
        <v>1734</v>
      </c>
      <c r="D604" s="3" t="s">
        <v>484</v>
      </c>
      <c r="E604" s="3" t="s">
        <v>48</v>
      </c>
      <c r="F604" s="3" t="s">
        <v>15</v>
      </c>
      <c r="G604" s="3" t="s">
        <v>1735</v>
      </c>
      <c r="H604" s="3" t="s">
        <v>844</v>
      </c>
      <c r="I604" s="3" t="str">
        <f>IFERROR(__xludf.DUMMYFUNCTION("GOOGLETRANSLATE(C604,""fr"",""en"")"),"My loan being closed, I sent the supporting documents to stop the insurance several times at dip@metlife.fr without any response.
So difficult communication.")</f>
        <v>My loan being closed, I sent the supporting documents to stop the insurance several times at dip@metlife.fr without any response.
So difficult communication.</v>
      </c>
    </row>
    <row r="605" ht="15.75" customHeight="1">
      <c r="A605" s="3">
        <v>1.0</v>
      </c>
      <c r="B605" s="3" t="s">
        <v>1736</v>
      </c>
      <c r="C605" s="3" t="s">
        <v>1737</v>
      </c>
      <c r="D605" s="3" t="s">
        <v>37</v>
      </c>
      <c r="E605" s="3" t="s">
        <v>27</v>
      </c>
      <c r="F605" s="3" t="s">
        <v>15</v>
      </c>
      <c r="G605" s="3" t="s">
        <v>1449</v>
      </c>
      <c r="H605" s="3" t="s">
        <v>367</v>
      </c>
      <c r="I605" s="3" t="str">
        <f>IFERROR(__xludf.DUMMYFUNCTION("GOOGLETRANSLATE(C605,""fr"",""en"")"),"I strongly recommend this insurer to you.
I waited 6 months to have my green card. They were unable to provide the former information statements, I had a disaster and despite the registered shipment, plus 3 emails. I did not receive any answer. I finally"&amp;" had someone on the phone after 10 minutes of waiting.
I changed banking and ditto coordinates what necessary has never been done.
You never receive a response to emails.
To really avoid")</f>
        <v>I strongly recommend this insurer to you.
I waited 6 months to have my green card. They were unable to provide the former information statements, I had a disaster and despite the registered shipment, plus 3 emails. I did not receive any answer. I finally had someone on the phone after 10 minutes of waiting.
I changed banking and ditto coordinates what necessary has never been done.
You never receive a response to emails.
To really avoid</v>
      </c>
    </row>
    <row r="606" ht="15.75" customHeight="1">
      <c r="A606" s="3">
        <v>5.0</v>
      </c>
      <c r="B606" s="3" t="s">
        <v>1738</v>
      </c>
      <c r="C606" s="3" t="s">
        <v>1739</v>
      </c>
      <c r="D606" s="3" t="s">
        <v>37</v>
      </c>
      <c r="E606" s="3" t="s">
        <v>27</v>
      </c>
      <c r="F606" s="3" t="s">
        <v>15</v>
      </c>
      <c r="G606" s="3" t="s">
        <v>1740</v>
      </c>
      <c r="H606" s="3" t="s">
        <v>72</v>
      </c>
      <c r="I606" s="3" t="str">
        <f>IFERROR(__xludf.DUMMYFUNCTION("GOOGLETRANSLATE(C606,""fr"",""en"")"),"The prices are much more attractive than in most competitors, I have provided several vehicles here is I am very satisfied.")</f>
        <v>The prices are much more attractive than in most competitors, I have provided several vehicles here is I am very satisfied.</v>
      </c>
    </row>
    <row r="607" ht="15.75" customHeight="1">
      <c r="A607" s="3">
        <v>1.0</v>
      </c>
      <c r="B607" s="3" t="s">
        <v>1741</v>
      </c>
      <c r="C607" s="3" t="s">
        <v>1742</v>
      </c>
      <c r="D607" s="3" t="s">
        <v>399</v>
      </c>
      <c r="E607" s="3" t="s">
        <v>109</v>
      </c>
      <c r="F607" s="3" t="s">
        <v>15</v>
      </c>
      <c r="G607" s="3" t="s">
        <v>1052</v>
      </c>
      <c r="H607" s="3" t="s">
        <v>139</v>
      </c>
      <c r="I607" s="3" t="str">
        <f>IFERROR(__xludf.DUMMYFUNCTION("GOOGLETRANSLATE(C607,""fr"",""en"")"),"Hello, I am partially benefiting from life insurance for which I sent my file by email on April 24, 2020; This one is complete and presents no problem; Cardif BNP Paribas needed additional information provided to him by my notary on several occasions sinc"&amp;"e February 2020; But Cardif BNP Paribas does not seem to be satisfied with these responses and says they need 2 weeks to study, again this information and ""be sure that they apply to the beneficiary clause of this life insurance contract"" (? ??); Accord"&amp;"ing to my notary everything has been said, everything has been clear for several months and there is no reason that this file will take so much delay. I therefore ask Cardif to make the payment of this life insurance - as well as to other beneficiaries - "&amp;"as soon as possible while respecting the interests of delay in accordance with the Eckert law for the beneficiaries concerned.
")</f>
        <v>Hello, I am partially benefiting from life insurance for which I sent my file by email on April 24, 2020; This one is complete and presents no problem; Cardif BNP Paribas needed additional information provided to him by my notary on several occasions since February 2020; But Cardif BNP Paribas does not seem to be satisfied with these responses and says they need 2 weeks to study, again this information and "be sure that they apply to the beneficiary clause of this life insurance contract" (? ??); According to my notary everything has been said, everything has been clear for several months and there is no reason that this file will take so much delay. I therefore ask Cardif to make the payment of this life insurance - as well as to other beneficiaries - as soon as possible while respecting the interests of delay in accordance with the Eckert law for the beneficiaries concerned.
</v>
      </c>
    </row>
    <row r="608" ht="15.75" customHeight="1">
      <c r="A608" s="3">
        <v>1.0</v>
      </c>
      <c r="B608" s="3" t="s">
        <v>1743</v>
      </c>
      <c r="C608" s="3" t="s">
        <v>1744</v>
      </c>
      <c r="D608" s="3" t="s">
        <v>108</v>
      </c>
      <c r="E608" s="3" t="s">
        <v>21</v>
      </c>
      <c r="F608" s="3" t="s">
        <v>15</v>
      </c>
      <c r="G608" s="3" t="s">
        <v>1745</v>
      </c>
      <c r="H608" s="3" t="s">
        <v>262</v>
      </c>
      <c r="I608" s="3" t="str">
        <f>IFERROR(__xludf.DUMMYFUNCTION("GOOGLETRANSLATE(C608,""fr"",""en"")"),"Following a work accident, they refuse to industrial me with the provident insurance subscribed on the grounds that I did not send the documents on time. Now, I sent everything in double (mail and email), and their even brought the evidence and they tell "&amp;"me that I made false shipments ... It's amazing !!! Other Internet users have known the same way of doing axa ????")</f>
        <v>Following a work accident, they refuse to industrial me with the provident insurance subscribed on the grounds that I did not send the documents on time. Now, I sent everything in double (mail and email), and their even brought the evidence and they tell me that I made false shipments ... It's amazing !!! Other Internet users have known the same way of doing axa ????</v>
      </c>
    </row>
    <row r="609" ht="15.75" customHeight="1">
      <c r="A609" s="3">
        <v>1.0</v>
      </c>
      <c r="B609" s="3" t="s">
        <v>1746</v>
      </c>
      <c r="C609" s="3" t="s">
        <v>1747</v>
      </c>
      <c r="D609" s="3" t="s">
        <v>1410</v>
      </c>
      <c r="E609" s="3" t="s">
        <v>21</v>
      </c>
      <c r="F609" s="3" t="s">
        <v>15</v>
      </c>
      <c r="G609" s="3" t="s">
        <v>158</v>
      </c>
      <c r="H609" s="3" t="s">
        <v>159</v>
      </c>
      <c r="I609" s="3" t="str">
        <f>IFERROR(__xludf.DUMMYFUNCTION("GOOGLETRANSLATE(C609,""fr"",""en"")"),"Incredible slowness and continual request of documents for borrower insurance. While the bank has given its agreement on the financial aspect of a mortgage loan, it's been weeks that CNP Assurances walks us! We risk missing our project because of these in"&amp;"competent! No serious contact! To flee absolutely!")</f>
        <v>Incredible slowness and continual request of documents for borrower insurance. While the bank has given its agreement on the financial aspect of a mortgage loan, it's been weeks that CNP Assurances walks us! We risk missing our project because of these incompetent! No serious contact! To flee absolutely!</v>
      </c>
    </row>
    <row r="610" ht="15.75" customHeight="1">
      <c r="A610" s="3">
        <v>5.0</v>
      </c>
      <c r="B610" s="3" t="s">
        <v>1748</v>
      </c>
      <c r="C610" s="3" t="s">
        <v>1749</v>
      </c>
      <c r="D610" s="3" t="s">
        <v>97</v>
      </c>
      <c r="E610" s="3" t="s">
        <v>81</v>
      </c>
      <c r="F610" s="3" t="s">
        <v>15</v>
      </c>
      <c r="G610" s="3" t="s">
        <v>1750</v>
      </c>
      <c r="H610" s="3" t="s">
        <v>99</v>
      </c>
      <c r="I610" s="3" t="str">
        <f>IFERROR(__xludf.DUMMYFUNCTION("GOOGLETRANSLATE(C610,""fr"",""en"")"),"Very clear to modify the contract alone incontesting no advice at the end of the phone on weekends to ask for information from a council")</f>
        <v>Very clear to modify the contract alone incontesting no advice at the end of the phone on weekends to ask for information from a council</v>
      </c>
    </row>
    <row r="611" ht="15.75" customHeight="1">
      <c r="A611" s="3">
        <v>3.0</v>
      </c>
      <c r="B611" s="3" t="s">
        <v>1751</v>
      </c>
      <c r="C611" s="3" t="s">
        <v>1752</v>
      </c>
      <c r="D611" s="3" t="s">
        <v>137</v>
      </c>
      <c r="E611" s="3" t="s">
        <v>27</v>
      </c>
      <c r="F611" s="3" t="s">
        <v>15</v>
      </c>
      <c r="G611" s="3" t="s">
        <v>1753</v>
      </c>
      <c r="H611" s="3" t="s">
        <v>237</v>
      </c>
      <c r="I611" s="3" t="str">
        <f>IFERROR(__xludf.DUMMYFUNCTION("GOOGLETRANSLATE(C611,""fr"",""en"")"),"Paid car 140 km from my home, service set up to recover my car from the mechanic impossible for me, Maif tried the impossible train, no communications, proposal to rent a vehicle 30km from my home that I had to leave in another city but not that of the ga"&amp;"rage; I asked Maif a taxi but refusal.
No one can understand on the phone.
I do not recommend Maif for assistance")</f>
        <v>Paid car 140 km from my home, service set up to recover my car from the mechanic impossible for me, Maif tried the impossible train, no communications, proposal to rent a vehicle 30km from my home that I had to leave in another city but not that of the garage; I asked Maif a taxi but refusal.
No one can understand on the phone.
I do not recommend Maif for assistance</v>
      </c>
    </row>
    <row r="612" ht="15.75" customHeight="1">
      <c r="A612" s="3">
        <v>4.0</v>
      </c>
      <c r="B612" s="3" t="s">
        <v>1754</v>
      </c>
      <c r="C612" s="3" t="s">
        <v>1755</v>
      </c>
      <c r="D612" s="3" t="s">
        <v>53</v>
      </c>
      <c r="E612" s="3" t="s">
        <v>27</v>
      </c>
      <c r="F612" s="3" t="s">
        <v>15</v>
      </c>
      <c r="G612" s="3" t="s">
        <v>577</v>
      </c>
      <c r="H612" s="3" t="s">
        <v>72</v>
      </c>
      <c r="I612" s="3" t="str">
        <f>IFERROR(__xludf.DUMMYFUNCTION("GOOGLETRANSLATE(C612,""fr"",""en"")"),"Or I am satisfied with the service and response and solutions to have attractive fares I hope it will have no increase next year")</f>
        <v>Or I am satisfied with the service and response and solutions to have attractive fares I hope it will have no increase next year</v>
      </c>
    </row>
    <row r="613" ht="15.75" customHeight="1">
      <c r="A613" s="3">
        <v>5.0</v>
      </c>
      <c r="B613" s="3" t="s">
        <v>1756</v>
      </c>
      <c r="C613" s="3" t="s">
        <v>1757</v>
      </c>
      <c r="D613" s="3" t="s">
        <v>53</v>
      </c>
      <c r="E613" s="3" t="s">
        <v>27</v>
      </c>
      <c r="F613" s="3" t="s">
        <v>15</v>
      </c>
      <c r="G613" s="3" t="s">
        <v>404</v>
      </c>
      <c r="H613" s="3" t="s">
        <v>50</v>
      </c>
      <c r="I613" s="3" t="str">
        <f>IFERROR(__xludf.DUMMYFUNCTION("GOOGLETRANSLATE(C613,""fr"",""en"")"),"I am satisfied? But I do not understand I have already paid two months in advance for my previous car that I kept ""days before which burn, and I repaired two months in advance for the news,")</f>
        <v>I am satisfied? But I do not understand I have already paid two months in advance for my previous car that I kept "days before which burn, and I repaired two months in advance for the news,</v>
      </c>
    </row>
    <row r="614" ht="15.75" customHeight="1">
      <c r="A614" s="3">
        <v>5.0</v>
      </c>
      <c r="B614" s="3" t="s">
        <v>1758</v>
      </c>
      <c r="C614" s="3" t="s">
        <v>1759</v>
      </c>
      <c r="D614" s="3" t="s">
        <v>53</v>
      </c>
      <c r="E614" s="3" t="s">
        <v>27</v>
      </c>
      <c r="F614" s="3" t="s">
        <v>15</v>
      </c>
      <c r="G614" s="3" t="s">
        <v>580</v>
      </c>
      <c r="H614" s="3" t="s">
        <v>58</v>
      </c>
      <c r="I614" s="3" t="str">
        <f>IFERROR(__xludf.DUMMYFUNCTION("GOOGLETRANSLATE(C614,""fr"",""en"")"),"Very satisfied with the service and the prices are very interesting I advise everyone to subscribe and the handling of the application is very simple")</f>
        <v>Very satisfied with the service and the prices are very interesting I advise everyone to subscribe and the handling of the application is very simple</v>
      </c>
    </row>
    <row r="615" ht="15.75" customHeight="1">
      <c r="A615" s="3">
        <v>1.0</v>
      </c>
      <c r="B615" s="3" t="s">
        <v>1760</v>
      </c>
      <c r="C615" s="3" t="s">
        <v>1761</v>
      </c>
      <c r="D615" s="3" t="s">
        <v>75</v>
      </c>
      <c r="E615" s="3" t="s">
        <v>27</v>
      </c>
      <c r="F615" s="3" t="s">
        <v>15</v>
      </c>
      <c r="G615" s="3" t="s">
        <v>1762</v>
      </c>
      <c r="H615" s="3" t="s">
        <v>111</v>
      </c>
      <c r="I615" s="3" t="str">
        <f>IFERROR(__xludf.DUMMYFUNCTION("GOOGLETRANSLATE(C615,""fr"",""en"")"),"Reading the opinions I was afraid of not being reimbursed for a sinister of 824 EUR. Not even responsible. For all risks insurance at 160 eu monthly ... We could expect to be taken care of ... normally. 2 months that it lasts we are walking by phone by te"&amp;"lling us that the insurer of the manager does not have 1 element ... false! I am disgusted. They are incapable")</f>
        <v>Reading the opinions I was afraid of not being reimbursed for a sinister of 824 EUR. Not even responsible. For all risks insurance at 160 eu monthly ... We could expect to be taken care of ... normally. 2 months that it lasts we are walking by phone by telling us that the insurer of the manager does not have 1 element ... false! I am disgusted. They are incapable</v>
      </c>
    </row>
    <row r="616" ht="15.75" customHeight="1">
      <c r="A616" s="3">
        <v>1.0</v>
      </c>
      <c r="B616" s="3" t="s">
        <v>1763</v>
      </c>
      <c r="C616" s="3" t="s">
        <v>1764</v>
      </c>
      <c r="D616" s="3" t="s">
        <v>670</v>
      </c>
      <c r="E616" s="3" t="s">
        <v>27</v>
      </c>
      <c r="F616" s="3" t="s">
        <v>15</v>
      </c>
      <c r="G616" s="3" t="s">
        <v>1765</v>
      </c>
      <c r="H616" s="3" t="s">
        <v>169</v>
      </c>
      <c r="I616" s="3" t="str">
        <f>IFERROR(__xludf.DUMMYFUNCTION("GOOGLETRANSLATE(C616,""fr"",""en"")"),"Termination by insurer expired without any valid reason ...
Searched by this insurance, we have chosen to leave ours where we have been for 10 years.
After a vehicle loan reported to the company for a period of 6 days, documents sent through the persona"&amp;"l space at the request of the company and our interlocutor.
We were as honest as possible by reporting this loan when there was no claim ...
We recently receive a recommended recommended our insurance contract because this is not part of their acceptanc"&amp;"e policy.
Why not have told us during our telephone exchanges rather than terminating your contract 3 and a half months after the loan?
The method is scandalous
Insurance to flee!
")</f>
        <v>Termination by insurer expired without any valid reason ...
Searched by this insurance, we have chosen to leave ours where we have been for 10 years.
After a vehicle loan reported to the company for a period of 6 days, documents sent through the personal space at the request of the company and our interlocutor.
We were as honest as possible by reporting this loan when there was no claim ...
We recently receive a recommended recommended our insurance contract because this is not part of their acceptance policy.
Why not have told us during our telephone exchanges rather than terminating your contract 3 and a half months after the loan?
The method is scandalous
Insurance to flee!
</v>
      </c>
    </row>
    <row r="617" ht="15.75" customHeight="1">
      <c r="A617" s="3">
        <v>3.0</v>
      </c>
      <c r="B617" s="3" t="s">
        <v>1766</v>
      </c>
      <c r="C617" s="3" t="s">
        <v>1767</v>
      </c>
      <c r="D617" s="3" t="s">
        <v>75</v>
      </c>
      <c r="E617" s="3" t="s">
        <v>76</v>
      </c>
      <c r="F617" s="3" t="s">
        <v>15</v>
      </c>
      <c r="G617" s="3" t="s">
        <v>1768</v>
      </c>
      <c r="H617" s="3" t="s">
        <v>169</v>
      </c>
      <c r="I617" s="3" t="str">
        <f>IFERROR(__xludf.DUMMYFUNCTION("GOOGLETRANSLATE(C617,""fr"",""en"")"),"Impeccable broker
However, the claims department includes rude and contemptuous collaborators. Certain compensation is insultingly low, especially after a storm tearing my roof.
The theory is that if you do not have a new roof at the start, the damage s"&amp;"uffered are by your fault.
It is Doleux and the sum allocated is in total contempt for the customer
")</f>
        <v>Impeccable broker
However, the claims department includes rude and contemptuous collaborators. Certain compensation is insultingly low, especially after a storm tearing my roof.
The theory is that if you do not have a new roof at the start, the damage suffered are by your fault.
It is Doleux and the sum allocated is in total contempt for the customer
</v>
      </c>
    </row>
    <row r="618" ht="15.75" customHeight="1">
      <c r="A618" s="3">
        <v>4.0</v>
      </c>
      <c r="B618" s="3" t="s">
        <v>1769</v>
      </c>
      <c r="C618" s="3" t="s">
        <v>1770</v>
      </c>
      <c r="D618" s="3" t="s">
        <v>32</v>
      </c>
      <c r="E618" s="3" t="s">
        <v>14</v>
      </c>
      <c r="F618" s="3" t="s">
        <v>15</v>
      </c>
      <c r="G618" s="3" t="s">
        <v>1771</v>
      </c>
      <c r="H618" s="3" t="s">
        <v>34</v>
      </c>
      <c r="I618" s="3" t="str">
        <f>IFERROR(__xludf.DUMMYFUNCTION("GOOGLETRANSLATE(C618,""fr"",""en"")"),"The brilliant and well -explained website because it is well described seriously in the website it must continue like that because it really is great.")</f>
        <v>The brilliant and well -explained website because it is well described seriously in the website it must continue like that because it really is great.</v>
      </c>
    </row>
    <row r="619" ht="15.75" customHeight="1">
      <c r="A619" s="3">
        <v>1.0</v>
      </c>
      <c r="B619" s="3" t="s">
        <v>1772</v>
      </c>
      <c r="C619" s="3" t="s">
        <v>1773</v>
      </c>
      <c r="D619" s="3" t="s">
        <v>37</v>
      </c>
      <c r="E619" s="3" t="s">
        <v>27</v>
      </c>
      <c r="F619" s="3" t="s">
        <v>15</v>
      </c>
      <c r="G619" s="3" t="s">
        <v>1774</v>
      </c>
      <c r="H619" s="3" t="s">
        <v>190</v>
      </c>
      <c r="I619" s="3" t="str">
        <f>IFERROR(__xludf.DUMMYFUNCTION("GOOGLETRANSLATE(C619,""fr"",""en"")"),"Contract number: 1080296628
Insured number: 9477634679
On October 03, 2018, I subscribed, within the framework of the Hamon law, an all -risk insurance contract.
I paid 290.19 euros of annual bonus per CB.
On November 05, 2018, I retracted by phone, w"&amp;"ithdrawal confirmed by registered letter with AR on the same day.
On November 13, 2018, I received an email from them, informing myself of the effective termination of my contract and the reimbursement of the sums paid within 14 days.
Without news from "&amp;"them, I contacted them by email on November 27, 2018, to which they laconically answer me that ""the funds left for bank on November 26, 2018"".
We are on November 29, 2018, the funds have still not arrived on my bank account.
I therefore strongly advis"&amp;"e against this insurance, which, given the pitfalls in front of which I have to face for a simple withdrawal does not augur anything good in the event of a disaster.")</f>
        <v>Contract number: 1080296628
Insured number: 9477634679
On October 03, 2018, I subscribed, within the framework of the Hamon law, an all -risk insurance contract.
I paid 290.19 euros of annual bonus per CB.
On November 05, 2018, I retracted by phone, withdrawal confirmed by registered letter with AR on the same day.
On November 13, 2018, I received an email from them, informing myself of the effective termination of my contract and the reimbursement of the sums paid within 14 days.
Without news from them, I contacted them by email on November 27, 2018, to which they laconically answer me that "the funds left for bank on November 26, 2018".
We are on November 29, 2018, the funds have still not arrived on my bank account.
I therefore strongly advise against this insurance, which, given the pitfalls in front of which I have to face for a simple withdrawal does not augur anything good in the event of a disaster.</v>
      </c>
    </row>
    <row r="620" ht="15.75" customHeight="1">
      <c r="A620" s="3">
        <v>5.0</v>
      </c>
      <c r="B620" s="3" t="s">
        <v>1775</v>
      </c>
      <c r="C620" s="3" t="s">
        <v>1776</v>
      </c>
      <c r="D620" s="3" t="s">
        <v>53</v>
      </c>
      <c r="E620" s="3" t="s">
        <v>27</v>
      </c>
      <c r="F620" s="3" t="s">
        <v>15</v>
      </c>
      <c r="G620" s="3" t="s">
        <v>590</v>
      </c>
      <c r="H620" s="3" t="s">
        <v>58</v>
      </c>
      <c r="I620" s="3" t="str">
        <f>IFERROR(__xludf.DUMMYFUNCTION("GOOGLETRANSLATE(C620,""fr"",""en"")"),"No particular difficulty encountered during the procedures. The price is a bit high for a contract with 50% bonuses without accident for several years")</f>
        <v>No particular difficulty encountered during the procedures. The price is a bit high for a contract with 50% bonuses without accident for several years</v>
      </c>
    </row>
    <row r="621" ht="15.75" customHeight="1">
      <c r="A621" s="3">
        <v>4.0</v>
      </c>
      <c r="B621" s="3" t="s">
        <v>1777</v>
      </c>
      <c r="C621" s="3" t="s">
        <v>1778</v>
      </c>
      <c r="D621" s="3" t="s">
        <v>53</v>
      </c>
      <c r="E621" s="3" t="s">
        <v>27</v>
      </c>
      <c r="F621" s="3" t="s">
        <v>15</v>
      </c>
      <c r="G621" s="3" t="s">
        <v>350</v>
      </c>
      <c r="H621" s="3" t="s">
        <v>17</v>
      </c>
      <c r="I621" s="3" t="str">
        <f>IFERROR(__xludf.DUMMYFUNCTION("GOOGLETRANSLATE(C621,""fr"",""en"")"),"The prices become a little Elevès I would not be against for a small discount next year having never had sinister consequences that I am assured at direct insurance and having made my partner add the car of my partner")</f>
        <v>The prices become a little Elevès I would not be against for a small discount next year having never had sinister consequences that I am assured at direct insurance and having made my partner add the car of my partner</v>
      </c>
    </row>
    <row r="622" ht="15.75" customHeight="1">
      <c r="A622" s="3">
        <v>1.0</v>
      </c>
      <c r="B622" s="3" t="s">
        <v>1779</v>
      </c>
      <c r="C622" s="3" t="s">
        <v>1780</v>
      </c>
      <c r="D622" s="3" t="s">
        <v>97</v>
      </c>
      <c r="E622" s="3" t="s">
        <v>81</v>
      </c>
      <c r="F622" s="3" t="s">
        <v>15</v>
      </c>
      <c r="G622" s="3" t="s">
        <v>1781</v>
      </c>
      <c r="H622" s="3" t="s">
        <v>266</v>
      </c>
      <c r="I622" s="3" t="str">
        <f>IFERROR(__xludf.DUMMYFUNCTION("GOOGLETRANSLATE(C622,""fr"",""en"")"),"AMV Ass. has a very poor reputation concerning compensation but in addition he ignores the insurance code when it suits him: check the testimonies and you will understand")</f>
        <v>AMV Ass. has a very poor reputation concerning compensation but in addition he ignores the insurance code when it suits him: check the testimonies and you will understand</v>
      </c>
    </row>
    <row r="623" ht="15.75" customHeight="1">
      <c r="A623" s="3">
        <v>1.0</v>
      </c>
      <c r="B623" s="3" t="s">
        <v>1782</v>
      </c>
      <c r="C623" s="3" t="s">
        <v>1783</v>
      </c>
      <c r="D623" s="3" t="s">
        <v>53</v>
      </c>
      <c r="E623" s="3" t="s">
        <v>27</v>
      </c>
      <c r="F623" s="3" t="s">
        <v>15</v>
      </c>
      <c r="G623" s="3" t="s">
        <v>614</v>
      </c>
      <c r="H623" s="3" t="s">
        <v>614</v>
      </c>
      <c r="I623" s="3" t="str">
        <f>IFERROR(__xludf.DUMMYFUNCTION("GOOGLETRANSLATE(C623,""fr"",""en"")"),"Following an accident not responsible and a flight offense I raised the plate well ...
And I was clearly told we can't do anything for you if the person does not want to make an observation.
Difficult to join them but the worst of everything I after a s"&amp;"ponsorship I had to receive 70th for me and 30th for the subscriber, 4 months after still nothing so I started to call them to claim them I was terminated for unpaid this Who is false an exuse.")</f>
        <v>Following an accident not responsible and a flight offense I raised the plate well ...
And I was clearly told we can't do anything for you if the person does not want to make an observation.
Difficult to join them but the worst of everything I after a sponsorship I had to receive 70th for me and 30th for the subscriber, 4 months after still nothing so I started to call them to claim them I was terminated for unpaid this Who is false an exuse.</v>
      </c>
    </row>
    <row r="624" ht="15.75" customHeight="1">
      <c r="A624" s="3">
        <v>4.0</v>
      </c>
      <c r="B624" s="3" t="s">
        <v>1784</v>
      </c>
      <c r="C624" s="3" t="s">
        <v>1785</v>
      </c>
      <c r="D624" s="3" t="s">
        <v>97</v>
      </c>
      <c r="E624" s="3" t="s">
        <v>81</v>
      </c>
      <c r="F624" s="3" t="s">
        <v>15</v>
      </c>
      <c r="G624" s="3" t="s">
        <v>1786</v>
      </c>
      <c r="H624" s="3" t="s">
        <v>50</v>
      </c>
      <c r="I624" s="3" t="str">
        <f>IFERROR(__xludf.DUMMYFUNCTION("GOOGLETRANSLATE(C624,""fr"",""en"")"),"Overall I am satisfied with the services of AMV, I have been a customer since 2007 and I had only one concern with my motorcycle (electrical breakdown) so part on truck trailer and amv answered
Very quickly (super assistance).
Just a little trouble cont"&amp;"acting them by phone.")</f>
        <v>Overall I am satisfied with the services of AMV, I have been a customer since 2007 and I had only one concern with my motorcycle (electrical breakdown) so part on truck trailer and amv answered
Very quickly (super assistance).
Just a little trouble contacting them by phone.</v>
      </c>
    </row>
    <row r="625" ht="15.75" customHeight="1">
      <c r="A625" s="3">
        <v>4.0</v>
      </c>
      <c r="B625" s="3" t="s">
        <v>1787</v>
      </c>
      <c r="C625" s="3" t="s">
        <v>1788</v>
      </c>
      <c r="D625" s="3" t="s">
        <v>53</v>
      </c>
      <c r="E625" s="3" t="s">
        <v>27</v>
      </c>
      <c r="F625" s="3" t="s">
        <v>15</v>
      </c>
      <c r="G625" s="3" t="s">
        <v>1402</v>
      </c>
      <c r="H625" s="3" t="s">
        <v>29</v>
      </c>
      <c r="I625" s="3" t="str">
        <f>IFERROR(__xludf.DUMMYFUNCTION("GOOGLETRANSLATE(C625,""fr"",""en"")"),"I am satisfied with this service, I would have liked a little lower prices but after survey, the value for money seems good to me. Now remains to be seen what will happen in the event of an incident or an accident")</f>
        <v>I am satisfied with this service, I would have liked a little lower prices but after survey, the value for money seems good to me. Now remains to be seen what will happen in the event of an incident or an accident</v>
      </c>
    </row>
    <row r="626" ht="15.75" customHeight="1">
      <c r="A626" s="3">
        <v>3.0</v>
      </c>
      <c r="B626" s="3" t="s">
        <v>1789</v>
      </c>
      <c r="C626" s="3" t="s">
        <v>1790</v>
      </c>
      <c r="D626" s="3" t="s">
        <v>228</v>
      </c>
      <c r="E626" s="3" t="s">
        <v>14</v>
      </c>
      <c r="F626" s="3" t="s">
        <v>15</v>
      </c>
      <c r="G626" s="3" t="s">
        <v>1791</v>
      </c>
      <c r="H626" s="3" t="s">
        <v>276</v>
      </c>
      <c r="I626" s="3" t="str">
        <f>IFERROR(__xludf.DUMMYFUNCTION("GOOGLETRANSLATE(C626,""fr"",""en"")"),"Impossible to join them by phone, reimbursement deadlines for overtaking catastrophic fees, I always expect a refund after 2 months of waiting, they don't care about the insured, we have called the rare times when we manage to have someone 'One we are tol"&amp;"d that it is in progress and nothing ... on the other hand to take the contributions there no problem! I strongly recommend this company which will not be of any use to you")</f>
        <v>Impossible to join them by phone, reimbursement deadlines for overtaking catastrophic fees, I always expect a refund after 2 months of waiting, they don't care about the insured, we have called the rare times when we manage to have someone 'One we are told that it is in progress and nothing ... on the other hand to take the contributions there no problem! I strongly recommend this company which will not be of any use to you</v>
      </c>
    </row>
    <row r="627" ht="15.75" customHeight="1">
      <c r="A627" s="3">
        <v>1.0</v>
      </c>
      <c r="B627" s="3" t="s">
        <v>1792</v>
      </c>
      <c r="C627" s="3" t="s">
        <v>1793</v>
      </c>
      <c r="D627" s="3" t="s">
        <v>1060</v>
      </c>
      <c r="E627" s="3" t="s">
        <v>805</v>
      </c>
      <c r="F627" s="3" t="s">
        <v>15</v>
      </c>
      <c r="G627" s="3" t="s">
        <v>1794</v>
      </c>
      <c r="H627" s="3" t="s">
        <v>1109</v>
      </c>
      <c r="I627" s="3" t="str">
        <f>IFERROR(__xludf.DUMMYFUNCTION("GOOGLETRANSLATE(C627,""fr"",""en"")"),"very limited
Many documents ask when your pet is condemned
No compassion just finds the family so as not to reimburse
Lots of things not supported")</f>
        <v>very limited
Many documents ask when your pet is condemned
No compassion just finds the family so as not to reimburse
Lots of things not supported</v>
      </c>
    </row>
    <row r="628" ht="15.75" customHeight="1">
      <c r="A628" s="3">
        <v>4.0</v>
      </c>
      <c r="B628" s="3" t="s">
        <v>1795</v>
      </c>
      <c r="C628" s="3" t="s">
        <v>1796</v>
      </c>
      <c r="D628" s="3" t="s">
        <v>57</v>
      </c>
      <c r="E628" s="3" t="s">
        <v>14</v>
      </c>
      <c r="F628" s="3" t="s">
        <v>15</v>
      </c>
      <c r="G628" s="3" t="s">
        <v>1797</v>
      </c>
      <c r="H628" s="3" t="s">
        <v>50</v>
      </c>
      <c r="I628" s="3" t="str">
        <f>IFERROR(__xludf.DUMMYFUNCTION("GOOGLETRANSLATE(C628,""fr"",""en"")"),"Availability and listening. Quality of the management of the problem.
Which has confirmed in my choice of MGP member for over twenty years.")</f>
        <v>Availability and listening. Quality of the management of the problem.
Which has confirmed in my choice of MGP member for over twenty years.</v>
      </c>
    </row>
    <row r="629" ht="15.75" customHeight="1">
      <c r="A629" s="3">
        <v>3.0</v>
      </c>
      <c r="B629" s="3" t="s">
        <v>1798</v>
      </c>
      <c r="C629" s="3" t="s">
        <v>1799</v>
      </c>
      <c r="D629" s="3" t="s">
        <v>108</v>
      </c>
      <c r="E629" s="3" t="s">
        <v>27</v>
      </c>
      <c r="F629" s="3" t="s">
        <v>15</v>
      </c>
      <c r="G629" s="3" t="s">
        <v>1800</v>
      </c>
      <c r="H629" s="3" t="s">
        <v>44</v>
      </c>
      <c r="I629" s="3" t="str">
        <f>IFERROR(__xludf.DUMMYFUNCTION("GOOGLETRANSLATE(C629,""fr"",""en"")"),"AXA forgot to terminate my contract with my former insurer, so I paid 2 insurance instead of one for 8 months (monthly payments that they intend to reimburse me, however). So I had to take out a new contract for which I have set 3 monthly payments (when t"&amp;"hey owed me money), contract that I am waiting for a week after multiple calls to ask them for this shipment, So I did settle 3 monthly payments but I have no way of proving that I am assured.
The prices are very low but we understand why.")</f>
        <v>AXA forgot to terminate my contract with my former insurer, so I paid 2 insurance instead of one for 8 months (monthly payments that they intend to reimburse me, however). So I had to take out a new contract for which I have set 3 monthly payments (when they owed me money), contract that I am waiting for a week after multiple calls to ask them for this shipment, So I did settle 3 monthly payments but I have no way of proving that I am assured.
The prices are very low but we understand why.</v>
      </c>
    </row>
    <row r="630" ht="15.75" customHeight="1">
      <c r="A630" s="3">
        <v>1.0</v>
      </c>
      <c r="B630" s="3" t="s">
        <v>1801</v>
      </c>
      <c r="C630" s="3" t="s">
        <v>1802</v>
      </c>
      <c r="D630" s="3" t="s">
        <v>53</v>
      </c>
      <c r="E630" s="3" t="s">
        <v>27</v>
      </c>
      <c r="F630" s="3" t="s">
        <v>15</v>
      </c>
      <c r="G630" s="3" t="s">
        <v>1803</v>
      </c>
      <c r="H630" s="3" t="s">
        <v>23</v>
      </c>
      <c r="I630" s="3" t="str">
        <f>IFERROR(__xludf.DUMMYFUNCTION("GOOGLETRANSLATE(C630,""fr"",""en"")"),"insurance is not as low as before
Stop imposing this rebels of opinion
I don't understand why you don't accept checks anymore")</f>
        <v>insurance is not as low as before
Stop imposing this rebels of opinion
I don't understand why you don't accept checks anymore</v>
      </c>
    </row>
    <row r="631" ht="15.75" customHeight="1">
      <c r="A631" s="3">
        <v>1.0</v>
      </c>
      <c r="B631" s="3" t="s">
        <v>1804</v>
      </c>
      <c r="C631" s="3" t="s">
        <v>1805</v>
      </c>
      <c r="D631" s="3" t="s">
        <v>75</v>
      </c>
      <c r="E631" s="3" t="s">
        <v>76</v>
      </c>
      <c r="F631" s="3" t="s">
        <v>15</v>
      </c>
      <c r="G631" s="3" t="s">
        <v>629</v>
      </c>
      <c r="H631" s="3" t="s">
        <v>335</v>
      </c>
      <c r="I631" s="3" t="str">
        <f>IFERROR(__xludf.DUMMYFUNCTION("GOOGLETRANSLATE(C631,""fr"",""en"")"),"Flee Allianz
it's expensive and they are incompetent
I have been a societary at home since 1996 and my horse was the victim of a kick from another guaranteed horse to the maif and for the care by the maif, Allianz must send by email a notification still"&amp;" not done this day")</f>
        <v>Flee Allianz
it's expensive and they are incompetent
I have been a societary at home since 1996 and my horse was the victim of a kick from another guaranteed horse to the maif and for the care by the maif, Allianz must send by email a notification still not done this day</v>
      </c>
    </row>
    <row r="632" ht="15.75" customHeight="1">
      <c r="A632" s="3">
        <v>3.0</v>
      </c>
      <c r="B632" s="3" t="s">
        <v>1806</v>
      </c>
      <c r="C632" s="3" t="s">
        <v>1807</v>
      </c>
      <c r="D632" s="3" t="s">
        <v>61</v>
      </c>
      <c r="E632" s="3" t="s">
        <v>14</v>
      </c>
      <c r="F632" s="3" t="s">
        <v>15</v>
      </c>
      <c r="G632" s="3" t="s">
        <v>1808</v>
      </c>
      <c r="H632" s="3" t="s">
        <v>316</v>
      </c>
      <c r="I632" s="3" t="str">
        <f>IFERROR(__xludf.DUMMYFUNCTION("GOOGLETRANSLATE(C632,""fr"",""en"")"),"Excellent contact with Alicia who perfectly explained the situation of my contract to me. Thank you for this pleasant interview.")</f>
        <v>Excellent contact with Alicia who perfectly explained the situation of my contract to me. Thank you for this pleasant interview.</v>
      </c>
    </row>
    <row r="633" ht="15.75" customHeight="1">
      <c r="A633" s="3">
        <v>4.0</v>
      </c>
      <c r="B633" s="3" t="s">
        <v>1809</v>
      </c>
      <c r="C633" s="3" t="s">
        <v>1810</v>
      </c>
      <c r="D633" s="3" t="s">
        <v>37</v>
      </c>
      <c r="E633" s="3" t="s">
        <v>27</v>
      </c>
      <c r="F633" s="3" t="s">
        <v>15</v>
      </c>
      <c r="G633" s="3" t="s">
        <v>1811</v>
      </c>
      <c r="H633" s="3" t="s">
        <v>17</v>
      </c>
      <c r="I633" s="3" t="str">
        <f>IFERROR(__xludf.DUMMYFUNCTION("GOOGLETRANSLATE(C633,""fr"",""en"")"),"Very correct online service but a bug means that the name of the main driver on the contract is not the right one which requires using the telephone assistance which was very good.")</f>
        <v>Very correct online service but a bug means that the name of the main driver on the contract is not the right one which requires using the telephone assistance which was very good.</v>
      </c>
    </row>
    <row r="634" ht="15.75" customHeight="1">
      <c r="A634" s="3">
        <v>5.0</v>
      </c>
      <c r="B634" s="3" t="s">
        <v>1812</v>
      </c>
      <c r="C634" s="3" t="s">
        <v>1813</v>
      </c>
      <c r="D634" s="3" t="s">
        <v>37</v>
      </c>
      <c r="E634" s="3" t="s">
        <v>27</v>
      </c>
      <c r="F634" s="3" t="s">
        <v>15</v>
      </c>
      <c r="G634" s="3" t="s">
        <v>1421</v>
      </c>
      <c r="H634" s="3" t="s">
        <v>72</v>
      </c>
      <c r="I634" s="3" t="str">
        <f>IFERROR(__xludf.DUMMYFUNCTION("GOOGLETRANSLATE(C634,""fr"",""en"")"),"Satisfied
Good price
Very good insurance
I highly recommend this insurance for small budgets access very well and fast I recommend I will talk about it around me")</f>
        <v>Satisfied
Good price
Very good insurance
I highly recommend this insurance for small budgets access very well and fast I recommend I will talk about it around me</v>
      </c>
    </row>
    <row r="635" ht="15.75" customHeight="1">
      <c r="A635" s="3">
        <v>1.0</v>
      </c>
      <c r="B635" s="3" t="s">
        <v>1814</v>
      </c>
      <c r="C635" s="3" t="s">
        <v>1815</v>
      </c>
      <c r="D635" s="3" t="s">
        <v>53</v>
      </c>
      <c r="E635" s="3" t="s">
        <v>27</v>
      </c>
      <c r="F635" s="3" t="s">
        <v>15</v>
      </c>
      <c r="G635" s="3" t="s">
        <v>1816</v>
      </c>
      <c r="H635" s="3" t="s">
        <v>58</v>
      </c>
      <c r="I635" s="3" t="str">
        <f>IFERROR(__xludf.DUMMYFUNCTION("GOOGLETRANSLATE(C635,""fr"",""en"")"),"I assured my daughter Marie on my car Citroën C2 3823 VT 73 Contract 140398667 I give up the C2 on 01/23/2021 My daughter does the necessary with Direct Insurance to terminate she receives a confirmation email on the other hand I always pay the months of "&amp;"February and again on March despite several requests from direct insurance nothing changes I cannot have an answer on my payment to suspend incompetence of the interlocutors
zanellotony@gmail.com
zanellotony@gmail.com")</f>
        <v>I assured my daughter Marie on my car Citroën C2 3823 VT 73 Contract 140398667 I give up the C2 on 01/23/2021 My daughter does the necessary with Direct Insurance to terminate she receives a confirmation email on the other hand I always pay the months of February and again on March despite several requests from direct insurance nothing changes I cannot have an answer on my payment to suspend incompetence of the interlocutors
zanellotony@gmail.com
zanellotony@gmail.com</v>
      </c>
    </row>
    <row r="636" ht="15.75" customHeight="1">
      <c r="A636" s="3">
        <v>1.0</v>
      </c>
      <c r="B636" s="3" t="s">
        <v>1817</v>
      </c>
      <c r="C636" s="3" t="s">
        <v>1818</v>
      </c>
      <c r="D636" s="3" t="s">
        <v>13</v>
      </c>
      <c r="E636" s="3" t="s">
        <v>14</v>
      </c>
      <c r="F636" s="3" t="s">
        <v>15</v>
      </c>
      <c r="G636" s="3" t="s">
        <v>1819</v>
      </c>
      <c r="H636" s="3" t="s">
        <v>382</v>
      </c>
      <c r="I636" s="3" t="str">
        <f>IFERROR(__xludf.DUMMYFUNCTION("GOOGLETRANSLATE(C636,""fr"",""en"")"),"I received a call from this ""insurers"" and when I told him that I already have what I must simply answer me to go and fuck me so it's very serious the site calls with This phone number: +33 9 77 29 58 38 Here")</f>
        <v>I received a call from this "insurers" and when I told him that I already have what I must simply answer me to go and fuck me so it's very serious the site calls with This phone number: +33 9 77 29 58 38 Here</v>
      </c>
    </row>
    <row r="637" ht="15.75" customHeight="1">
      <c r="A637" s="3">
        <v>3.0</v>
      </c>
      <c r="B637" s="3" t="s">
        <v>1820</v>
      </c>
      <c r="C637" s="3" t="s">
        <v>1821</v>
      </c>
      <c r="D637" s="3" t="s">
        <v>108</v>
      </c>
      <c r="E637" s="3" t="s">
        <v>27</v>
      </c>
      <c r="F637" s="3" t="s">
        <v>15</v>
      </c>
      <c r="G637" s="3" t="s">
        <v>969</v>
      </c>
      <c r="H637" s="3" t="s">
        <v>378</v>
      </c>
      <c r="I637" s="3" t="str">
        <f>IFERROR(__xludf.DUMMYFUNCTION("GOOGLETRANSLATE(C637,""fr"",""en"")"),"Very good insurer, with excellent guarantees, by the way the price of insurance remains very high. Too bad the price is so high. Otherwise I recommend this insurer.")</f>
        <v>Very good insurer, with excellent guarantees, by the way the price of insurance remains very high. Too bad the price is so high. Otherwise I recommend this insurer.</v>
      </c>
    </row>
    <row r="638" ht="15.75" customHeight="1">
      <c r="A638" s="3">
        <v>5.0</v>
      </c>
      <c r="B638" s="3" t="s">
        <v>1822</v>
      </c>
      <c r="C638" s="3" t="s">
        <v>1823</v>
      </c>
      <c r="D638" s="3" t="s">
        <v>80</v>
      </c>
      <c r="E638" s="3" t="s">
        <v>81</v>
      </c>
      <c r="F638" s="3" t="s">
        <v>15</v>
      </c>
      <c r="G638" s="3" t="s">
        <v>1797</v>
      </c>
      <c r="H638" s="3" t="s">
        <v>50</v>
      </c>
      <c r="I638" s="3" t="str">
        <f>IFERROR(__xludf.DUMMYFUNCTION("GOOGLETRANSLATE(C638,""fr"",""en"")"),"Satisfied with the quality of service and responsiveness very easy, and affordable to the novice on the Internet, I recommend this insurance for its price quality and services.
")</f>
        <v>Satisfied with the quality of service and responsiveness very easy, and affordable to the novice on the Internet, I recommend this insurance for its price quality and services.
</v>
      </c>
    </row>
    <row r="639" ht="15.75" customHeight="1">
      <c r="A639" s="3">
        <v>2.0</v>
      </c>
      <c r="B639" s="3" t="s">
        <v>1824</v>
      </c>
      <c r="C639" s="3" t="s">
        <v>1825</v>
      </c>
      <c r="D639" s="3" t="s">
        <v>57</v>
      </c>
      <c r="E639" s="3" t="s">
        <v>14</v>
      </c>
      <c r="F639" s="3" t="s">
        <v>15</v>
      </c>
      <c r="G639" s="3" t="s">
        <v>1826</v>
      </c>
      <c r="H639" s="3" t="s">
        <v>428</v>
      </c>
      <c r="I639" s="3" t="str">
        <f>IFERROR(__xludf.DUMMYFUNCTION("GOOGLETRANSLATE(C639,""fr"",""en"")"),"The only way to see clearly is to call an advisor (erely) by phone.
I get lost between the health insurance fund, the mutual, Amélie and Santéclair ... and the MGP site, even in the private part dedicated to me, does not explain anything.
Ex: my dentist"&amp;", Healthclair partner, addressed it for a request for acceptance of quotes; I did not know that I had nothing to do - and above all, it was not mentioned on the MGP site. Progress is complication!
")</f>
        <v>The only way to see clearly is to call an advisor (erely) by phone.
I get lost between the health insurance fund, the mutual, Amélie and Santéclair ... and the MGP site, even in the private part dedicated to me, does not explain anything.
Ex: my dentist, Healthclair partner, addressed it for a request for acceptance of quotes; I did not know that I had nothing to do - and above all, it was not mentioned on the MGP site. Progress is complication!
</v>
      </c>
    </row>
    <row r="640" ht="15.75" customHeight="1">
      <c r="A640" s="3">
        <v>1.0</v>
      </c>
      <c r="B640" s="3" t="s">
        <v>1827</v>
      </c>
      <c r="C640" s="3" t="s">
        <v>1828</v>
      </c>
      <c r="D640" s="3" t="s">
        <v>53</v>
      </c>
      <c r="E640" s="3" t="s">
        <v>27</v>
      </c>
      <c r="F640" s="3" t="s">
        <v>15</v>
      </c>
      <c r="G640" s="3" t="s">
        <v>258</v>
      </c>
      <c r="H640" s="3" t="s">
        <v>50</v>
      </c>
      <c r="I640" s="3" t="str">
        <f>IFERROR(__xludf.DUMMYFUNCTION("GOOGLETRANSLATE(C640,""fr"",""en"")"),"I am not satisfied with the service, I submitted a request via my personal space for a refund that I had to receive more than a year ago and I never had an answer! It is shameful! Very bad service!")</f>
        <v>I am not satisfied with the service, I submitted a request via my personal space for a refund that I had to receive more than a year ago and I never had an answer! It is shameful! Very bad service!</v>
      </c>
    </row>
    <row r="641" ht="15.75" customHeight="1">
      <c r="A641" s="3">
        <v>1.0</v>
      </c>
      <c r="B641" s="3" t="s">
        <v>1829</v>
      </c>
      <c r="C641" s="3" t="s">
        <v>1830</v>
      </c>
      <c r="D641" s="3" t="s">
        <v>37</v>
      </c>
      <c r="E641" s="3" t="s">
        <v>27</v>
      </c>
      <c r="F641" s="3" t="s">
        <v>15</v>
      </c>
      <c r="G641" s="3" t="s">
        <v>577</v>
      </c>
      <c r="H641" s="3" t="s">
        <v>72</v>
      </c>
      <c r="I641" s="3" t="str">
        <f>IFERROR(__xludf.DUMMYFUNCTION("GOOGLETRANSLATE(C641,""fr"",""en"")"),"Insurance to flee the non -existent hotline, management of inaccessible claims and under treating, botched expertise following disaster in natural disaster 5 months still not compensated vehicle already removed by the spavant")</f>
        <v>Insurance to flee the non -existent hotline, management of inaccessible claims and under treating, botched expertise following disaster in natural disaster 5 months still not compensated vehicle already removed by the spavant</v>
      </c>
    </row>
    <row r="642" ht="15.75" customHeight="1">
      <c r="A642" s="3">
        <v>4.0</v>
      </c>
      <c r="B642" s="3" t="s">
        <v>1831</v>
      </c>
      <c r="C642" s="3" t="s">
        <v>1832</v>
      </c>
      <c r="D642" s="3" t="s">
        <v>57</v>
      </c>
      <c r="E642" s="3" t="s">
        <v>14</v>
      </c>
      <c r="F642" s="3" t="s">
        <v>15</v>
      </c>
      <c r="G642" s="3" t="s">
        <v>1833</v>
      </c>
      <c r="H642" s="3" t="s">
        <v>513</v>
      </c>
      <c r="I642" s="3" t="str">
        <f>IFERROR(__xludf.DUMMYFUNCTION("GOOGLETRANSLATE(C642,""fr"",""en"")"),"Listening and very professional customer service.")</f>
        <v>Listening and very professional customer service.</v>
      </c>
    </row>
    <row r="643" ht="15.75" customHeight="1">
      <c r="A643" s="3">
        <v>5.0</v>
      </c>
      <c r="B643" s="3" t="s">
        <v>1834</v>
      </c>
      <c r="C643" s="3" t="s">
        <v>1835</v>
      </c>
      <c r="D643" s="3" t="s">
        <v>61</v>
      </c>
      <c r="E643" s="3" t="s">
        <v>14</v>
      </c>
      <c r="F643" s="3" t="s">
        <v>15</v>
      </c>
      <c r="G643" s="3" t="s">
        <v>1836</v>
      </c>
      <c r="H643" s="3" t="s">
        <v>34</v>
      </c>
      <c r="I643" s="3" t="str">
        <f>IFERROR(__xludf.DUMMYFUNCTION("GOOGLETRANSLATE(C643,""fr"",""en"")"),"My connection problem on the Monsantiane.fr customer site was solved by Sanoun. I am very satisfied: I thank him for his efficiency and his kindness.")</f>
        <v>My connection problem on the Monsantiane.fr customer site was solved by Sanoun. I am very satisfied: I thank him for his efficiency and his kindness.</v>
      </c>
    </row>
    <row r="644" ht="15.75" customHeight="1">
      <c r="A644" s="3">
        <v>4.0</v>
      </c>
      <c r="B644" s="3" t="s">
        <v>1837</v>
      </c>
      <c r="C644" s="3" t="s">
        <v>1838</v>
      </c>
      <c r="D644" s="3" t="s">
        <v>37</v>
      </c>
      <c r="E644" s="3" t="s">
        <v>27</v>
      </c>
      <c r="F644" s="3" t="s">
        <v>15</v>
      </c>
      <c r="G644" s="3" t="s">
        <v>1839</v>
      </c>
      <c r="H644" s="3" t="s">
        <v>614</v>
      </c>
      <c r="I644" s="3" t="str">
        <f>IFERROR(__xludf.DUMMYFUNCTION("GOOGLETRANSLATE(C644,""fr"",""en"")"),"Professionalism, understanding of files, speed of execution, identifiable interlocutor.")</f>
        <v>Professionalism, understanding of files, speed of execution, identifiable interlocutor.</v>
      </c>
    </row>
    <row r="645" ht="15.75" customHeight="1">
      <c r="A645" s="3">
        <v>4.0</v>
      </c>
      <c r="B645" s="3" t="s">
        <v>1840</v>
      </c>
      <c r="C645" s="3" t="s">
        <v>1841</v>
      </c>
      <c r="D645" s="3" t="s">
        <v>80</v>
      </c>
      <c r="E645" s="3" t="s">
        <v>81</v>
      </c>
      <c r="F645" s="3" t="s">
        <v>15</v>
      </c>
      <c r="G645" s="3" t="s">
        <v>1836</v>
      </c>
      <c r="H645" s="3" t="s">
        <v>34</v>
      </c>
      <c r="I645" s="3" t="str">
        <f>IFERROR(__xludf.DUMMYFUNCTION("GOOGLETRANSLATE(C645,""fr"",""en"")"),"I am already a customer, I continue with April Moto, the prices are suitable. Only downside a long wait to contact customer service. Cordially")</f>
        <v>I am already a customer, I continue with April Moto, the prices are suitable. Only downside a long wait to contact customer service. Cordially</v>
      </c>
    </row>
    <row r="646" ht="15.75" customHeight="1">
      <c r="A646" s="3">
        <v>4.0</v>
      </c>
      <c r="B646" s="3" t="s">
        <v>1842</v>
      </c>
      <c r="C646" s="3" t="s">
        <v>1843</v>
      </c>
      <c r="D646" s="3" t="s">
        <v>1151</v>
      </c>
      <c r="E646" s="3" t="s">
        <v>48</v>
      </c>
      <c r="F646" s="3" t="s">
        <v>15</v>
      </c>
      <c r="G646" s="3" t="s">
        <v>923</v>
      </c>
      <c r="H646" s="3" t="s">
        <v>428</v>
      </c>
      <c r="I646" s="3" t="str">
        <f>IFERROR(__xludf.DUMMYFUNCTION("GOOGLETRANSLATE(C646,""fr"",""en"")"),"Very efficient and responsive service.
Easy interface with a search browser that allows you to easily have the best prices according to your guarantees")</f>
        <v>Very efficient and responsive service.
Easy interface with a search browser that allows you to easily have the best prices according to your guarantees</v>
      </c>
    </row>
    <row r="647" ht="15.75" customHeight="1">
      <c r="A647" s="3">
        <v>1.0</v>
      </c>
      <c r="B647" s="3" t="s">
        <v>1844</v>
      </c>
      <c r="C647" s="3" t="s">
        <v>1845</v>
      </c>
      <c r="D647" s="3" t="s">
        <v>193</v>
      </c>
      <c r="E647" s="3" t="s">
        <v>14</v>
      </c>
      <c r="F647" s="3" t="s">
        <v>15</v>
      </c>
      <c r="G647" s="3" t="s">
        <v>1846</v>
      </c>
      <c r="H647" s="3" t="s">
        <v>169</v>
      </c>
      <c r="I647" s="3" t="str">
        <f>IFERROR(__xludf.DUMMYFUNCTION("GOOGLETRANSLATE(C647,""fr"",""en"")"),"After several requests for reimbursement for taxi fees incurred and provided the original of the ticket delivered by the taxi, the MGEN refused the rules sticking an invoice. On the ticket are noted all the elements of the invoice. Apparently the route do"&amp;"es not please their !!!! In good student I chose taxi and train to go to the clinic for the price of around 58 euros instead of 350 euros in VSL. For a refund of 40 euros I made 2 complaints and a trip to the agency !!! And it continues ... no dialogue. I"&amp;" formally advise against this insurance that lacks empathy and too bureaucratic and poor management.")</f>
        <v>After several requests for reimbursement for taxi fees incurred and provided the original of the ticket delivered by the taxi, the MGEN refused the rules sticking an invoice. On the ticket are noted all the elements of the invoice. Apparently the route does not please their !!!! In good student I chose taxi and train to go to the clinic for the price of around 58 euros instead of 350 euros in VSL. For a refund of 40 euros I made 2 complaints and a trip to the agency !!! And it continues ... no dialogue. I formally advise against this insurance that lacks empathy and too bureaucratic and poor management.</v>
      </c>
    </row>
    <row r="648" ht="15.75" customHeight="1">
      <c r="A648" s="3">
        <v>2.0</v>
      </c>
      <c r="B648" s="3" t="s">
        <v>1847</v>
      </c>
      <c r="C648" s="3" t="s">
        <v>1848</v>
      </c>
      <c r="D648" s="3" t="s">
        <v>131</v>
      </c>
      <c r="E648" s="3" t="s">
        <v>27</v>
      </c>
      <c r="F648" s="3" t="s">
        <v>15</v>
      </c>
      <c r="G648" s="3" t="s">
        <v>1328</v>
      </c>
      <c r="H648" s="3" t="s">
        <v>58</v>
      </c>
      <c r="I648" s="3" t="str">
        <f>IFERROR(__xludf.DUMMYFUNCTION("GOOGLETRANSLATE(C648,""fr"",""en"")"),"Hello Gentlemen,
After contacting my insurance to find out why they made no gesture following the COVVI-19 being a very faithful customer, (42 years with maximum bonus).
Their response was, we only do it for assets damage for retirees !!!.
I went on th"&amp;"e internet and I have savings for the same services. Loyalty unfortunately no longer makes sense today.")</f>
        <v>Hello Gentlemen,
After contacting my insurance to find out why they made no gesture following the COVVI-19 being a very faithful customer, (42 years with maximum bonus).
Their response was, we only do it for assets damage for retirees !!!.
I went on the internet and I have savings for the same services. Loyalty unfortunately no longer makes sense today.</v>
      </c>
    </row>
    <row r="649" ht="15.75" customHeight="1">
      <c r="A649" s="3">
        <v>3.0</v>
      </c>
      <c r="B649" s="3" t="s">
        <v>1849</v>
      </c>
      <c r="C649" s="3" t="s">
        <v>1850</v>
      </c>
      <c r="D649" s="3" t="s">
        <v>157</v>
      </c>
      <c r="E649" s="3" t="s">
        <v>14</v>
      </c>
      <c r="F649" s="3" t="s">
        <v>15</v>
      </c>
      <c r="G649" s="3" t="s">
        <v>1491</v>
      </c>
      <c r="H649" s="3" t="s">
        <v>72</v>
      </c>
      <c r="I649" s="3" t="str">
        <f>IFERROR(__xludf.DUMMYFUNCTION("GOOGLETRANSLATE(C649,""fr"",""en"")"),"Impossible to find on my space the detail of my guarantees! Wishing to know the number of osteopathy sessions that are reimbursed me in the year, I sent a message (because it is very difficult to contact them by phone). After a first answer, I returned an"&amp;"other email for an additional information and I received a different response from the first. The difficulty for obtaining clear and fast information is a brake to heal, I reject certain care because I know that it will be difficult to obtain precise info"&amp;"rmation from generation. It's too bad. Otherwise the reimbursements are made quickly.")</f>
        <v>Impossible to find on my space the detail of my guarantees! Wishing to know the number of osteopathy sessions that are reimbursed me in the year, I sent a message (because it is very difficult to contact them by phone). After a first answer, I returned another email for an additional information and I received a different response from the first. The difficulty for obtaining clear and fast information is a brake to heal, I reject certain care because I know that it will be difficult to obtain precise information from generation. It's too bad. Otherwise the reimbursements are made quickly.</v>
      </c>
    </row>
    <row r="650" ht="15.75" customHeight="1">
      <c r="A650" s="3">
        <v>2.0</v>
      </c>
      <c r="B650" s="3" t="s">
        <v>1851</v>
      </c>
      <c r="C650" s="3" t="s">
        <v>1852</v>
      </c>
      <c r="D650" s="3" t="s">
        <v>97</v>
      </c>
      <c r="E650" s="3" t="s">
        <v>81</v>
      </c>
      <c r="F650" s="3" t="s">
        <v>15</v>
      </c>
      <c r="G650" s="3" t="s">
        <v>1853</v>
      </c>
      <c r="H650" s="3" t="s">
        <v>1854</v>
      </c>
      <c r="I650" s="3" t="str">
        <f>IFERROR(__xludf.DUMMYFUNCTION("GOOGLETRANSLATE(C650,""fr"",""en"")"),"Following a non -responsible accident (my son came across a country road because of a tense thread across the road by a farmer to pass his cows) who arrived 9 months ago, AMV finally comes from Communicate to me a proposal from the opposing insurance comp"&amp;"any (given the dates on letters, it abuses severe ... By strongly advising me to accept an inappropriate proposal ... We feel that the goal is to move on , and yes it's lost time !!! We are waiting for our part rather advice going in the direction of the "&amp;"insured, a follow -up worthy of the name and especially not to have the impression of doing ch ... call !!
I had several vehicles insured at AMV, and I still have 2 motorcycles but not for long ...")</f>
        <v>Following a non -responsible accident (my son came across a country road because of a tense thread across the road by a farmer to pass his cows) who arrived 9 months ago, AMV finally comes from Communicate to me a proposal from the opposing insurance company (given the dates on letters, it abuses severe ... By strongly advising me to accept an inappropriate proposal ... We feel that the goal is to move on , and yes it's lost time !!! We are waiting for our part rather advice going in the direction of the insured, a follow -up worthy of the name and especially not to have the impression of doing ch ... call !!
I had several vehicles insured at AMV, and I still have 2 motorcycles but not for long ...</v>
      </c>
    </row>
    <row r="651" ht="15.75" customHeight="1">
      <c r="A651" s="3">
        <v>1.0</v>
      </c>
      <c r="B651" s="3" t="s">
        <v>1855</v>
      </c>
      <c r="C651" s="3" t="s">
        <v>1856</v>
      </c>
      <c r="D651" s="3" t="s">
        <v>373</v>
      </c>
      <c r="E651" s="3" t="s">
        <v>14</v>
      </c>
      <c r="F651" s="3" t="s">
        <v>15</v>
      </c>
      <c r="G651" s="3" t="s">
        <v>54</v>
      </c>
      <c r="H651" s="3" t="s">
        <v>23</v>
      </c>
      <c r="I651" s="3" t="str">
        <f>IFERROR(__xludf.DUMMYFUNCTION("GOOGLETRANSLATE(C651,""fr"",""en"")"),"The most absolute horror!
Unable to send the contributions due
However, it is not very complicated ...
Then overnight termination threats because non -payment
But how do you know it since they never sent what we owed to them?
Ubuesque!
Hours and h"&amp;"ours spent on the phone to have agents who take note but who can do nothing (simple ""mailbox"" but not decision -makers, so they ""use nothing"")
Do not respond to emails or letters
Total dehumanization
What the insurance world can do in worst
No c"&amp;"onsideration of the customer, no personalization
Mercer seems much more concerned with their profitability and shareholders
TO FLEE !!!!!!")</f>
        <v>The most absolute horror!
Unable to send the contributions due
However, it is not very complicated ...
Then overnight termination threats because non -payment
But how do you know it since they never sent what we owed to them?
Ubuesque!
Hours and hours spent on the phone to have agents who take note but who can do nothing (simple "mailbox" but not decision -makers, so they "use nothing")
Do not respond to emails or letters
Total dehumanization
What the insurance world can do in worst
No consideration of the customer, no personalization
Mercer seems much more concerned with their profitability and shareholders
TO FLEE !!!!!!</v>
      </c>
    </row>
    <row r="652" ht="15.75" customHeight="1">
      <c r="A652" s="3">
        <v>1.0</v>
      </c>
      <c r="B652" s="3" t="s">
        <v>1857</v>
      </c>
      <c r="C652" s="3" t="s">
        <v>1858</v>
      </c>
      <c r="D652" s="3" t="s">
        <v>53</v>
      </c>
      <c r="E652" s="3" t="s">
        <v>27</v>
      </c>
      <c r="F652" s="3" t="s">
        <v>15</v>
      </c>
      <c r="G652" s="3" t="s">
        <v>1182</v>
      </c>
      <c r="H652" s="3" t="s">
        <v>58</v>
      </c>
      <c r="I652" s="3" t="str">
        <f>IFERROR(__xludf.DUMMYFUNCTION("GOOGLETRANSLATE(C652,""fr"",""en"")"),"Increase in prices No discount, they drop the prices that for new sales, provided for 3 years. I will terminate direct insurance")</f>
        <v>Increase in prices No discount, they drop the prices that for new sales, provided for 3 years. I will terminate direct insurance</v>
      </c>
    </row>
    <row r="653" ht="15.75" customHeight="1">
      <c r="A653" s="3">
        <v>4.0</v>
      </c>
      <c r="B653" s="3" t="s">
        <v>1859</v>
      </c>
      <c r="C653" s="3" t="s">
        <v>1860</v>
      </c>
      <c r="D653" s="3" t="s">
        <v>247</v>
      </c>
      <c r="E653" s="3" t="s">
        <v>27</v>
      </c>
      <c r="F653" s="3" t="s">
        <v>15</v>
      </c>
      <c r="G653" s="3" t="s">
        <v>440</v>
      </c>
      <c r="H653" s="3" t="s">
        <v>428</v>
      </c>
      <c r="I653" s="3" t="str">
        <f>IFERROR(__xludf.DUMMYFUNCTION("GOOGLETRANSLATE(C653,""fr"",""en"")"),"2 bonus vehicles 50 in more than 30 years and a few clashes and winds this insurance remains correct in its management and reimbursements. On the price side they are in the strings with the groups recognized even often little less. However today we can be"&amp;" tempted by online promotions that are much cheaper, I start to think and are looking for information on the honesty of these new competitors ... It's not easy.")</f>
        <v>2 bonus vehicles 50 in more than 30 years and a few clashes and winds this insurance remains correct in its management and reimbursements. On the price side they are in the strings with the groups recognized even often little less. However today we can be tempted by online promotions that are much cheaper, I start to think and are looking for information on the honesty of these new competitors ... It's not easy.</v>
      </c>
    </row>
    <row r="654" ht="15.75" customHeight="1">
      <c r="A654" s="3">
        <v>2.0</v>
      </c>
      <c r="B654" s="3" t="s">
        <v>1861</v>
      </c>
      <c r="C654" s="3" t="s">
        <v>1862</v>
      </c>
      <c r="D654" s="3" t="s">
        <v>13</v>
      </c>
      <c r="E654" s="3" t="s">
        <v>14</v>
      </c>
      <c r="F654" s="3" t="s">
        <v>15</v>
      </c>
      <c r="G654" s="3" t="s">
        <v>1863</v>
      </c>
      <c r="H654" s="3" t="s">
        <v>1854</v>
      </c>
      <c r="I654" s="3" t="str">
        <f>IFERROR(__xludf.DUMMYFUNCTION("GOOGLETRANSLATE(C654,""fr"",""en"")"),"Néoliane Santé calls for canvassing via a DNA company, which called me despite my registration on Bloctel (blocking of telephone canvassing), and using muscular methods to convince the called to subscribe online compensation insurance following accident.")</f>
        <v>Néoliane Santé calls for canvassing via a DNA company, which called me despite my registration on Bloctel (blocking of telephone canvassing), and using muscular methods to convince the called to subscribe online compensation insurance following accident.</v>
      </c>
    </row>
    <row r="655" ht="15.75" customHeight="1">
      <c r="A655" s="3">
        <v>2.0</v>
      </c>
      <c r="B655" s="3" t="s">
        <v>1864</v>
      </c>
      <c r="C655" s="3" t="s">
        <v>1865</v>
      </c>
      <c r="D655" s="3" t="s">
        <v>247</v>
      </c>
      <c r="E655" s="3" t="s">
        <v>27</v>
      </c>
      <c r="F655" s="3" t="s">
        <v>15</v>
      </c>
      <c r="G655" s="3" t="s">
        <v>1866</v>
      </c>
      <c r="H655" s="3" t="s">
        <v>169</v>
      </c>
      <c r="I655" s="3" t="str">
        <f>IFERROR(__xludf.DUMMYFUNCTION("GOOGLETRANSLATE(C655,""fr"",""en"")"),"I have been driving for 30 years in co-sharing. I praise, borrow and share for social and ecological ethical concern of course.
I have certificates of the sharing platforms that attest to my driving without hitting any!
Today due to the distance from my"&amp;" work, I find myself in the obligation to ensure a personal car.
The Macif however displayed as an insurance concerned with ecological, social, collective values ​​refuses to recognize these years of driving and offers me young driver! I am 53 years old!"&amp;"!
In my next life, I will use a beautiful big 4/4 alone
In the meantime I am stunned by the inconsistency of the principles of this insurance which understood yet at the moment each and all had to make a pure effort the climate and the pollution, the en"&amp;"vironment
A good understanding
N above")</f>
        <v>I have been driving for 30 years in co-sharing. I praise, borrow and share for social and ecological ethical concern of course.
I have certificates of the sharing platforms that attest to my driving without hitting any!
Today due to the distance from my work, I find myself in the obligation to ensure a personal car.
The Macif however displayed as an insurance concerned with ecological, social, collective values ​​refuses to recognize these years of driving and offers me young driver! I am 53 years old!!
In my next life, I will use a beautiful big 4/4 alone
In the meantime I am stunned by the inconsistency of the principles of this insurance which understood yet at the moment each and all had to make a pure effort the climate and the pollution, the environment
A good understanding
N above</v>
      </c>
    </row>
    <row r="656" ht="15.75" customHeight="1">
      <c r="A656" s="3">
        <v>1.0</v>
      </c>
      <c r="B656" s="3" t="s">
        <v>1867</v>
      </c>
      <c r="C656" s="3" t="s">
        <v>1868</v>
      </c>
      <c r="D656" s="3" t="s">
        <v>53</v>
      </c>
      <c r="E656" s="3" t="s">
        <v>27</v>
      </c>
      <c r="F656" s="3" t="s">
        <v>15</v>
      </c>
      <c r="G656" s="3" t="s">
        <v>1869</v>
      </c>
      <c r="H656" s="3" t="s">
        <v>39</v>
      </c>
      <c r="I656" s="3" t="str">
        <f>IFERROR(__xludf.DUMMYFUNCTION("GOOGLETRANSLATE(C656,""fr"",""en"")"),"Unreachable insurance, my son is to get his car to be paved in a parking space, he is insured of all more responsible, he had a small 205 gr old but in very good direct mechanical condition assurance the estimate at 600 euros me me I would prefer that he "&amp;"finds another one similar near I wish them good luck with 600 euros, disgusted I think I will intervene by contacting a lawyer")</f>
        <v>Unreachable insurance, my son is to get his car to be paved in a parking space, he is insured of all more responsible, he had a small 205 gr old but in very good direct mechanical condition assurance the estimate at 600 euros me me I would prefer that he finds another one similar near I wish them good luck with 600 euros, disgusted I think I will intervene by contacting a lawyer</v>
      </c>
    </row>
    <row r="657" ht="15.75" customHeight="1">
      <c r="A657" s="3">
        <v>1.0</v>
      </c>
      <c r="B657" s="3" t="s">
        <v>1870</v>
      </c>
      <c r="C657" s="3" t="s">
        <v>1871</v>
      </c>
      <c r="D657" s="3" t="s">
        <v>228</v>
      </c>
      <c r="E657" s="3" t="s">
        <v>14</v>
      </c>
      <c r="F657" s="3" t="s">
        <v>15</v>
      </c>
      <c r="G657" s="3" t="s">
        <v>1872</v>
      </c>
      <c r="H657" s="3" t="s">
        <v>382</v>
      </c>
      <c r="I657" s="3" t="str">
        <f>IFERROR(__xludf.DUMMYFUNCTION("GOOGLETRANSLATE(C657,""fr"",""en"")"),"All our data is not protected! On July 14, 2020, an employee Ms. J.H who tried at the Bar Le Duc agency, it was allowed to be concealing that day in order to recover my spouse's email address in order to be able to insult us.
Having to report this act to"&amp;" his employer several resumption because on July 14 they do not work therefore easy enough to find the research carried out today nothing was done against this person. It is not at all reassuring to know who there can be detracting who can recover all our"&amp;" personal data and make it what he unfortunately want we do not have the choice to stay because it is the mutual of my employer . It is unacceptable!")</f>
        <v>All our data is not protected! On July 14, 2020, an employee Ms. J.H who tried at the Bar Le Duc agency, it was allowed to be concealing that day in order to recover my spouse's email address in order to be able to insult us.
Having to report this act to his employer several resumption because on July 14 they do not work therefore easy enough to find the research carried out today nothing was done against this person. It is not at all reassuring to know who there can be detracting who can recover all our personal data and make it what he unfortunately want we do not have the choice to stay because it is the mutual of my employer . It is unacceptable!</v>
      </c>
    </row>
    <row r="658" ht="15.75" customHeight="1">
      <c r="A658" s="3">
        <v>2.0</v>
      </c>
      <c r="B658" s="3" t="s">
        <v>1873</v>
      </c>
      <c r="C658" s="3" t="s">
        <v>1874</v>
      </c>
      <c r="D658" s="3" t="s">
        <v>61</v>
      </c>
      <c r="E658" s="3" t="s">
        <v>14</v>
      </c>
      <c r="F658" s="3" t="s">
        <v>15</v>
      </c>
      <c r="G658" s="3" t="s">
        <v>1875</v>
      </c>
      <c r="H658" s="3" t="s">
        <v>506</v>
      </c>
      <c r="I658" s="3" t="str">
        <f>IFERROR(__xludf.DUMMYFUNCTION("GOOGLETRANSLATE(C658,""fr"",""en"")"),"No repayment monitoring. Despite several reminders by email as well as on their online customer service, they do not answer at all and impossible to reach them on the phone. To avoid")</f>
        <v>No repayment monitoring. Despite several reminders by email as well as on their online customer service, they do not answer at all and impossible to reach them on the phone. To avoid</v>
      </c>
    </row>
    <row r="659" ht="15.75" customHeight="1">
      <c r="A659" s="3">
        <v>1.0</v>
      </c>
      <c r="B659" s="3" t="s">
        <v>1876</v>
      </c>
      <c r="C659" s="3" t="s">
        <v>1877</v>
      </c>
      <c r="D659" s="3" t="s">
        <v>137</v>
      </c>
      <c r="E659" s="3" t="s">
        <v>76</v>
      </c>
      <c r="F659" s="3" t="s">
        <v>15</v>
      </c>
      <c r="G659" s="3" t="s">
        <v>1878</v>
      </c>
      <c r="H659" s="3" t="s">
        <v>1854</v>
      </c>
      <c r="I659" s="3" t="str">
        <f>IFERROR(__xludf.DUMMYFUNCTION("GOOGLETRANSLATE(C659,""fr"",""en"")"),"An insurer one most expensive on the market, and one of the worst. You have to pay, but when there is unfortunately a claim this insurer tells you that you were not insured, for this particular damage because there was a obtion and of course with an addit"&amp;"ional cost")</f>
        <v>An insurer one most expensive on the market, and one of the worst. You have to pay, but when there is unfortunately a claim this insurer tells you that you were not insured, for this particular damage because there was a obtion and of course with an additional cost</v>
      </c>
    </row>
    <row r="660" ht="15.75" customHeight="1">
      <c r="A660" s="3">
        <v>1.0</v>
      </c>
      <c r="B660" s="3" t="s">
        <v>1879</v>
      </c>
      <c r="C660" s="3" t="s">
        <v>1880</v>
      </c>
      <c r="D660" s="3" t="s">
        <v>75</v>
      </c>
      <c r="E660" s="3" t="s">
        <v>109</v>
      </c>
      <c r="F660" s="3" t="s">
        <v>15</v>
      </c>
      <c r="G660" s="3" t="s">
        <v>1881</v>
      </c>
      <c r="H660" s="3" t="s">
        <v>1118</v>
      </c>
      <c r="I660" s="3" t="str">
        <f>IFERROR(__xludf.DUMMYFUNCTION("GOOGLETRANSLATE(C660,""fr"",""en"")"),"Deplorable customer service, no one responds to your email. It's been twice that I want to make a partial takeover on my account, expect to wait a long time before you have your money.
To make you repeat money there are no problems, however.
I advise "&amp;"to go to more competent insurers.")</f>
        <v>Deplorable customer service, no one responds to your email. It's been twice that I want to make a partial takeover on my account, expect to wait a long time before you have your money.
To make you repeat money there are no problems, however.
I advise to go to more competent insurers.</v>
      </c>
    </row>
    <row r="661" ht="15.75" customHeight="1">
      <c r="A661" s="3">
        <v>5.0</v>
      </c>
      <c r="B661" s="3" t="s">
        <v>1882</v>
      </c>
      <c r="C661" s="3" t="s">
        <v>1883</v>
      </c>
      <c r="D661" s="3" t="s">
        <v>53</v>
      </c>
      <c r="E661" s="3" t="s">
        <v>27</v>
      </c>
      <c r="F661" s="3" t="s">
        <v>15</v>
      </c>
      <c r="G661" s="3" t="s">
        <v>667</v>
      </c>
      <c r="H661" s="3" t="s">
        <v>99</v>
      </c>
      <c r="I661" s="3" t="str">
        <f>IFERROR(__xludf.DUMMYFUNCTION("GOOGLETRANSLATE(C661,""fr"",""en"")"),"The prices suit me, satisfied for the moment. I just subscribed to your insurance offer. I hope our contract will be done in a good term and condition. thank you")</f>
        <v>The prices suit me, satisfied for the moment. I just subscribed to your insurance offer. I hope our contract will be done in a good term and condition. thank you</v>
      </c>
    </row>
    <row r="662" ht="15.75" customHeight="1">
      <c r="A662" s="3">
        <v>3.0</v>
      </c>
      <c r="B662" s="3" t="s">
        <v>1884</v>
      </c>
      <c r="C662" s="3" t="s">
        <v>1885</v>
      </c>
      <c r="D662" s="3" t="s">
        <v>61</v>
      </c>
      <c r="E662" s="3" t="s">
        <v>14</v>
      </c>
      <c r="F662" s="3" t="s">
        <v>15</v>
      </c>
      <c r="G662" s="3" t="s">
        <v>1886</v>
      </c>
      <c r="H662" s="3" t="s">
        <v>347</v>
      </c>
      <c r="I662" s="3" t="str">
        <f>IFERROR(__xludf.DUMMYFUNCTION("GOOGLETRANSLATE(C662,""fr"",""en"")"),"Caroline is attentive, kind and attentive. It is very pleasant to be taken care of by such welcoming people. It ensures follow -up by specifying by note the important information to add to the file")</f>
        <v>Caroline is attentive, kind and attentive. It is very pleasant to be taken care of by such welcoming people. It ensures follow -up by specifying by note the important information to add to the file</v>
      </c>
    </row>
    <row r="663" ht="15.75" customHeight="1">
      <c r="A663" s="3">
        <v>1.0</v>
      </c>
      <c r="B663" s="3" t="s">
        <v>1887</v>
      </c>
      <c r="C663" s="3" t="s">
        <v>1888</v>
      </c>
      <c r="D663" s="3" t="s">
        <v>153</v>
      </c>
      <c r="E663" s="3" t="s">
        <v>81</v>
      </c>
      <c r="F663" s="3" t="s">
        <v>15</v>
      </c>
      <c r="G663" s="3" t="s">
        <v>1889</v>
      </c>
      <c r="H663" s="3" t="s">
        <v>50</v>
      </c>
      <c r="I663" s="3" t="str">
        <f>IFERROR(__xludf.DUMMYFUNCTION("GOOGLETRANSLATE(C663,""fr"",""en"")"),"Hello I am assuring the mutual of bikers for 2 years around and my subscription and 958 euros per year. Make a quote and it is therefore up to me to adjust the repair costs by being insured any risk.")</f>
        <v>Hello I am assuring the mutual of bikers for 2 years around and my subscription and 958 euros per year. Make a quote and it is therefore up to me to adjust the repair costs by being insured any risk.</v>
      </c>
    </row>
    <row r="664" ht="15.75" customHeight="1">
      <c r="A664" s="3">
        <v>3.0</v>
      </c>
      <c r="B664" s="3" t="s">
        <v>1890</v>
      </c>
      <c r="C664" s="3" t="s">
        <v>1891</v>
      </c>
      <c r="D664" s="3" t="s">
        <v>37</v>
      </c>
      <c r="E664" s="3" t="s">
        <v>27</v>
      </c>
      <c r="F664" s="3" t="s">
        <v>15</v>
      </c>
      <c r="G664" s="3" t="s">
        <v>1314</v>
      </c>
      <c r="H664" s="3" t="s">
        <v>29</v>
      </c>
      <c r="I664" s="3" t="str">
        <f>IFERROR(__xludf.DUMMYFUNCTION("GOOGLETRANSLATE(C664,""fr"",""en"")"),"I am satisfied with the price compared to the fifty and you were the fastest to react suddenly I am at home today for many years.")</f>
        <v>I am satisfied with the price compared to the fifty and you were the fastest to react suddenly I am at home today for many years.</v>
      </c>
    </row>
    <row r="665" ht="15.75" customHeight="1">
      <c r="A665" s="3">
        <v>1.0</v>
      </c>
      <c r="B665" s="3" t="s">
        <v>1892</v>
      </c>
      <c r="C665" s="3" t="s">
        <v>1893</v>
      </c>
      <c r="D665" s="3" t="s">
        <v>108</v>
      </c>
      <c r="E665" s="3" t="s">
        <v>27</v>
      </c>
      <c r="F665" s="3" t="s">
        <v>15</v>
      </c>
      <c r="G665" s="3" t="s">
        <v>1894</v>
      </c>
      <c r="H665" s="3" t="s">
        <v>347</v>
      </c>
      <c r="I665" s="3" t="str">
        <f>IFERROR(__xludf.DUMMYFUNCTION("GOOGLETRANSLATE(C665,""fr"",""en"")"),"After having a non -responsible claim in December 2018 We are in July and always in progress only an agent's answer of my agent you would have been in all risks would have been faster except that at third I already pay 92 euros for 2 drivers at 0.85 bonus"&amp;".
So I terminated my contract thanks to another insurance that took effect on July 7.
I have always been in direct debit except in June where they asked me to pay in CB 18.37 euros for the week of July. And big surprise on July 16 Deputy 92 euros
Respo"&amp;"nse from the agent we do not reimburse you anything because with this direct debit we are up to date.
But up to date what in addition why a CB in June and not a normal sample
So I go with an unresolved disaster or I sit on 2400 euros in repair and a mon"&amp;"thly payment of 92 euros.
Thank you Axa")</f>
        <v>After having a non -responsible claim in December 2018 We are in July and always in progress only an agent's answer of my agent you would have been in all risks would have been faster except that at third I already pay 92 euros for 2 drivers at 0.85 bonus.
So I terminated my contract thanks to another insurance that took effect on July 7.
I have always been in direct debit except in June where they asked me to pay in CB 18.37 euros for the week of July. And big surprise on July 16 Deputy 92 euros
Response from the agent we do not reimburse you anything because with this direct debit we are up to date.
But up to date what in addition why a CB in June and not a normal sample
So I go with an unresolved disaster or I sit on 2400 euros in repair and a monthly payment of 92 euros.
Thank you Axa</v>
      </c>
    </row>
    <row r="666" ht="15.75" customHeight="1">
      <c r="A666" s="3">
        <v>5.0</v>
      </c>
      <c r="B666" s="3" t="s">
        <v>1895</v>
      </c>
      <c r="C666" s="3" t="s">
        <v>1896</v>
      </c>
      <c r="D666" s="3" t="s">
        <v>653</v>
      </c>
      <c r="E666" s="3" t="s">
        <v>81</v>
      </c>
      <c r="F666" s="3" t="s">
        <v>15</v>
      </c>
      <c r="G666" s="3" t="s">
        <v>1897</v>
      </c>
      <c r="H666" s="3" t="s">
        <v>520</v>
      </c>
      <c r="I666" s="3" t="str">
        <f>IFERROR(__xludf.DUMMYFUNCTION("GOOGLETRANSLATE(C666,""fr"",""en"")"),"Super insurance, I changed my insurance with each of my motorcycles, but there I came across the right one.
In 2 minutes I signed up, 2 days later I received the green card. My interlocutor was adorable and professional.
And even after my little grip, t"&amp;"he care was super fast.
")</f>
        <v>Super insurance, I changed my insurance with each of my motorcycles, but there I came across the right one.
In 2 minutes I signed up, 2 days later I received the green card. My interlocutor was adorable and professional.
And even after my little grip, the care was super fast.
</v>
      </c>
    </row>
    <row r="667" ht="15.75" customHeight="1">
      <c r="A667" s="3">
        <v>1.0</v>
      </c>
      <c r="B667" s="3" t="s">
        <v>1898</v>
      </c>
      <c r="C667" s="3" t="s">
        <v>1899</v>
      </c>
      <c r="D667" s="3" t="s">
        <v>53</v>
      </c>
      <c r="E667" s="3" t="s">
        <v>27</v>
      </c>
      <c r="F667" s="3" t="s">
        <v>15</v>
      </c>
      <c r="G667" s="3" t="s">
        <v>1591</v>
      </c>
      <c r="H667" s="3" t="s">
        <v>17</v>
      </c>
      <c r="I667" s="3" t="str">
        <f>IFERROR(__xludf.DUMMYFUNCTION("GOOGLETRANSLATE(C667,""fr"",""en"")"),"The franchises are very high when comparing this insurer with other products for an equivalent price. For the price paid at the year it lacks services that other insurers offer. I find that I therefore pay for an insurance product very expensive without h"&amp;"aving the equivalence. The broken ice option is also to be reviewed because very high frankness comparing with other insurers")</f>
        <v>The franchises are very high when comparing this insurer with other products for an equivalent price. For the price paid at the year it lacks services that other insurers offer. I find that I therefore pay for an insurance product very expensive without having the equivalence. The broken ice option is also to be reviewed because very high frankness comparing with other insurers</v>
      </c>
    </row>
    <row r="668" ht="15.75" customHeight="1">
      <c r="A668" s="3">
        <v>5.0</v>
      </c>
      <c r="B668" s="3" t="s">
        <v>1900</v>
      </c>
      <c r="C668" s="3" t="s">
        <v>1901</v>
      </c>
      <c r="D668" s="3" t="s">
        <v>53</v>
      </c>
      <c r="E668" s="3" t="s">
        <v>27</v>
      </c>
      <c r="F668" s="3" t="s">
        <v>15</v>
      </c>
      <c r="G668" s="3" t="s">
        <v>58</v>
      </c>
      <c r="H668" s="3" t="s">
        <v>58</v>
      </c>
      <c r="I668" s="3" t="str">
        <f>IFERROR(__xludf.DUMMYFUNCTION("GOOGLETRANSLATE(C668,""fr"",""en"")"),"Very satiated with the reception, very pro and very pleasant advisor, let us hope that our collaboration will be long .............................. .........
")</f>
        <v>Very satiated with the reception, very pro and very pleasant advisor, let us hope that our collaboration will be long .............................. .........
</v>
      </c>
    </row>
    <row r="669" ht="15.75" customHeight="1">
      <c r="A669" s="3">
        <v>5.0</v>
      </c>
      <c r="B669" s="3" t="s">
        <v>1902</v>
      </c>
      <c r="C669" s="3" t="s">
        <v>1903</v>
      </c>
      <c r="D669" s="3" t="s">
        <v>37</v>
      </c>
      <c r="E669" s="3" t="s">
        <v>27</v>
      </c>
      <c r="F669" s="3" t="s">
        <v>15</v>
      </c>
      <c r="G669" s="3" t="s">
        <v>219</v>
      </c>
      <c r="H669" s="3" t="s">
        <v>99</v>
      </c>
      <c r="I669" s="3" t="str">
        <f>IFERROR(__xludf.DUMMYFUNCTION("GOOGLETRANSLATE(C669,""fr"",""en"")"),"I am satisfied, fast service, listening and looking for answers to the questions that have to ask. The personal space is super well done and easy to access.
")</f>
        <v>I am satisfied, fast service, listening and looking for answers to the questions that have to ask. The personal space is super well done and easy to access.
</v>
      </c>
    </row>
    <row r="670" ht="15.75" customHeight="1">
      <c r="A670" s="3">
        <v>1.0</v>
      </c>
      <c r="B670" s="3" t="s">
        <v>1904</v>
      </c>
      <c r="C670" s="3" t="s">
        <v>1905</v>
      </c>
      <c r="D670" s="3" t="s">
        <v>327</v>
      </c>
      <c r="E670" s="3" t="s">
        <v>76</v>
      </c>
      <c r="F670" s="3" t="s">
        <v>15</v>
      </c>
      <c r="G670" s="3" t="s">
        <v>1462</v>
      </c>
      <c r="H670" s="3" t="s">
        <v>604</v>
      </c>
      <c r="I670" s="3" t="str">
        <f>IFERROR(__xludf.DUMMYFUNCTION("GOOGLETRANSLATE(C670,""fr"",""en"")"),"Someone got into it, but I don't know who it is. Pacificaca did not reimburse me. And now to overcome everything, I pay more months more. In conclusion, I did nothing, I repair my car on my own when I am insured any risk, but I pay something more for this"&amp;" loss")</f>
        <v>Someone got into it, but I don't know who it is. Pacificaca did not reimburse me. And now to overcome everything, I pay more months more. In conclusion, I did nothing, I repair my car on my own when I am insured any risk, but I pay something more for this loss</v>
      </c>
    </row>
    <row r="671" ht="15.75" customHeight="1">
      <c r="A671" s="3">
        <v>3.0</v>
      </c>
      <c r="B671" s="3" t="s">
        <v>1906</v>
      </c>
      <c r="C671" s="3" t="s">
        <v>1907</v>
      </c>
      <c r="D671" s="3" t="s">
        <v>137</v>
      </c>
      <c r="E671" s="3" t="s">
        <v>76</v>
      </c>
      <c r="F671" s="3" t="s">
        <v>15</v>
      </c>
      <c r="G671" s="3" t="s">
        <v>1908</v>
      </c>
      <c r="H671" s="3" t="s">
        <v>69</v>
      </c>
      <c r="I671" s="3" t="str">
        <f>IFERROR(__xludf.DUMMYFUNCTION("GOOGLETRANSLATE(C671,""fr"",""en"")"),"After more than 40 years I plan to leave the maif and I start to go around the insurance!
Some offer special insurance for water leaks between house and meter but maif ... No!
For the moment leak repaired but if the pb persists the maif does not help!
"&amp;"Very disappointed because insurance is increasingly expensive!")</f>
        <v>After more than 40 years I plan to leave the maif and I start to go around the insurance!
Some offer special insurance for water leaks between house and meter but maif ... No!
For the moment leak repaired but if the pb persists the maif does not help!
Very disappointed because insurance is increasingly expensive!</v>
      </c>
    </row>
    <row r="672" ht="15.75" customHeight="1">
      <c r="A672" s="3">
        <v>3.0</v>
      </c>
      <c r="B672" s="3" t="s">
        <v>1909</v>
      </c>
      <c r="C672" s="3" t="s">
        <v>1910</v>
      </c>
      <c r="D672" s="3" t="s">
        <v>37</v>
      </c>
      <c r="E672" s="3" t="s">
        <v>27</v>
      </c>
      <c r="F672" s="3" t="s">
        <v>15</v>
      </c>
      <c r="G672" s="3" t="s">
        <v>1911</v>
      </c>
      <c r="H672" s="3" t="s">
        <v>58</v>
      </c>
      <c r="I672" s="3" t="str">
        <f>IFERROR(__xludf.DUMMYFUNCTION("GOOGLETRANSLATE(C672,""fr"",""en"")"),"Give more space for the requested documents, one plus if an advisor calls us to repeat the conditions and benefits of insurance. Yours")</f>
        <v>Give more space for the requested documents, one plus if an advisor calls us to repeat the conditions and benefits of insurance. Yours</v>
      </c>
    </row>
    <row r="673" ht="15.75" customHeight="1">
      <c r="A673" s="3">
        <v>1.0</v>
      </c>
      <c r="B673" s="3" t="s">
        <v>1912</v>
      </c>
      <c r="C673" s="3" t="s">
        <v>1913</v>
      </c>
      <c r="D673" s="3" t="s">
        <v>247</v>
      </c>
      <c r="E673" s="3" t="s">
        <v>76</v>
      </c>
      <c r="F673" s="3" t="s">
        <v>15</v>
      </c>
      <c r="G673" s="3" t="s">
        <v>1914</v>
      </c>
      <c r="H673" s="3" t="s">
        <v>262</v>
      </c>
      <c r="I673" s="3" t="str">
        <f>IFERROR(__xludf.DUMMYFUNCTION("GOOGLETRANSLATE(C673,""fr"",""en"")"),"Following water damage in the kitchen, the Macif refuses the care for the absence of 9 days instead of 8 max. But the house was under surveillance and control by our neighbors. Interior and exterior of the property. Setting mail, watering plants and garde"&amp;"n: vegetable garden, interior plants.
The water damage occurred on the 8th day !!!!
Insured at the Macif for 35 years car, home, civil liability. Health mutual guarantee since 01/01/2019. sinister 191056478")</f>
        <v>Following water damage in the kitchen, the Macif refuses the care for the absence of 9 days instead of 8 max. But the house was under surveillance and control by our neighbors. Interior and exterior of the property. Setting mail, watering plants and garden: vegetable garden, interior plants.
The water damage occurred on the 8th day !!!!
Insured at the Macif for 35 years car, home, civil liability. Health mutual guarantee since 01/01/2019. sinister 191056478</v>
      </c>
    </row>
    <row r="674" ht="15.75" customHeight="1">
      <c r="A674" s="3">
        <v>5.0</v>
      </c>
      <c r="B674" s="3" t="s">
        <v>1915</v>
      </c>
      <c r="C674" s="3" t="s">
        <v>1916</v>
      </c>
      <c r="D674" s="3" t="s">
        <v>37</v>
      </c>
      <c r="E674" s="3" t="s">
        <v>27</v>
      </c>
      <c r="F674" s="3" t="s">
        <v>15</v>
      </c>
      <c r="G674" s="3" t="s">
        <v>491</v>
      </c>
      <c r="H674" s="3" t="s">
        <v>58</v>
      </c>
      <c r="I674" s="3" t="str">
        <f>IFERROR(__xludf.DUMMYFUNCTION("GOOGLETRANSLATE(C674,""fr"",""en"")"),"Very attentive and always polished advisers. Being a young driver, I didn't think I would find insurance at such a price! I'm satisfied.")</f>
        <v>Very attentive and always polished advisers. Being a young driver, I didn't think I would find insurance at such a price! I'm satisfied.</v>
      </c>
    </row>
    <row r="675" ht="15.75" customHeight="1">
      <c r="A675" s="3">
        <v>4.0</v>
      </c>
      <c r="B675" s="3" t="s">
        <v>1917</v>
      </c>
      <c r="C675" s="3" t="s">
        <v>1918</v>
      </c>
      <c r="D675" s="3" t="s">
        <v>137</v>
      </c>
      <c r="E675" s="3" t="s">
        <v>27</v>
      </c>
      <c r="F675" s="3" t="s">
        <v>15</v>
      </c>
      <c r="G675" s="3" t="s">
        <v>1919</v>
      </c>
      <c r="H675" s="3" t="s">
        <v>266</v>
      </c>
      <c r="I675" s="3" t="str">
        <f>IFERROR(__xludf.DUMMYFUNCTION("GOOGLETRANSLATE(C675,""fr"",""en"")"),"Hello
I have been insured Maif since 1997. Never had problems.
Very serious customer service.
The guarantees are correct and the prices are reasonable.
Several real estate and two vehicles insured, I am completely satisfied by the contracts.")</f>
        <v>Hello
I have been insured Maif since 1997. Never had problems.
Very serious customer service.
The guarantees are correct and the prices are reasonable.
Several real estate and two vehicles insured, I am completely satisfied by the contracts.</v>
      </c>
    </row>
    <row r="676" ht="15.75" customHeight="1">
      <c r="A676" s="3">
        <v>1.0</v>
      </c>
      <c r="B676" s="3" t="s">
        <v>1920</v>
      </c>
      <c r="C676" s="3" t="s">
        <v>1921</v>
      </c>
      <c r="D676" s="3" t="s">
        <v>670</v>
      </c>
      <c r="E676" s="3" t="s">
        <v>27</v>
      </c>
      <c r="F676" s="3" t="s">
        <v>15</v>
      </c>
      <c r="G676" s="3" t="s">
        <v>1922</v>
      </c>
      <c r="H676" s="3" t="s">
        <v>672</v>
      </c>
      <c r="I676" s="3" t="str">
        <f>IFERROR(__xludf.DUMMYFUNCTION("GOOGLETRANSLATE(C676,""fr"",""en"")"),"A member for 3 years, I receive a letter terminating my car insurance without other explanations. Unable to reach customer service to find out why. In the end it turns out that my windshield repaired 2 times in 3 years (and yes, we ride in Ile de France b"&amp;"etween trucks and trucks ... This kind of thing can happen !!) plus a responsible accident cost my contract! During my call to have my windshield repaired, nobody ever told me what I was risking, if I had known, I would have repaired my windshield at my e"&amp;"xpense!")</f>
        <v>A member for 3 years, I receive a letter terminating my car insurance without other explanations. Unable to reach customer service to find out why. In the end it turns out that my windshield repaired 2 times in 3 years (and yes, we ride in Ile de France between trucks and trucks ... This kind of thing can happen !!) plus a responsible accident cost my contract! During my call to have my windshield repaired, nobody ever told me what I was risking, if I had known, I would have repaired my windshield at my expense!</v>
      </c>
    </row>
    <row r="677" ht="15.75" customHeight="1">
      <c r="A677" s="3">
        <v>1.0</v>
      </c>
      <c r="B677" s="3" t="s">
        <v>1923</v>
      </c>
      <c r="C677" s="3" t="s">
        <v>1924</v>
      </c>
      <c r="D677" s="3" t="s">
        <v>53</v>
      </c>
      <c r="E677" s="3" t="s">
        <v>27</v>
      </c>
      <c r="F677" s="3" t="s">
        <v>15</v>
      </c>
      <c r="G677" s="3" t="s">
        <v>688</v>
      </c>
      <c r="H677" s="3" t="s">
        <v>50</v>
      </c>
      <c r="I677" s="3" t="str">
        <f>IFERROR(__xludf.DUMMYFUNCTION("GOOGLETRANSLATE(C677,""fr"",""en"")"),"To flee ! Do not take the serenity pack completely useless in the event of a problem. My car has undergone a flight attempt on 07/8/21 and since that date I spend my time running after direct insurance to have a loan vehicle. Primo, the vehicle is only """&amp;"during the duration of repairs"", so you have to wait until the expert passes, ok be my fault of not reading the contract. But now that everything is ok, as the partner garage does not have a loan vehicle, the best solution that direct-assurance offers me"&amp;" is a ""commercial gesture"" of € 100 + 15% reduction at Hertz to rent a vehicle ! (for info 1 week at Hertz it's € 500 on average for a vehicle A) And otherwise it is € 10 compensation per day.
Inadmissible! Nearly 1000 € of insurance per year at all "&amp;"risk with serenity pack to find myself without anything and also pay a variable deductible up to € 816 for repairs. If the prices were competitive but it is no longer the case.
I do not intend to stop there with them
(For vehicle info 308 GT Line 12"&amp;"0cv Eat6)")</f>
        <v>To flee ! Do not take the serenity pack completely useless in the event of a problem. My car has undergone a flight attempt on 07/8/21 and since that date I spend my time running after direct insurance to have a loan vehicle. Primo, the vehicle is only "during the duration of repairs", so you have to wait until the expert passes, ok be my fault of not reading the contract. But now that everything is ok, as the partner garage does not have a loan vehicle, the best solution that direct-assurance offers me is a "commercial gesture" of € 100 + 15% reduction at Hertz to rent a vehicle ! (for info 1 week at Hertz it's € 500 on average for a vehicle A) And otherwise it is € 10 compensation per day.
Inadmissible! Nearly 1000 € of insurance per year at all risk with serenity pack to find myself without anything and also pay a variable deductible up to € 816 for repairs. If the prices were competitive but it is no longer the case.
I do not intend to stop there with them
(For vehicle info 308 GT Line 120cv Eat6)</v>
      </c>
    </row>
    <row r="678" ht="15.75" customHeight="1">
      <c r="A678" s="3">
        <v>3.0</v>
      </c>
      <c r="B678" s="3" t="s">
        <v>1925</v>
      </c>
      <c r="C678" s="3" t="s">
        <v>1926</v>
      </c>
      <c r="D678" s="3" t="s">
        <v>26</v>
      </c>
      <c r="E678" s="3" t="s">
        <v>27</v>
      </c>
      <c r="F678" s="3" t="s">
        <v>15</v>
      </c>
      <c r="G678" s="3" t="s">
        <v>855</v>
      </c>
      <c r="H678" s="3" t="s">
        <v>50</v>
      </c>
      <c r="I678" s="3" t="str">
        <f>IFERROR(__xludf.DUMMYFUNCTION("GOOGLETRANSLATE(C678,""fr"",""en"")"),"I am satisfied with the service and prices related to the level of coverage of the guarantees subscribed. I can recommend GMF for its insurance contracts adapted to needs.")</f>
        <v>I am satisfied with the service and prices related to the level of coverage of the guarantees subscribed. I can recommend GMF for its insurance contracts adapted to needs.</v>
      </c>
    </row>
    <row r="679" ht="15.75" customHeight="1">
      <c r="A679" s="3">
        <v>4.0</v>
      </c>
      <c r="B679" s="3" t="s">
        <v>1927</v>
      </c>
      <c r="C679" s="3" t="s">
        <v>1928</v>
      </c>
      <c r="D679" s="3" t="s">
        <v>53</v>
      </c>
      <c r="E679" s="3" t="s">
        <v>27</v>
      </c>
      <c r="F679" s="3" t="s">
        <v>15</v>
      </c>
      <c r="G679" s="3" t="s">
        <v>1426</v>
      </c>
      <c r="H679" s="3" t="s">
        <v>99</v>
      </c>
      <c r="I679" s="3" t="str">
        <f>IFERROR(__xludf.DUMMYFUNCTION("GOOGLETRANSLATE(C679,""fr"",""en"")"),"The subscription is simple and quick, the prices are well placed in relation to the guarantees offered.
For the moment I recommend direct insurance.")</f>
        <v>The subscription is simple and quick, the prices are well placed in relation to the guarantees offered.
For the moment I recommend direct insurance.</v>
      </c>
    </row>
    <row r="680" ht="15.75" customHeight="1">
      <c r="A680" s="3">
        <v>1.0</v>
      </c>
      <c r="B680" s="3" t="s">
        <v>1929</v>
      </c>
      <c r="C680" s="3" t="s">
        <v>1930</v>
      </c>
      <c r="D680" s="3" t="s">
        <v>341</v>
      </c>
      <c r="E680" s="3" t="s">
        <v>805</v>
      </c>
      <c r="F680" s="3" t="s">
        <v>15</v>
      </c>
      <c r="G680" s="3" t="s">
        <v>1931</v>
      </c>
      <c r="H680" s="3" t="s">
        <v>205</v>
      </c>
      <c r="I680" s="3" t="str">
        <f>IFERROR(__xludf.DUMMYFUNCTION("GOOGLETRANSLATE(C680,""fr"",""en"")"),"Despite a registered letter received by the insurer with proof that my dog ​​died two months ago. I continue to be taken almost 50 euros per month. Not a penny of reimbursed in 5 years of insurance. And now I have to continue to pay despite the death of m"&amp;"y dog! It's disgusting.")</f>
        <v>Despite a registered letter received by the insurer with proof that my dog ​​died two months ago. I continue to be taken almost 50 euros per month. Not a penny of reimbursed in 5 years of insurance. And now I have to continue to pay despite the death of my dog! It's disgusting.</v>
      </c>
    </row>
    <row r="681" ht="15.75" customHeight="1">
      <c r="A681" s="3">
        <v>4.0</v>
      </c>
      <c r="B681" s="3" t="s">
        <v>1932</v>
      </c>
      <c r="C681" s="3" t="s">
        <v>1933</v>
      </c>
      <c r="D681" s="3" t="s">
        <v>37</v>
      </c>
      <c r="E681" s="3" t="s">
        <v>27</v>
      </c>
      <c r="F681" s="3" t="s">
        <v>15</v>
      </c>
      <c r="G681" s="3" t="s">
        <v>713</v>
      </c>
      <c r="H681" s="3" t="s">
        <v>29</v>
      </c>
      <c r="I681" s="3" t="str">
        <f>IFERROR(__xludf.DUMMYFUNCTION("GOOGLETRANSLATE(C681,""fr"",""en"")"),"I am satisfied with the 1st contact with the salesperson The contract has arrived very quickly and the customer relationship is very good I will recommend this insurance")</f>
        <v>I am satisfied with the 1st contact with the salesperson The contract has arrived very quickly and the customer relationship is very good I will recommend this insurance</v>
      </c>
    </row>
    <row r="682" ht="15.75" customHeight="1">
      <c r="A682" s="3">
        <v>5.0</v>
      </c>
      <c r="B682" s="3" t="s">
        <v>1934</v>
      </c>
      <c r="C682" s="3" t="s">
        <v>1935</v>
      </c>
      <c r="D682" s="3" t="s">
        <v>37</v>
      </c>
      <c r="E682" s="3" t="s">
        <v>27</v>
      </c>
      <c r="F682" s="3" t="s">
        <v>15</v>
      </c>
      <c r="G682" s="3" t="s">
        <v>1936</v>
      </c>
      <c r="H682" s="3" t="s">
        <v>34</v>
      </c>
      <c r="I682" s="3" t="str">
        <f>IFERROR(__xludf.DUMMYFUNCTION("GOOGLETRANSLATE(C682,""fr"",""en"")"),"I am satisfied with the price and the service provided by the Auto Insurance Olivier. Small problems encountered on the site (bug) but otherwise everything works correctly and it's fast.")</f>
        <v>I am satisfied with the price and the service provided by the Auto Insurance Olivier. Small problems encountered on the site (bug) but otherwise everything works correctly and it's fast.</v>
      </c>
    </row>
    <row r="683" ht="15.75" customHeight="1">
      <c r="A683" s="3">
        <v>2.0</v>
      </c>
      <c r="B683" s="3" t="s">
        <v>1937</v>
      </c>
      <c r="C683" s="3" t="s">
        <v>1938</v>
      </c>
      <c r="D683" s="3" t="s">
        <v>341</v>
      </c>
      <c r="E683" s="3" t="s">
        <v>76</v>
      </c>
      <c r="F683" s="3" t="s">
        <v>15</v>
      </c>
      <c r="G683" s="3" t="s">
        <v>162</v>
      </c>
      <c r="H683" s="3" t="s">
        <v>90</v>
      </c>
      <c r="I683" s="3" t="str">
        <f>IFERROR(__xludf.DUMMYFUNCTION("GOOGLETRANSLATE(C683,""fr"",""en"")"),"Negligence of my Crédit Mutuel agency is at the origin of a dispute on my legal insurance linked to home insurance")</f>
        <v>Negligence of my Crédit Mutuel agency is at the origin of a dispute on my legal insurance linked to home insurance</v>
      </c>
    </row>
    <row r="684" ht="15.75" customHeight="1">
      <c r="A684" s="3">
        <v>3.0</v>
      </c>
      <c r="B684" s="3" t="s">
        <v>1939</v>
      </c>
      <c r="C684" s="3" t="s">
        <v>1940</v>
      </c>
      <c r="D684" s="3" t="s">
        <v>37</v>
      </c>
      <c r="E684" s="3" t="s">
        <v>27</v>
      </c>
      <c r="F684" s="3" t="s">
        <v>15</v>
      </c>
      <c r="G684" s="3" t="s">
        <v>685</v>
      </c>
      <c r="H684" s="3" t="s">
        <v>17</v>
      </c>
      <c r="I684" s="3" t="str">
        <f>IFERROR(__xludf.DUMMYFUNCTION("GOOGLETRANSLATE(C684,""fr"",""en"")"),"I’m discovering oliveir that day. BNS tips and good listening.
It is up to Oliveira to convince me to bring and sponsor.")</f>
        <v>I’m discovering oliveir that day. BNS tips and good listening.
It is up to Oliveira to convince me to bring and sponsor.</v>
      </c>
    </row>
    <row r="685" ht="15.75" customHeight="1">
      <c r="A685" s="3">
        <v>1.0</v>
      </c>
      <c r="B685" s="3" t="s">
        <v>1941</v>
      </c>
      <c r="C685" s="3" t="s">
        <v>1942</v>
      </c>
      <c r="D685" s="3" t="s">
        <v>193</v>
      </c>
      <c r="E685" s="3" t="s">
        <v>14</v>
      </c>
      <c r="F685" s="3" t="s">
        <v>15</v>
      </c>
      <c r="G685" s="3" t="s">
        <v>1943</v>
      </c>
      <c r="H685" s="3" t="s">
        <v>34</v>
      </c>
      <c r="I685" s="3" t="str">
        <f>IFERROR(__xludf.DUMMYFUNCTION("GOOGLETRANSLATE(C685,""fr"",""en"")"),"contributions have continued to increase the services; MGEN has become expensive and too much related to Social Security Example no refund for periodontics")</f>
        <v>contributions have continued to increase the services; MGEN has become expensive and too much related to Social Security Example no refund for periodontics</v>
      </c>
    </row>
    <row r="686" ht="15.75" customHeight="1">
      <c r="A686" s="3">
        <v>2.0</v>
      </c>
      <c r="B686" s="3" t="s">
        <v>1944</v>
      </c>
      <c r="C686" s="3" t="s">
        <v>1945</v>
      </c>
      <c r="D686" s="3" t="s">
        <v>26</v>
      </c>
      <c r="E686" s="3" t="s">
        <v>27</v>
      </c>
      <c r="F686" s="3" t="s">
        <v>15</v>
      </c>
      <c r="G686" s="3" t="s">
        <v>1946</v>
      </c>
      <c r="H686" s="3" t="s">
        <v>655</v>
      </c>
      <c r="I686" s="3" t="str">
        <f>IFERROR(__xludf.DUMMYFUNCTION("GOOGLETRANSLATE(C686,""fr"",""en"")"),"Retired civil servant and faithful of the GMF for 40 years, 2 vehicles, a house and the mutual, I think we can be well considered! At the end of November 2016 I praised my insurance to my step son who renews his vehicle and makes him an appointment at my "&amp;"agency in Montigny les Metz. Everything was fine on the phone but arrived in agency, cold reception, his proof of situation of the situation of the old insurance has not yet arrived because they drag their feet as many insurers that we want to leave but t"&amp;"he GMF agent Make him responsible, my step son shows his good faith on good driver's documents when the agent extricates him a paper relating to a loss past of 24 months to justify the impossibility of ensuring it (I add that the GMF agent does not Must n"&amp;"ot know how to read too well because the disaster was not at the wrongs of my step son), then when the latter announces that he came from me, a long -standing civil servant, his interlocutor notes him well that she 'Moque with always its same haughty and "&amp;"disdainful air. What bothers me is that I pay this person who visibly breaks the house that I approved and supported by my years of contributions. I am very disappointed and of course I will leave the GMF for all my contracts and change my discourt vis-à-"&amp;"vis my many knowledge. I already notice on the forums of good reliable solutions while the GMF is not really too rated. I feel that I will soon thank this woman for having created the click when I left. Goodbye the GMF, definitely everything fucks the cam"&amp;"p.")</f>
        <v>Retired civil servant and faithful of the GMF for 40 years, 2 vehicles, a house and the mutual, I think we can be well considered! At the end of November 2016 I praised my insurance to my step son who renews his vehicle and makes him an appointment at my agency in Montigny les Metz. Everything was fine on the phone but arrived in agency, cold reception, his proof of situation of the situation of the old insurance has not yet arrived because they drag their feet as many insurers that we want to leave but the GMF agent Make him responsible, my step son shows his good faith on good driver's documents when the agent extricates him a paper relating to a loss past of 24 months to justify the impossibility of ensuring it (I add that the GMF agent does not Must not know how to read too well because the disaster was not at the wrongs of my step son), then when the latter announces that he came from me, a long -standing civil servant, his interlocutor notes him well that she 'Moque with always its same haughty and disdainful air. What bothers me is that I pay this person who visibly breaks the house that I approved and supported by my years of contributions. I am very disappointed and of course I will leave the GMF for all my contracts and change my discourt vis-à-vis my many knowledge. I already notice on the forums of good reliable solutions while the GMF is not really too rated. I feel that I will soon thank this woman for having created the click when I left. Goodbye the GMF, definitely everything fucks the camp.</v>
      </c>
    </row>
    <row r="687" ht="15.75" customHeight="1">
      <c r="A687" s="3">
        <v>5.0</v>
      </c>
      <c r="B687" s="3" t="s">
        <v>1947</v>
      </c>
      <c r="C687" s="3" t="s">
        <v>1948</v>
      </c>
      <c r="D687" s="3" t="s">
        <v>53</v>
      </c>
      <c r="E687" s="3" t="s">
        <v>27</v>
      </c>
      <c r="F687" s="3" t="s">
        <v>15</v>
      </c>
      <c r="G687" s="3" t="s">
        <v>407</v>
      </c>
      <c r="H687" s="3" t="s">
        <v>58</v>
      </c>
      <c r="I687" s="3" t="str">
        <f>IFERROR(__xludf.DUMMYFUNCTION("GOOGLETRANSLATE(C687,""fr"",""en"")"),"I am very satisfied with the prices and services offered at Direct Insurance
Simplicity and efficiency
")</f>
        <v>I am very satisfied with the prices and services offered at Direct Insurance
Simplicity and efficiency
</v>
      </c>
    </row>
    <row r="688" ht="15.75" customHeight="1">
      <c r="A688" s="3">
        <v>1.0</v>
      </c>
      <c r="B688" s="3" t="s">
        <v>1949</v>
      </c>
      <c r="C688" s="3" t="s">
        <v>1950</v>
      </c>
      <c r="D688" s="3" t="s">
        <v>53</v>
      </c>
      <c r="E688" s="3" t="s">
        <v>27</v>
      </c>
      <c r="F688" s="3" t="s">
        <v>15</v>
      </c>
      <c r="G688" s="3" t="s">
        <v>1951</v>
      </c>
      <c r="H688" s="3" t="s">
        <v>733</v>
      </c>
      <c r="I688" s="3" t="str">
        <f>IFERROR(__xludf.DUMMYFUNCTION("GOOGLETRANSLATE(C688,""fr"",""en"")"),"Customer service never available. Not serious insurance. I do not recommend at all, I have two vehicles and I had an insured at home that I have just terminated. Their services are deplorable. Be careful because once you join customer service is a ghost. "&amp;"I found myself in a foreigner impossible to reach them for more than 6 hours. Deplorable. Send of recovery company when error on their part in too much paid on reimbursement. I warn them that I do not have a checkbook and await another way to make the pay"&amp;"ment, no news for months. Unscrupulous. They should be controlled by a competent and law body.")</f>
        <v>Customer service never available. Not serious insurance. I do not recommend at all, I have two vehicles and I had an insured at home that I have just terminated. Their services are deplorable. Be careful because once you join customer service is a ghost. I found myself in a foreigner impossible to reach them for more than 6 hours. Deplorable. Send of recovery company when error on their part in too much paid on reimbursement. I warn them that I do not have a checkbook and await another way to make the payment, no news for months. Unscrupulous. They should be controlled by a competent and law body.</v>
      </c>
    </row>
    <row r="689" ht="15.75" customHeight="1">
      <c r="A689" s="3">
        <v>1.0</v>
      </c>
      <c r="B689" s="3" t="s">
        <v>1952</v>
      </c>
      <c r="C689" s="3" t="s">
        <v>1953</v>
      </c>
      <c r="D689" s="3" t="s">
        <v>53</v>
      </c>
      <c r="E689" s="3" t="s">
        <v>27</v>
      </c>
      <c r="F689" s="3" t="s">
        <v>15</v>
      </c>
      <c r="G689" s="3" t="s">
        <v>1954</v>
      </c>
      <c r="H689" s="3" t="s">
        <v>44</v>
      </c>
      <c r="I689" s="3" t="str">
        <f>IFERROR(__xludf.DUMMYFUNCTION("GOOGLETRANSLATE(C689,""fr"",""en"")"),"I was determined to make a detailed comment, but ultimately it was a waste of time with Direct Insurance (or AXA Assurances). If you still hesitate, choose proximity insurance, not online insurance that quickly loses its empathy.")</f>
        <v>I was determined to make a detailed comment, but ultimately it was a waste of time with Direct Insurance (or AXA Assurances). If you still hesitate, choose proximity insurance, not online insurance that quickly loses its empathy.</v>
      </c>
    </row>
    <row r="690" ht="15.75" customHeight="1">
      <c r="A690" s="3">
        <v>4.0</v>
      </c>
      <c r="B690" s="3" t="s">
        <v>1955</v>
      </c>
      <c r="C690" s="3" t="s">
        <v>1956</v>
      </c>
      <c r="D690" s="3" t="s">
        <v>131</v>
      </c>
      <c r="E690" s="3" t="s">
        <v>27</v>
      </c>
      <c r="F690" s="3" t="s">
        <v>15</v>
      </c>
      <c r="G690" s="3" t="s">
        <v>1957</v>
      </c>
      <c r="H690" s="3" t="s">
        <v>159</v>
      </c>
      <c r="I690" s="3" t="str">
        <f>IFERROR(__xludf.DUMMYFUNCTION("GOOGLETRANSLATE(C690,""fr"",""en"")"),"Very good safe and efficient company reactive
I just had the Vannes agency for an amendment: very courteous and professional welcome
Efficiency and seriousness
I highly recommend")</f>
        <v>Very good safe and efficient company reactive
I just had the Vannes agency for an amendment: very courteous and professional welcome
Efficiency and seriousness
I highly recommend</v>
      </c>
    </row>
    <row r="691" ht="15.75" customHeight="1">
      <c r="A691" s="3">
        <v>1.0</v>
      </c>
      <c r="B691" s="3" t="s">
        <v>1958</v>
      </c>
      <c r="C691" s="3" t="s">
        <v>1959</v>
      </c>
      <c r="D691" s="3" t="s">
        <v>65</v>
      </c>
      <c r="E691" s="3" t="s">
        <v>14</v>
      </c>
      <c r="F691" s="3" t="s">
        <v>15</v>
      </c>
      <c r="G691" s="3" t="s">
        <v>1960</v>
      </c>
      <c r="H691" s="3" t="s">
        <v>72</v>
      </c>
      <c r="I691" s="3" t="str">
        <f>IFERROR(__xludf.DUMMYFUNCTION("GOOGLETRANSLATE(C691,""fr"",""en"")"),"I have been assured of this mutual since January 2021 and it is a disaster. You have to wait more than two months to obtain a refund. I am 71 years old and I have never seen this, really I regret having joined Cegema. Jean Jacques Ameline Lyon 3")</f>
        <v>I have been assured of this mutual since January 2021 and it is a disaster. You have to wait more than two months to obtain a refund. I am 71 years old and I have never seen this, really I regret having joined Cegema. Jean Jacques Ameline Lyon 3</v>
      </c>
    </row>
    <row r="692" ht="15.75" customHeight="1">
      <c r="A692" s="3">
        <v>2.0</v>
      </c>
      <c r="B692" s="3" t="s">
        <v>1961</v>
      </c>
      <c r="C692" s="3" t="s">
        <v>1962</v>
      </c>
      <c r="D692" s="3" t="s">
        <v>75</v>
      </c>
      <c r="E692" s="3" t="s">
        <v>27</v>
      </c>
      <c r="F692" s="3" t="s">
        <v>15</v>
      </c>
      <c r="G692" s="3" t="s">
        <v>1963</v>
      </c>
      <c r="H692" s="3" t="s">
        <v>169</v>
      </c>
      <c r="I692" s="3" t="str">
        <f>IFERROR(__xludf.DUMMYFUNCTION("GOOGLETRANSLATE(C692,""fr"",""en"")"),"What disappointment when you receive the opinion for the 2nd year ...
Near 20% increase
The price indicated by the phone advisor when making contact initially was attractive. The contract received was in accordance with the offer made. However, there wa"&amp;"s a small indication which specified a tariff advantage granted for the 1st year, without however indicating the amount or the %.")</f>
        <v>What disappointment when you receive the opinion for the 2nd year ...
Near 20% increase
The price indicated by the phone advisor when making contact initially was attractive. The contract received was in accordance with the offer made. However, there was a small indication which specified a tariff advantage granted for the 1st year, without however indicating the amount or the %.</v>
      </c>
    </row>
    <row r="693" ht="15.75" customHeight="1">
      <c r="A693" s="3">
        <v>2.0</v>
      </c>
      <c r="B693" s="3" t="s">
        <v>1964</v>
      </c>
      <c r="C693" s="3" t="s">
        <v>1965</v>
      </c>
      <c r="D693" s="3" t="s">
        <v>1966</v>
      </c>
      <c r="E693" s="3" t="s">
        <v>81</v>
      </c>
      <c r="F693" s="3" t="s">
        <v>15</v>
      </c>
      <c r="G693" s="3" t="s">
        <v>1967</v>
      </c>
      <c r="H693" s="3" t="s">
        <v>1968</v>
      </c>
      <c r="I693" s="3" t="str">
        <f>IFERROR(__xludf.DUMMYFUNCTION("GOOGLETRANSLATE(C693,""fr"",""en"")"),"We are announcing a price and once about to close the file, you are requested exorbitant management fees. We also tell you an SRA anti -theft, I buy the anti -theft in question and it does not go, you need a wheel block or a chain. Why not specify it ????"&amp;"???")</f>
        <v>We are announcing a price and once about to close the file, you are requested exorbitant management fees. We also tell you an SRA anti -theft, I buy the anti -theft in question and it does not go, you need a wheel block or a chain. Why not specify it ???????</v>
      </c>
    </row>
    <row r="694" ht="15.75" customHeight="1">
      <c r="A694" s="3">
        <v>1.0</v>
      </c>
      <c r="B694" s="3" t="s">
        <v>1969</v>
      </c>
      <c r="C694" s="3" t="s">
        <v>1970</v>
      </c>
      <c r="D694" s="3" t="s">
        <v>188</v>
      </c>
      <c r="E694" s="3" t="s">
        <v>48</v>
      </c>
      <c r="F694" s="3" t="s">
        <v>15</v>
      </c>
      <c r="G694" s="3" t="s">
        <v>1317</v>
      </c>
      <c r="H694" s="3" t="s">
        <v>99</v>
      </c>
      <c r="I694" s="3" t="str">
        <f>IFERROR(__xludf.DUMMYFUNCTION("GOOGLETRANSLATE(C694,""fr"",""en"")"),"To flee urgently, I was asked for the original of a good for a takeover that I sent and today I am told that I have sent a photocopy, he denies everything to give me the money")</f>
        <v>To flee urgently, I was asked for the original of a good for a takeover that I sent and today I am told that I have sent a photocopy, he denies everything to give me the money</v>
      </c>
    </row>
    <row r="695" ht="15.75" customHeight="1">
      <c r="A695" s="3">
        <v>3.0</v>
      </c>
      <c r="B695" s="3" t="s">
        <v>1971</v>
      </c>
      <c r="C695" s="3" t="s">
        <v>1972</v>
      </c>
      <c r="D695" s="3" t="s">
        <v>61</v>
      </c>
      <c r="E695" s="3" t="s">
        <v>14</v>
      </c>
      <c r="F695" s="3" t="s">
        <v>15</v>
      </c>
      <c r="G695" s="3" t="s">
        <v>1973</v>
      </c>
      <c r="H695" s="3" t="s">
        <v>316</v>
      </c>
      <c r="I695" s="3" t="str">
        <f>IFERROR(__xludf.DUMMYFUNCTION("GOOGLETRANSLATE(C695,""fr"",""en"")"),"Welcome, clear answers, available, pleasant interlocutor, listening, ready to answer the questions we ask,")</f>
        <v>Welcome, clear answers, available, pleasant interlocutor, listening, ready to answer the questions we ask,</v>
      </c>
    </row>
    <row r="696" ht="15.75" customHeight="1">
      <c r="A696" s="3">
        <v>3.0</v>
      </c>
      <c r="B696" s="3" t="s">
        <v>1974</v>
      </c>
      <c r="C696" s="3" t="s">
        <v>1975</v>
      </c>
      <c r="D696" s="3" t="s">
        <v>53</v>
      </c>
      <c r="E696" s="3" t="s">
        <v>27</v>
      </c>
      <c r="F696" s="3" t="s">
        <v>15</v>
      </c>
      <c r="G696" s="3" t="s">
        <v>1976</v>
      </c>
      <c r="H696" s="3" t="s">
        <v>69</v>
      </c>
      <c r="I696" s="3" t="str">
        <f>IFERROR(__xludf.DUMMYFUNCTION("GOOGLETRANSLATE(C696,""fr"",""en"")"),"I am generally satisfied with the online quote service even if the rate generally remains at the same level as other insurers, to compare the different warranty levels")</f>
        <v>I am generally satisfied with the online quote service even if the rate generally remains at the same level as other insurers, to compare the different warranty levels</v>
      </c>
    </row>
    <row r="697" ht="15.75" customHeight="1">
      <c r="A697" s="3">
        <v>1.0</v>
      </c>
      <c r="B697" s="3" t="s">
        <v>1977</v>
      </c>
      <c r="C697" s="3" t="s">
        <v>1978</v>
      </c>
      <c r="D697" s="3" t="s">
        <v>75</v>
      </c>
      <c r="E697" s="3" t="s">
        <v>76</v>
      </c>
      <c r="F697" s="3" t="s">
        <v>15</v>
      </c>
      <c r="G697" s="3" t="s">
        <v>1979</v>
      </c>
      <c r="H697" s="3" t="s">
        <v>139</v>
      </c>
      <c r="I697" s="3" t="str">
        <f>IFERROR(__xludf.DUMMYFUNCTION("GOOGLETRANSLATE(C697,""fr"",""en"")"),"• 33.48% increase over 3 years without changing the contract! (7.76% in 2018, 10.49% in 2019 and 12.09% in 2020).
• Records qualified as ""small"" by the agency interlocutor!
• The interlocutor justifies them by having only one contract at Allianz! Than"&amp;"k you for those who do not have a car, no second home, no rented goods, etc. So the more ""poor"" you are the more you pay!")</f>
        <v>• 33.48% increase over 3 years without changing the contract! (7.76% in 2018, 10.49% in 2019 and 12.09% in 2020).
• Records qualified as "small" by the agency interlocutor!
• The interlocutor justifies them by having only one contract at Allianz! Thank you for those who do not have a car, no second home, no rented goods, etc. So the more "poor" you are the more you pay!</v>
      </c>
    </row>
    <row r="698" ht="15.75" customHeight="1">
      <c r="A698" s="3">
        <v>5.0</v>
      </c>
      <c r="B698" s="3" t="s">
        <v>1980</v>
      </c>
      <c r="C698" s="3" t="s">
        <v>1981</v>
      </c>
      <c r="D698" s="3" t="s">
        <v>53</v>
      </c>
      <c r="E698" s="3" t="s">
        <v>27</v>
      </c>
      <c r="F698" s="3" t="s">
        <v>15</v>
      </c>
      <c r="G698" s="3" t="s">
        <v>590</v>
      </c>
      <c r="H698" s="3" t="s">
        <v>58</v>
      </c>
      <c r="I698" s="3" t="str">
        <f>IFERROR(__xludf.DUMMYFUNCTION("GOOGLETRANSLATE(C698,""fr"",""en"")"),"For the first contact very very well to listen and pleasant commercial and to the care of the customer really very very well")</f>
        <v>For the first contact very very well to listen and pleasant commercial and to the care of the customer really very very well</v>
      </c>
    </row>
    <row r="699" ht="15.75" customHeight="1">
      <c r="A699" s="3">
        <v>4.0</v>
      </c>
      <c r="B699" s="3" t="s">
        <v>1982</v>
      </c>
      <c r="C699" s="3" t="s">
        <v>1983</v>
      </c>
      <c r="D699" s="3" t="s">
        <v>53</v>
      </c>
      <c r="E699" s="3" t="s">
        <v>27</v>
      </c>
      <c r="F699" s="3" t="s">
        <v>15</v>
      </c>
      <c r="G699" s="3" t="s">
        <v>664</v>
      </c>
      <c r="H699" s="3" t="s">
        <v>99</v>
      </c>
      <c r="I699" s="3" t="str">
        <f>IFERROR(__xludf.DUMMYFUNCTION("GOOGLETRANSLATE(C699,""fr"",""en"")"),"Service A was simple and practical, fast and efficient, I thank my friends who recommend it to me, and I would do the same for my friends and loved ones.
Cordially")</f>
        <v>Service A was simple and practical, fast and efficient, I thank my friends who recommend it to me, and I would do the same for my friends and loved ones.
Cordially</v>
      </c>
    </row>
    <row r="700" ht="15.75" customHeight="1">
      <c r="A700" s="3">
        <v>2.0</v>
      </c>
      <c r="B700" s="3" t="s">
        <v>1984</v>
      </c>
      <c r="C700" s="3" t="s">
        <v>1985</v>
      </c>
      <c r="D700" s="3" t="s">
        <v>13</v>
      </c>
      <c r="E700" s="3" t="s">
        <v>14</v>
      </c>
      <c r="F700" s="3" t="s">
        <v>15</v>
      </c>
      <c r="G700" s="3" t="s">
        <v>1986</v>
      </c>
      <c r="H700" s="3" t="s">
        <v>34</v>
      </c>
      <c r="I700" s="3" t="str">
        <f>IFERROR(__xludf.DUMMYFUNCTION("GOOGLETRANSLATE(C700,""fr"",""en"")"),"Deplorable service and I weigh my words 3 times on the phone with three different people and all we discourse different their followed and your on your adherent and completely different space ... Refund that drags too much nonexistent from one self to ano"&amp;"ther and Celon they are you the problem ... to flee !!!!")</f>
        <v>Deplorable service and I weigh my words 3 times on the phone with three different people and all we discourse different their followed and your on your adherent and completely different space ... Refund that drags too much nonexistent from one self to another and Celon they are you the problem ... to flee !!!!</v>
      </c>
    </row>
    <row r="701" ht="15.75" customHeight="1">
      <c r="A701" s="3">
        <v>5.0</v>
      </c>
      <c r="B701" s="3" t="s">
        <v>1987</v>
      </c>
      <c r="C701" s="3" t="s">
        <v>1988</v>
      </c>
      <c r="D701" s="3" t="s">
        <v>37</v>
      </c>
      <c r="E701" s="3" t="s">
        <v>27</v>
      </c>
      <c r="F701" s="3" t="s">
        <v>15</v>
      </c>
      <c r="G701" s="3" t="s">
        <v>1989</v>
      </c>
      <c r="H701" s="3" t="s">
        <v>1022</v>
      </c>
      <c r="I701" s="3" t="str">
        <f>IFERROR(__xludf.DUMMYFUNCTION("GOOGLETRANSLATE(C701,""fr"",""en"")"),"Hello, I made an insurance comparator and the insurance olive tree positioned in 1st. It's been a year and I don't regret. Thanks to loyalty, franchises drop each year. There is no expectation during contacts, the advisers are attentive, very effective an"&amp;"d very courteous. I recommend!")</f>
        <v>Hello, I made an insurance comparator and the insurance olive tree positioned in 1st. It's been a year and I don't regret. Thanks to loyalty, franchises drop each year. There is no expectation during contacts, the advisers are attentive, very effective and very courteous. I recommend!</v>
      </c>
    </row>
    <row r="702" ht="15.75" customHeight="1">
      <c r="A702" s="3">
        <v>5.0</v>
      </c>
      <c r="B702" s="3" t="s">
        <v>1990</v>
      </c>
      <c r="C702" s="3" t="s">
        <v>1991</v>
      </c>
      <c r="D702" s="3" t="s">
        <v>53</v>
      </c>
      <c r="E702" s="3" t="s">
        <v>27</v>
      </c>
      <c r="F702" s="3" t="s">
        <v>15</v>
      </c>
      <c r="G702" s="3" t="s">
        <v>1028</v>
      </c>
      <c r="H702" s="3" t="s">
        <v>50</v>
      </c>
      <c r="I702" s="3" t="str">
        <f>IFERROR(__xludf.DUMMYFUNCTION("GOOGLETRANSLATE(C702,""fr"",""en"")"),"Very satisfied with my advisor she was top
Very good welcome advice at the top thank you for her proropostions and her interesting offers bravo")</f>
        <v>Very satisfied with my advisor she was top
Very good welcome advice at the top thank you for her proropostions and her interesting offers bravo</v>
      </c>
    </row>
    <row r="703" ht="15.75" customHeight="1">
      <c r="A703" s="3">
        <v>4.0</v>
      </c>
      <c r="B703" s="3" t="s">
        <v>1992</v>
      </c>
      <c r="C703" s="3" t="s">
        <v>1993</v>
      </c>
      <c r="D703" s="3" t="s">
        <v>37</v>
      </c>
      <c r="E703" s="3" t="s">
        <v>27</v>
      </c>
      <c r="F703" s="3" t="s">
        <v>15</v>
      </c>
      <c r="G703" s="3" t="s">
        <v>359</v>
      </c>
      <c r="H703" s="3" t="s">
        <v>17</v>
      </c>
      <c r="I703" s="3" t="str">
        <f>IFERROR(__xludf.DUMMYFUNCTION("GOOGLETRANSLATE(C703,""fr"",""en"")"),"I am satisfied with the service. I had good advice by two people in less than a week. I find that the price value was best of competition.")</f>
        <v>I am satisfied with the service. I had good advice by two people in less than a week. I find that the price value was best of competition.</v>
      </c>
    </row>
    <row r="704" ht="15.75" customHeight="1">
      <c r="A704" s="3">
        <v>1.0</v>
      </c>
      <c r="B704" s="3" t="s">
        <v>1994</v>
      </c>
      <c r="C704" s="3" t="s">
        <v>1995</v>
      </c>
      <c r="D704" s="3" t="s">
        <v>13</v>
      </c>
      <c r="E704" s="3" t="s">
        <v>14</v>
      </c>
      <c r="F704" s="3" t="s">
        <v>15</v>
      </c>
      <c r="G704" s="3" t="s">
        <v>1996</v>
      </c>
      <c r="H704" s="3" t="s">
        <v>44</v>
      </c>
      <c r="I704" s="3" t="str">
        <f>IFERROR(__xludf.DUMMYFUNCTION("GOOGLETRANSLATE(C704,""fr"",""en"")"),"Straton and Néoliane group. Dental quote January 17, 2020. Telerated February 3, 2020 not received my quote sent to contact@groupestraton.com. The 3/02/2020 sent dental quote and since I have called every 2 days. Farfuly answers impossible to have an answ"&amp;"er. Each time I have to remember but still nothing. Neoliane does not answer either he sends me back to the Straton group. I am assured at Néoliane since 01/01/2020. From the start problem did not do the necessary to cancel my old mutual.
In the January "&amp;"other problem, other problem had not done what is necessary for remote transmission.")</f>
        <v>Straton and Néoliane group. Dental quote January 17, 2020. Telerated February 3, 2020 not received my quote sent to contact@groupestraton.com. The 3/02/2020 sent dental quote and since I have called every 2 days. Farfuly answers impossible to have an answer. Each time I have to remember but still nothing. Neoliane does not answer either he sends me back to the Straton group. I am assured at Néoliane since 01/01/2020. From the start problem did not do the necessary to cancel my old mutual.
In the January other problem, other problem had not done what is necessary for remote transmission.</v>
      </c>
    </row>
    <row r="705" ht="15.75" customHeight="1">
      <c r="A705" s="3">
        <v>4.0</v>
      </c>
      <c r="B705" s="3" t="s">
        <v>1997</v>
      </c>
      <c r="C705" s="3" t="s">
        <v>1998</v>
      </c>
      <c r="D705" s="3" t="s">
        <v>53</v>
      </c>
      <c r="E705" s="3" t="s">
        <v>27</v>
      </c>
      <c r="F705" s="3" t="s">
        <v>15</v>
      </c>
      <c r="G705" s="3" t="s">
        <v>1426</v>
      </c>
      <c r="H705" s="3" t="s">
        <v>99</v>
      </c>
      <c r="I705" s="3" t="str">
        <f>IFERROR(__xludf.DUMMYFUNCTION("GOOGLETRANSLATE(C705,""fr"",""en"")"),"Fast and efficient I recommend Direct Insurance
Much cheaper than some companies and banks
Talk about you without hesitation.
Don't look elsewhere")</f>
        <v>Fast and efficient I recommend Direct Insurance
Much cheaper than some companies and banks
Talk about you without hesitation.
Don't look elsewhere</v>
      </c>
    </row>
    <row r="706" ht="15.75" customHeight="1">
      <c r="A706" s="3">
        <v>3.0</v>
      </c>
      <c r="B706" s="3" t="s">
        <v>1999</v>
      </c>
      <c r="C706" s="3" t="s">
        <v>2000</v>
      </c>
      <c r="D706" s="3" t="s">
        <v>61</v>
      </c>
      <c r="E706" s="3" t="s">
        <v>14</v>
      </c>
      <c r="F706" s="3" t="s">
        <v>15</v>
      </c>
      <c r="G706" s="3" t="s">
        <v>2001</v>
      </c>
      <c r="H706" s="3" t="s">
        <v>230</v>
      </c>
      <c r="I706" s="3" t="str">
        <f>IFERROR(__xludf.DUMMYFUNCTION("GOOGLETRANSLATE(C706,""fr"",""en"")"),"too bad the optics and dental are linked")</f>
        <v>too bad the optics and dental are linked</v>
      </c>
    </row>
    <row r="707" ht="15.75" customHeight="1">
      <c r="A707" s="3">
        <v>1.0</v>
      </c>
      <c r="B707" s="3" t="s">
        <v>2002</v>
      </c>
      <c r="C707" s="3" t="s">
        <v>2003</v>
      </c>
      <c r="D707" s="3" t="s">
        <v>137</v>
      </c>
      <c r="E707" s="3" t="s">
        <v>27</v>
      </c>
      <c r="F707" s="3" t="s">
        <v>15</v>
      </c>
      <c r="G707" s="3" t="s">
        <v>338</v>
      </c>
      <c r="H707" s="3" t="s">
        <v>17</v>
      </c>
      <c r="I707" s="3" t="str">
        <f>IFERROR(__xludf.DUMMYFUNCTION("GOOGLETRANSLATE(C707,""fr"",""en"")"),"Total absence of responsiveness. Interminable expectations and reminder and monitoring promises not held. A puncture = count a minimum week for a reaction start. Contract not respected as to the loan of replacement vehicle. To avoid absolutely.")</f>
        <v>Total absence of responsiveness. Interminable expectations and reminder and monitoring promises not held. A puncture = count a minimum week for a reaction start. Contract not respected as to the loan of replacement vehicle. To avoid absolutely.</v>
      </c>
    </row>
    <row r="708" ht="15.75" customHeight="1">
      <c r="A708" s="3">
        <v>4.0</v>
      </c>
      <c r="B708" s="3" t="s">
        <v>2004</v>
      </c>
      <c r="C708" s="3" t="s">
        <v>2005</v>
      </c>
      <c r="D708" s="3" t="s">
        <v>80</v>
      </c>
      <c r="E708" s="3" t="s">
        <v>81</v>
      </c>
      <c r="F708" s="3" t="s">
        <v>15</v>
      </c>
      <c r="G708" s="3" t="s">
        <v>1167</v>
      </c>
      <c r="H708" s="3" t="s">
        <v>23</v>
      </c>
      <c r="I708" s="3" t="str">
        <f>IFERROR(__xludf.DUMMYFUNCTION("GOOGLETRANSLATE(C708,""fr"",""en"")"),"Satisfied, fast and practical. The advisers are attentive, the prices are affordable. Little regret when the day's insurance that no longer exists")</f>
        <v>Satisfied, fast and practical. The advisers are attentive, the prices are affordable. Little regret when the day's insurance that no longer exists</v>
      </c>
    </row>
    <row r="709" ht="15.75" customHeight="1">
      <c r="A709" s="3">
        <v>5.0</v>
      </c>
      <c r="B709" s="3" t="s">
        <v>2006</v>
      </c>
      <c r="C709" s="3" t="s">
        <v>2007</v>
      </c>
      <c r="D709" s="3" t="s">
        <v>1163</v>
      </c>
      <c r="E709" s="3" t="s">
        <v>21</v>
      </c>
      <c r="F709" s="3" t="s">
        <v>15</v>
      </c>
      <c r="G709" s="3" t="s">
        <v>781</v>
      </c>
      <c r="H709" s="3" t="s">
        <v>159</v>
      </c>
      <c r="I709" s="3" t="str">
        <f>IFERROR(__xludf.DUMMYFUNCTION("GOOGLETRANSLATE(C709,""fr"",""en"")"),"Benefit of a retirement pension contributed by my father to the Carac, I was dealing with this company on his death. As I did not receive any news after sending the requested documents, I called 09 69 32 50 50. After verification, the lady who replied inf"&amp;"ormed me that my documents had never arrived (in full COVID period); She created my file immediately, while we were on the phone. Thereafter, there was a small communication problem with the administrative service which was supposed to take care of the fo"&amp;"llow -up of the file, but the lady who managed my file (always the same person) was promptly intervened. My father's retirement pension was fired on my bank account within two weeks.
The whole approach, from the sending of documents (which have never a"&amp;"rrived) until the payment of the retirement pension on my account, was carried out between the last week of July 2020 and mid-October 2020, or two months and half.
I have only compliments to do about my exchanges with the representatives of the Carac ("&amp;"Neuilly office). Since my father's death, I have had certain administrative procedures. The lack of responsiveness on the part of certain administrations or banks can arouse enormous frustration! During my discussions with the Carac, I only met people of "&amp;"good will whose objective was to help me. I thank them very much!")</f>
        <v>Benefit of a retirement pension contributed by my father to the Carac, I was dealing with this company on his death. As I did not receive any news after sending the requested documents, I called 09 69 32 50 50. After verification, the lady who replied informed me that my documents had never arrived (in full COVID period); She created my file immediately, while we were on the phone. Thereafter, there was a small communication problem with the administrative service which was supposed to take care of the follow -up of the file, but the lady who managed my file (always the same person) was promptly intervened. My father's retirement pension was fired on my bank account within two weeks.
The whole approach, from the sending of documents (which have never arrived) until the payment of the retirement pension on my account, was carried out between the last week of July 2020 and mid-October 2020, or two months and half.
I have only compliments to do about my exchanges with the representatives of the Carac (Neuilly office). Since my father's death, I have had certain administrative procedures. The lack of responsiveness on the part of certain administrations or banks can arouse enormous frustration! During my discussions with the Carac, I only met people of good will whose objective was to help me. I thank them very much!</v>
      </c>
    </row>
    <row r="710" ht="15.75" customHeight="1">
      <c r="A710" s="3">
        <v>5.0</v>
      </c>
      <c r="B710" s="3" t="s">
        <v>2008</v>
      </c>
      <c r="C710" s="3" t="s">
        <v>2009</v>
      </c>
      <c r="D710" s="3" t="s">
        <v>53</v>
      </c>
      <c r="E710" s="3" t="s">
        <v>27</v>
      </c>
      <c r="F710" s="3" t="s">
        <v>15</v>
      </c>
      <c r="G710" s="3" t="s">
        <v>905</v>
      </c>
      <c r="H710" s="3" t="s">
        <v>58</v>
      </c>
      <c r="I710" s="3" t="str">
        <f>IFERROR(__xludf.DUMMYFUNCTION("GOOGLETRANSLATE(C710,""fr"",""en"")"),"I am satisfied with the service
The price suits me
The explanations are simple
There is nothing more to add, I regain ...
simpler than dialogue with a broker who does not listen to you")</f>
        <v>I am satisfied with the service
The price suits me
The explanations are simple
There is nothing more to add, I regain ...
simpler than dialogue with a broker who does not listen to you</v>
      </c>
    </row>
    <row r="711" ht="15.75" customHeight="1">
      <c r="A711" s="3">
        <v>4.0</v>
      </c>
      <c r="B711" s="3" t="s">
        <v>2010</v>
      </c>
      <c r="C711" s="3" t="s">
        <v>2011</v>
      </c>
      <c r="D711" s="3" t="s">
        <v>80</v>
      </c>
      <c r="E711" s="3" t="s">
        <v>81</v>
      </c>
      <c r="F711" s="3" t="s">
        <v>15</v>
      </c>
      <c r="G711" s="3" t="s">
        <v>531</v>
      </c>
      <c r="H711" s="3" t="s">
        <v>72</v>
      </c>
      <c r="I711" s="3" t="str">
        <f>IFERROR(__xludf.DUMMYFUNCTION("GOOGLETRANSLATE(C711,""fr"",""en"")"),"Quote made quickly, correct price. To see in use.
Procedure on the part of the advisers, a bit of insistent on the other hand for the signing of the contract.")</f>
        <v>Quote made quickly, correct price. To see in use.
Procedure on the part of the advisers, a bit of insistent on the other hand for the signing of the contract.</v>
      </c>
    </row>
    <row r="712" ht="15.75" customHeight="1">
      <c r="A712" s="3">
        <v>5.0</v>
      </c>
      <c r="B712" s="3" t="s">
        <v>2012</v>
      </c>
      <c r="C712" s="3" t="s">
        <v>2013</v>
      </c>
      <c r="D712" s="3" t="s">
        <v>37</v>
      </c>
      <c r="E712" s="3" t="s">
        <v>27</v>
      </c>
      <c r="F712" s="3" t="s">
        <v>15</v>
      </c>
      <c r="G712" s="3" t="s">
        <v>2014</v>
      </c>
      <c r="H712" s="3" t="s">
        <v>23</v>
      </c>
      <c r="I712" s="3" t="str">
        <f>IFERROR(__xludf.DUMMYFUNCTION("GOOGLETRANSLATE(C712,""fr"",""en"")"),"I am satisfied with the performance you offered me despite that I would have liked to take a subscription with flight/broken ice ... having had an understanding problems during telephone communication, I thought I was subscribing to this formula but A sur"&amp;"prise, the essential third party was offered to me. I would come back to you for a possible evolution of my insurance contract, in order to ensure my car against theft and broken ice.
Cordially,")</f>
        <v>I am satisfied with the performance you offered me despite that I would have liked to take a subscription with flight/broken ice ... having had an understanding problems during telephone communication, I thought I was subscribing to this formula but A surprise, the essential third party was offered to me. I would come back to you for a possible evolution of my insurance contract, in order to ensure my car against theft and broken ice.
Cordially,</v>
      </c>
    </row>
    <row r="713" ht="15.75" customHeight="1">
      <c r="A713" s="3">
        <v>4.0</v>
      </c>
      <c r="B713" s="3" t="s">
        <v>2015</v>
      </c>
      <c r="C713" s="3" t="s">
        <v>2016</v>
      </c>
      <c r="D713" s="3" t="s">
        <v>1151</v>
      </c>
      <c r="E713" s="3" t="s">
        <v>48</v>
      </c>
      <c r="F713" s="3" t="s">
        <v>15</v>
      </c>
      <c r="G713" s="3" t="s">
        <v>319</v>
      </c>
      <c r="H713" s="3" t="s">
        <v>17</v>
      </c>
      <c r="I713" s="3" t="str">
        <f>IFERROR(__xludf.DUMMYFUNCTION("GOOGLETRANSLATE(C713,""fr"",""en"")"),"Good service, polite and efficient reception with a quality advice (subject to the right transition between my existing insurance and subscribed insurance).")</f>
        <v>Good service, polite and efficient reception with a quality advice (subject to the right transition between my existing insurance and subscribed insurance).</v>
      </c>
    </row>
    <row r="714" ht="15.75" customHeight="1">
      <c r="A714" s="3">
        <v>4.0</v>
      </c>
      <c r="B714" s="3" t="s">
        <v>2017</v>
      </c>
      <c r="C714" s="3" t="s">
        <v>2018</v>
      </c>
      <c r="D714" s="3" t="s">
        <v>53</v>
      </c>
      <c r="E714" s="3" t="s">
        <v>27</v>
      </c>
      <c r="F714" s="3" t="s">
        <v>15</v>
      </c>
      <c r="G714" s="3" t="s">
        <v>713</v>
      </c>
      <c r="H714" s="3" t="s">
        <v>29</v>
      </c>
      <c r="I714" s="3" t="str">
        <f>IFERROR(__xludf.DUMMYFUNCTION("GOOGLETRANSLATE(C714,""fr"",""en"")"),"Very well, satisfied with the ease of subscription. The information given is clear and precise. I recommend to all people wishing to subscribe to insurance.")</f>
        <v>Very well, satisfied with the ease of subscription. The information given is clear and precise. I recommend to all people wishing to subscribe to insurance.</v>
      </c>
    </row>
    <row r="715" ht="15.75" customHeight="1">
      <c r="A715" s="3">
        <v>2.0</v>
      </c>
      <c r="B715" s="3" t="s">
        <v>2019</v>
      </c>
      <c r="C715" s="3" t="s">
        <v>2020</v>
      </c>
      <c r="D715" s="3" t="s">
        <v>37</v>
      </c>
      <c r="E715" s="3" t="s">
        <v>27</v>
      </c>
      <c r="F715" s="3" t="s">
        <v>15</v>
      </c>
      <c r="G715" s="3" t="s">
        <v>577</v>
      </c>
      <c r="H715" s="3" t="s">
        <v>72</v>
      </c>
      <c r="I715" s="3" t="str">
        <f>IFERROR(__xludf.DUMMYFUNCTION("GOOGLETRANSLATE(C715,""fr"",""en"")"),"At the slightest glitch, there is no one left
We must constantly relaunch them and despite that nothing advances
I would certainly not recommend this insurance")</f>
        <v>At the slightest glitch, there is no one left
We must constantly relaunch them and despite that nothing advances
I would certainly not recommend this insurance</v>
      </c>
    </row>
    <row r="716" ht="15.75" customHeight="1">
      <c r="A716" s="3">
        <v>1.0</v>
      </c>
      <c r="B716" s="3" t="s">
        <v>2021</v>
      </c>
      <c r="C716" s="3" t="s">
        <v>2022</v>
      </c>
      <c r="D716" s="3" t="s">
        <v>26</v>
      </c>
      <c r="E716" s="3" t="s">
        <v>27</v>
      </c>
      <c r="F716" s="3" t="s">
        <v>15</v>
      </c>
      <c r="G716" s="3" t="s">
        <v>1185</v>
      </c>
      <c r="H716" s="3" t="s">
        <v>195</v>
      </c>
      <c r="I716" s="3" t="str">
        <f>IFERROR(__xludf.DUMMYFUNCTION("GOOGLETRANSLATE(C716,""fr"",""en"")"),"100% non -responsible accident.
1 day of leave to go the replacement car scheduled for 3 days (and after doing your bike). Finally arriving at the rental: they call you to warn you that you did not do in the right order: you had to deposit the wreck at t"&amp;"he bodybuilder first before you can the replacement car. You are moaning (you still took 4 hours to get there and your husband also took a day off to take you) and there: they annulish live the reservation live.
They are GRAs in GMF.")</f>
        <v>100% non -responsible accident.
1 day of leave to go the replacement car scheduled for 3 days (and after doing your bike). Finally arriving at the rental: they call you to warn you that you did not do in the right order: you had to deposit the wreck at the bodybuilder first before you can the replacement car. You are moaning (you still took 4 hours to get there and your husband also took a day off to take you) and there: they annulish live the reservation live.
They are GRAs in GMF.</v>
      </c>
    </row>
    <row r="717" ht="15.75" customHeight="1">
      <c r="A717" s="3">
        <v>2.0</v>
      </c>
      <c r="B717" s="3" t="s">
        <v>2023</v>
      </c>
      <c r="C717" s="3" t="s">
        <v>2024</v>
      </c>
      <c r="D717" s="3" t="s">
        <v>32</v>
      </c>
      <c r="E717" s="3" t="s">
        <v>14</v>
      </c>
      <c r="F717" s="3" t="s">
        <v>15</v>
      </c>
      <c r="G717" s="3" t="s">
        <v>1154</v>
      </c>
      <c r="H717" s="3" t="s">
        <v>50</v>
      </c>
      <c r="I717" s="3" t="str">
        <f>IFERROR(__xludf.DUMMYFUNCTION("GOOGLETRANSLATE(C717,""fr"",""en"")"),"With my spouse we had reserved a trip to Majorca a week ago. Unfortunately, my state of health deteriorated, we could not take the plane and a medical certificate proves it, and my condition is not restored. In short! We have chosen Asurever because this "&amp;"insurance seems reliable and fluid. When I read your comments, no answers and refund for sometimes 1 month to see a year and much more, I want to believe you. Because after the opening of the disaster and 2 emails sent, I still have no response, while all"&amp;" our supporting documents are present. My uncle is a lawyer, I think I will find out and launch a procedure if I have no answer. I keep you posted from the future, but I will not let go to have my refund. Especially since we are in the rules of the contra"&amp;"ct and in the procedure.")</f>
        <v>With my spouse we had reserved a trip to Majorca a week ago. Unfortunately, my state of health deteriorated, we could not take the plane and a medical certificate proves it, and my condition is not restored. In short! We have chosen Asurever because this insurance seems reliable and fluid. When I read your comments, no answers and refund for sometimes 1 month to see a year and much more, I want to believe you. Because after the opening of the disaster and 2 emails sent, I still have no response, while all our supporting documents are present. My uncle is a lawyer, I think I will find out and launch a procedure if I have no answer. I keep you posted from the future, but I will not let go to have my refund. Especially since we are in the rules of the contract and in the procedure.</v>
      </c>
    </row>
    <row r="718" ht="15.75" customHeight="1">
      <c r="A718" s="3">
        <v>4.0</v>
      </c>
      <c r="B718" s="3" t="s">
        <v>2025</v>
      </c>
      <c r="C718" s="3" t="s">
        <v>2026</v>
      </c>
      <c r="D718" s="3" t="s">
        <v>37</v>
      </c>
      <c r="E718" s="3" t="s">
        <v>27</v>
      </c>
      <c r="F718" s="3" t="s">
        <v>15</v>
      </c>
      <c r="G718" s="3" t="s">
        <v>2027</v>
      </c>
      <c r="H718" s="3" t="s">
        <v>72</v>
      </c>
      <c r="I718" s="3" t="str">
        <f>IFERROR(__xludf.DUMMYFUNCTION("GOOGLETRANSLATE(C718,""fr"",""en"")"),"The prices are really very interested.
The site to do is quote online is rather pleasant to use.
The insurance levels offer are quite consistent.")</f>
        <v>The prices are really very interested.
The site to do is quote online is rather pleasant to use.
The insurance levels offer are quite consistent.</v>
      </c>
    </row>
    <row r="719" ht="15.75" customHeight="1">
      <c r="A719" s="3">
        <v>5.0</v>
      </c>
      <c r="B719" s="3" t="s">
        <v>2028</v>
      </c>
      <c r="C719" s="3" t="s">
        <v>2029</v>
      </c>
      <c r="D719" s="3" t="s">
        <v>37</v>
      </c>
      <c r="E719" s="3" t="s">
        <v>27</v>
      </c>
      <c r="F719" s="3" t="s">
        <v>15</v>
      </c>
      <c r="G719" s="3" t="s">
        <v>593</v>
      </c>
      <c r="H719" s="3" t="s">
        <v>378</v>
      </c>
      <c r="I719" s="3" t="str">
        <f>IFERROR(__xludf.DUMMYFUNCTION("GOOGLETRANSLATE(C719,""fr"",""en"")"),"Subscription to car insurance from the insurance olive tree, € 200 cheaper than another company, telephone contact with a very polite, very nice person. I recommend the olive tree.")</f>
        <v>Subscription to car insurance from the insurance olive tree, € 200 cheaper than another company, telephone contact with a very polite, very nice person. I recommend the olive tree.</v>
      </c>
    </row>
    <row r="720" ht="15.75" customHeight="1">
      <c r="A720" s="3">
        <v>3.0</v>
      </c>
      <c r="B720" s="3" t="s">
        <v>2030</v>
      </c>
      <c r="C720" s="3" t="s">
        <v>2031</v>
      </c>
      <c r="D720" s="3" t="s">
        <v>37</v>
      </c>
      <c r="E720" s="3" t="s">
        <v>27</v>
      </c>
      <c r="F720" s="3" t="s">
        <v>15</v>
      </c>
      <c r="G720" s="3" t="s">
        <v>2032</v>
      </c>
      <c r="H720" s="3" t="s">
        <v>34</v>
      </c>
      <c r="I720" s="3" t="str">
        <f>IFERROR(__xludf.DUMMYFUNCTION("GOOGLETRANSLATE(C720,""fr"",""en"")"),"Impossible to obtain an information statement, with each request you must call customer service several times and insist, it is perfectly unacceptable and when you finally receive a document after several calls, it is sometimes a false address that is eve"&amp;"n showing them. It is not normal not to easily give an information statement, it does not allow you to trust the olive assurance.")</f>
        <v>Impossible to obtain an information statement, with each request you must call customer service several times and insist, it is perfectly unacceptable and when you finally receive a document after several calls, it is sometimes a false address that is even showing them. It is not normal not to easily give an information statement, it does not allow you to trust the olive assurance.</v>
      </c>
    </row>
    <row r="721" ht="15.75" customHeight="1">
      <c r="A721" s="3">
        <v>4.0</v>
      </c>
      <c r="B721" s="3" t="s">
        <v>2033</v>
      </c>
      <c r="C721" s="3" t="s">
        <v>2034</v>
      </c>
      <c r="D721" s="3" t="s">
        <v>37</v>
      </c>
      <c r="E721" s="3" t="s">
        <v>27</v>
      </c>
      <c r="F721" s="3" t="s">
        <v>15</v>
      </c>
      <c r="G721" s="3" t="s">
        <v>2035</v>
      </c>
      <c r="H721" s="3" t="s">
        <v>50</v>
      </c>
      <c r="I721" s="3" t="str">
        <f>IFERROR(__xludf.DUMMYFUNCTION("GOOGLETRANSLATE(C721,""fr"",""en"")"),"For the moment nothing to say the service seems to be effective the weather for the rapids for the moment everything is fine the insurance allows me to be able to resume professional freedom")</f>
        <v>For the moment nothing to say the service seems to be effective the weather for the rapids for the moment everything is fine the insurance allows me to be able to resume professional freedom</v>
      </c>
    </row>
    <row r="722" ht="15.75" customHeight="1">
      <c r="A722" s="3">
        <v>1.0</v>
      </c>
      <c r="B722" s="3" t="s">
        <v>2036</v>
      </c>
      <c r="C722" s="3" t="s">
        <v>2037</v>
      </c>
      <c r="D722" s="3" t="s">
        <v>327</v>
      </c>
      <c r="E722" s="3" t="s">
        <v>27</v>
      </c>
      <c r="F722" s="3" t="s">
        <v>15</v>
      </c>
      <c r="G722" s="3" t="s">
        <v>2038</v>
      </c>
      <c r="H722" s="3" t="s">
        <v>655</v>
      </c>
      <c r="I722" s="3" t="str">
        <f>IFERROR(__xludf.DUMMYFUNCTION("GOOGLETRANSLATE(C722,""fr"",""en"")"),"Not at all an insurance that I recommend, no consideration of the customer, too bad there is no choice of 0 star.")</f>
        <v>Not at all an insurance that I recommend, no consideration of the customer, too bad there is no choice of 0 star.</v>
      </c>
    </row>
    <row r="723" ht="15.75" customHeight="1">
      <c r="A723" s="3">
        <v>4.0</v>
      </c>
      <c r="B723" s="3" t="s">
        <v>2039</v>
      </c>
      <c r="C723" s="3" t="s">
        <v>2040</v>
      </c>
      <c r="D723" s="3" t="s">
        <v>80</v>
      </c>
      <c r="E723" s="3" t="s">
        <v>81</v>
      </c>
      <c r="F723" s="3" t="s">
        <v>15</v>
      </c>
      <c r="G723" s="3" t="s">
        <v>2041</v>
      </c>
      <c r="H723" s="3" t="s">
        <v>1252</v>
      </c>
      <c r="I723" s="3" t="str">
        <f>IFERROR(__xludf.DUMMYFUNCTION("GOOGLETRANSLATE(C723,""fr"",""en"")"),"The site is clear and easy to use, the types of contracts are well explained, compared to generalist insurers, prices are more interesting. It possibly lacks a low mileage option ...")</f>
        <v>The site is clear and easy to use, the types of contracts are well explained, compared to generalist insurers, prices are more interesting. It possibly lacks a low mileage option ...</v>
      </c>
    </row>
    <row r="724" ht="15.75" customHeight="1">
      <c r="A724" s="3">
        <v>4.0</v>
      </c>
      <c r="B724" s="3" t="s">
        <v>2042</v>
      </c>
      <c r="C724" s="3" t="s">
        <v>2043</v>
      </c>
      <c r="D724" s="3" t="s">
        <v>37</v>
      </c>
      <c r="E724" s="3" t="s">
        <v>27</v>
      </c>
      <c r="F724" s="3" t="s">
        <v>15</v>
      </c>
      <c r="G724" s="3" t="s">
        <v>2044</v>
      </c>
      <c r="H724" s="3" t="s">
        <v>1118</v>
      </c>
      <c r="I724" s="3" t="str">
        <f>IFERROR(__xludf.DUMMYFUNCTION("GOOGLETRANSLATE(C724,""fr"",""en"")"),"New customer The formality went very well the customer services resulted in all my expectations I recommend this insurance. All the paper are arriving in time and hours")</f>
        <v>New customer The formality went very well the customer services resulted in all my expectations I recommend this insurance. All the paper are arriving in time and hours</v>
      </c>
    </row>
    <row r="725" ht="15.75" customHeight="1">
      <c r="A725" s="3">
        <v>1.0</v>
      </c>
      <c r="B725" s="3" t="s">
        <v>2045</v>
      </c>
      <c r="C725" s="3" t="s">
        <v>2046</v>
      </c>
      <c r="D725" s="3" t="s">
        <v>42</v>
      </c>
      <c r="E725" s="3" t="s">
        <v>14</v>
      </c>
      <c r="F725" s="3" t="s">
        <v>15</v>
      </c>
      <c r="G725" s="3" t="s">
        <v>1125</v>
      </c>
      <c r="H725" s="3" t="s">
        <v>205</v>
      </c>
      <c r="I725" s="3" t="str">
        <f>IFERROR(__xludf.DUMMYFUNCTION("GOOGLETRANSLATE(C725,""fr"",""en"")"),"Zero double zero zero for this mutual that my parents subscribed following the hospitalization of my father we did not have the opportunity to have the two housewives provided for the program in the contract ten hours after hospitalization all because we "&amp;"had exceeded the date for setting up a shame !!!!! when we know that we are in the middle of coronavirus and my father has just lost 20 kg following his hospitalization and that they are 76 and 85 years old! !!! Opening of a file no D47 52 17 64 There wil"&amp;"l remain without follow -up no humanity a shame I will advertise them on the concerns you can believe Madame Limermont their daughter I do not specify that I called them at least 50 times")</f>
        <v>Zero double zero zero for this mutual that my parents subscribed following the hospitalization of my father we did not have the opportunity to have the two housewives provided for the program in the contract ten hours after hospitalization all because we had exceeded the date for setting up a shame !!!!! when we know that we are in the middle of coronavirus and my father has just lost 20 kg following his hospitalization and that they are 76 and 85 years old! !!! Opening of a file no D47 52 17 64 There will remain without follow -up no humanity a shame I will advertise them on the concerns you can believe Madame Limermont their daughter I do not specify that I called them at least 50 times</v>
      </c>
    </row>
    <row r="726" ht="15.75" customHeight="1">
      <c r="A726" s="3">
        <v>1.0</v>
      </c>
      <c r="B726" s="3" t="s">
        <v>2047</v>
      </c>
      <c r="C726" s="3" t="s">
        <v>2048</v>
      </c>
      <c r="D726" s="3" t="s">
        <v>327</v>
      </c>
      <c r="E726" s="3" t="s">
        <v>27</v>
      </c>
      <c r="F726" s="3" t="s">
        <v>15</v>
      </c>
      <c r="G726" s="3" t="s">
        <v>419</v>
      </c>
      <c r="H726" s="3" t="s">
        <v>230</v>
      </c>
      <c r="I726" s="3" t="str">
        <f>IFERROR(__xludf.DUMMYFUNCTION("GOOGLETRANSLATE(C726,""fr"",""en"")"),"TO FLEE !!!!!! 2 claims within 36 months, only one manager (without third parties) and my contract is terminated ... Problem: Pacifica never notified me this termination I therefore found myself driving without being assured (without knowing it) .. .And t"&amp;"oday on 5 years by insurers ....")</f>
        <v>TO FLEE !!!!!! 2 claims within 36 months, only one manager (without third parties) and my contract is terminated ... Problem: Pacifica never notified me this termination I therefore found myself driving without being assured (without knowing it) .. .And today on 5 years by insurers ....</v>
      </c>
    </row>
    <row r="727" ht="15.75" customHeight="1">
      <c r="A727" s="3">
        <v>2.0</v>
      </c>
      <c r="B727" s="3" t="s">
        <v>2049</v>
      </c>
      <c r="C727" s="3" t="s">
        <v>2050</v>
      </c>
      <c r="D727" s="3" t="s">
        <v>53</v>
      </c>
      <c r="E727" s="3" t="s">
        <v>27</v>
      </c>
      <c r="F727" s="3" t="s">
        <v>15</v>
      </c>
      <c r="G727" s="3" t="s">
        <v>1816</v>
      </c>
      <c r="H727" s="3" t="s">
        <v>58</v>
      </c>
      <c r="I727" s="3" t="str">
        <f>IFERROR(__xludf.DUMMYFUNCTION("GOOGLETRANSLATE(C727,""fr"",""en"")"),"I am always obliged to ask for my green card and I do not understand why the amount of my insurance increases as much when the car depreciates over time? The price seemed correct at the start now it is too high, I am thinking of changing insurance.")</f>
        <v>I am always obliged to ask for my green card and I do not understand why the amount of my insurance increases as much when the car depreciates over time? The price seemed correct at the start now it is too high, I am thinking of changing insurance.</v>
      </c>
    </row>
    <row r="728" ht="15.75" customHeight="1">
      <c r="A728" s="3">
        <v>5.0</v>
      </c>
      <c r="B728" s="3" t="s">
        <v>2051</v>
      </c>
      <c r="C728" s="3" t="s">
        <v>2052</v>
      </c>
      <c r="D728" s="3" t="s">
        <v>61</v>
      </c>
      <c r="E728" s="3" t="s">
        <v>14</v>
      </c>
      <c r="F728" s="3" t="s">
        <v>15</v>
      </c>
      <c r="G728" s="3" t="s">
        <v>2053</v>
      </c>
      <c r="H728" s="3" t="s">
        <v>169</v>
      </c>
      <c r="I728" s="3" t="str">
        <f>IFERROR(__xludf.DUMMYFUNCTION("GOOGLETRANSLATE(C728,""fr"",""en"")"),"We never had to complain about the quality of this insurer. Whether: telephone reception, processing of requests for care or reimbursements, prices .... in short, only happiness.
Thank you again and take care of yourself.")</f>
        <v>We never had to complain about the quality of this insurer. Whether: telephone reception, processing of requests for care or reimbursements, prices .... in short, only happiness.
Thank you again and take care of yourself.</v>
      </c>
    </row>
    <row r="729" ht="15.75" customHeight="1">
      <c r="A729" s="3">
        <v>4.0</v>
      </c>
      <c r="B729" s="3" t="s">
        <v>2054</v>
      </c>
      <c r="C729" s="3" t="s">
        <v>2055</v>
      </c>
      <c r="D729" s="3" t="s">
        <v>80</v>
      </c>
      <c r="E729" s="3" t="s">
        <v>81</v>
      </c>
      <c r="F729" s="3" t="s">
        <v>15</v>
      </c>
      <c r="G729" s="3" t="s">
        <v>1786</v>
      </c>
      <c r="H729" s="3" t="s">
        <v>50</v>
      </c>
      <c r="I729" s="3" t="str">
        <f>IFERROR(__xludf.DUMMYFUNCTION("GOOGLETRANSLATE(C729,""fr"",""en"")"),"Satisfied for the moment, to see over time if your services will always suit me, I find the package a little expensive but if it is the price to pay for good insurance.")</f>
        <v>Satisfied for the moment, to see over time if your services will always suit me, I find the package a little expensive but if it is the price to pay for good insurance.</v>
      </c>
    </row>
    <row r="730" ht="15.75" customHeight="1">
      <c r="A730" s="3">
        <v>2.0</v>
      </c>
      <c r="B730" s="3" t="s">
        <v>2056</v>
      </c>
      <c r="C730" s="3" t="s">
        <v>2057</v>
      </c>
      <c r="D730" s="3" t="s">
        <v>13</v>
      </c>
      <c r="E730" s="3" t="s">
        <v>14</v>
      </c>
      <c r="F730" s="3" t="s">
        <v>15</v>
      </c>
      <c r="G730" s="3" t="s">
        <v>2058</v>
      </c>
      <c r="H730" s="3" t="s">
        <v>411</v>
      </c>
      <c r="I730" s="3" t="str">
        <f>IFERROR(__xludf.DUMMYFUNCTION("GOOGLETRANSLATE(C730,""fr"",""en"")"),"If you desire insurance that only responds to a contract taking you have found if you want information .......... This is another story subscribes no respect for the customer impossible to understand the dates termination ....... to flee")</f>
        <v>If you desire insurance that only responds to a contract taking you have found if you want information .......... This is another story subscribes no respect for the customer impossible to understand the dates termination ....... to flee</v>
      </c>
    </row>
    <row r="731" ht="15.75" customHeight="1">
      <c r="A731" s="3">
        <v>5.0</v>
      </c>
      <c r="B731" s="3" t="s">
        <v>2059</v>
      </c>
      <c r="C731" s="3" t="s">
        <v>2060</v>
      </c>
      <c r="D731" s="3" t="s">
        <v>1151</v>
      </c>
      <c r="E731" s="3" t="s">
        <v>48</v>
      </c>
      <c r="F731" s="3" t="s">
        <v>15</v>
      </c>
      <c r="G731" s="3" t="s">
        <v>2014</v>
      </c>
      <c r="H731" s="3" t="s">
        <v>23</v>
      </c>
      <c r="I731" s="3" t="str">
        <f>IFERROR(__xludf.DUMMYFUNCTION("GOOGLETRANSLATE(C731,""fr"",""en"")"),"Very nice home.
TOP products and services, very competent and efficient advisor offers the most interesting for Insurance Delegation Insurance Immo, after study, my advisor aligned himself on competition, the fees of file via Zen Up are less expensive I "&amp;"am completely satisfied Thank you Zen Up and Generali!")</f>
        <v>Very nice home.
TOP products and services, very competent and efficient advisor offers the most interesting for Insurance Delegation Insurance Immo, after study, my advisor aligned himself on competition, the fees of file via Zen Up are less expensive I am completely satisfied Thank you Zen Up and Generali!</v>
      </c>
    </row>
    <row r="732" ht="15.75" customHeight="1">
      <c r="A732" s="3">
        <v>1.0</v>
      </c>
      <c r="B732" s="3" t="s">
        <v>2061</v>
      </c>
      <c r="C732" s="3" t="s">
        <v>2062</v>
      </c>
      <c r="D732" s="3" t="s">
        <v>42</v>
      </c>
      <c r="E732" s="3" t="s">
        <v>14</v>
      </c>
      <c r="F732" s="3" t="s">
        <v>15</v>
      </c>
      <c r="G732" s="3" t="s">
        <v>2063</v>
      </c>
      <c r="H732" s="3" t="s">
        <v>159</v>
      </c>
      <c r="I732" s="3" t="str">
        <f>IFERROR(__xludf.DUMMYFUNCTION("GOOGLETRANSLATE(C732,""fr"",""en"")"),"Catastrophic mutual!
Overview of services reimbursed with huge deadlines and catastrophic packages
Latable customer service
No response to complaints
Catastrophic Viasanty Application
I leave them
")</f>
        <v>Catastrophic mutual!
Overview of services reimbursed with huge deadlines and catastrophic packages
Latable customer service
No response to complaints
Catastrophic Viasanty Application
I leave them
</v>
      </c>
    </row>
    <row r="733" ht="15.75" customHeight="1">
      <c r="A733" s="3">
        <v>1.0</v>
      </c>
      <c r="B733" s="3" t="s">
        <v>2064</v>
      </c>
      <c r="C733" s="3" t="s">
        <v>2065</v>
      </c>
      <c r="D733" s="3" t="s">
        <v>53</v>
      </c>
      <c r="E733" s="3" t="s">
        <v>27</v>
      </c>
      <c r="F733" s="3" t="s">
        <v>15</v>
      </c>
      <c r="G733" s="3" t="s">
        <v>2066</v>
      </c>
      <c r="H733" s="3" t="s">
        <v>604</v>
      </c>
      <c r="I733" s="3" t="str">
        <f>IFERROR(__xludf.DUMMYFUNCTION("GOOGLETRANSLATE(C733,""fr"",""en"")"),"Direct insurance is hell !!!
The call price is attractive but if you have a disaster (even without being responsible) it is screwed up. I have been brought up for almost 3 months to be reimbursed for a trailer. There is always a lack of paper, an opinion"&amp;" of the expert ....")</f>
        <v>Direct insurance is hell !!!
The call price is attractive but if you have a disaster (even without being responsible) it is screwed up. I have been brought up for almost 3 months to be reimbursed for a trailer. There is always a lack of paper, an opinion of the expert ....</v>
      </c>
    </row>
    <row r="734" ht="15.75" customHeight="1">
      <c r="A734" s="3">
        <v>2.0</v>
      </c>
      <c r="B734" s="3" t="s">
        <v>2067</v>
      </c>
      <c r="C734" s="3" t="s">
        <v>2068</v>
      </c>
      <c r="D734" s="3" t="s">
        <v>26</v>
      </c>
      <c r="E734" s="3" t="s">
        <v>27</v>
      </c>
      <c r="F734" s="3" t="s">
        <v>15</v>
      </c>
      <c r="G734" s="3" t="s">
        <v>2041</v>
      </c>
      <c r="H734" s="3" t="s">
        <v>1252</v>
      </c>
      <c r="I734" s="3" t="str">
        <f>IFERROR(__xludf.DUMMYFUNCTION("GOOGLETRANSLATE(C734,""fr"",""en"")"),"to avoid ,
I do not recommend ....
Not helpful very bad experience to avoid .........
even the preferable competition and above all not to go to the GMF agency in Saint Denis 93200 not recommendable")</f>
        <v>to avoid ,
I do not recommend ....
Not helpful very bad experience to avoid .........
even the preferable competition and above all not to go to the GMF agency in Saint Denis 93200 not recommendable</v>
      </c>
    </row>
    <row r="735" ht="15.75" customHeight="1">
      <c r="A735" s="3">
        <v>1.0</v>
      </c>
      <c r="B735" s="3" t="s">
        <v>2069</v>
      </c>
      <c r="C735" s="3" t="s">
        <v>2070</v>
      </c>
      <c r="D735" s="3" t="s">
        <v>108</v>
      </c>
      <c r="E735" s="3" t="s">
        <v>76</v>
      </c>
      <c r="F735" s="3" t="s">
        <v>15</v>
      </c>
      <c r="G735" s="3" t="s">
        <v>175</v>
      </c>
      <c r="H735" s="3" t="s">
        <v>23</v>
      </c>
      <c r="I735" s="3" t="str">
        <f>IFERROR(__xludf.DUMMYFUNCTION("GOOGLETRANSLATE(C735,""fr"",""en"")"),"If I could put zero star, I would. Axa has deteriorated, I will even say to flee. Always ready to collect but never ready to reimburse! More than 6 months that I am waiting for! I will terminate all my contracts with them! No more confidence!")</f>
        <v>If I could put zero star, I would. Axa has deteriorated, I will even say to flee. Always ready to collect but never ready to reimburse! More than 6 months that I am waiting for! I will terminate all my contracts with them! No more confidence!</v>
      </c>
    </row>
    <row r="736" ht="15.75" customHeight="1">
      <c r="A736" s="3">
        <v>1.0</v>
      </c>
      <c r="B736" s="3" t="s">
        <v>2071</v>
      </c>
      <c r="C736" s="3" t="s">
        <v>2072</v>
      </c>
      <c r="D736" s="3" t="s">
        <v>399</v>
      </c>
      <c r="E736" s="3" t="s">
        <v>109</v>
      </c>
      <c r="F736" s="3" t="s">
        <v>15</v>
      </c>
      <c r="G736" s="3" t="s">
        <v>2073</v>
      </c>
      <c r="H736" s="3" t="s">
        <v>676</v>
      </c>
      <c r="I736" s="3" t="str">
        <f>IFERROR(__xludf.DUMMYFUNCTION("GOOGLETRANSLATE(C736,""fr"",""en"")"),"Cardif no impossible life insurance management for 4 months more access site or advisor never answers mail fax ar ar ar")</f>
        <v>Cardif no impossible life insurance management for 4 months more access site or advisor never answers mail fax ar ar ar</v>
      </c>
    </row>
    <row r="737" ht="15.75" customHeight="1">
      <c r="A737" s="3">
        <v>1.0</v>
      </c>
      <c r="B737" s="3" t="s">
        <v>2074</v>
      </c>
      <c r="C737" s="3" t="s">
        <v>2075</v>
      </c>
      <c r="D737" s="3" t="s">
        <v>131</v>
      </c>
      <c r="E737" s="3" t="s">
        <v>76</v>
      </c>
      <c r="F737" s="3" t="s">
        <v>15</v>
      </c>
      <c r="G737" s="3" t="s">
        <v>2076</v>
      </c>
      <c r="H737" s="3" t="s">
        <v>183</v>
      </c>
      <c r="I737" s="3" t="str">
        <f>IFERROR(__xludf.DUMMYFUNCTION("GOOGLETRANSLATE(C737,""fr"",""en"")"),"I have been in the Matmut for 30 years, I underwent a water damage on January 4 despite several reminders impossible to obtain an appointment for the work with the Approved Matmut company. Customer service even replied that my walls were not dry when no o"&amp;"ne has passed the current humidity. Each call they just answer me that the company will call me, and nothing moves. I asked for the intervention of another company, in vain. For simple painting work it is desperate. This insurance has no respect for its c"&amp;"ustomers.")</f>
        <v>I have been in the Matmut for 30 years, I underwent a water damage on January 4 despite several reminders impossible to obtain an appointment for the work with the Approved Matmut company. Customer service even replied that my walls were not dry when no one has passed the current humidity. Each call they just answer me that the company will call me, and nothing moves. I asked for the intervention of another company, in vain. For simple painting work it is desperate. This insurance has no respect for its customers.</v>
      </c>
    </row>
    <row r="738" ht="15.75" customHeight="1">
      <c r="A738" s="3">
        <v>3.0</v>
      </c>
      <c r="B738" s="3" t="s">
        <v>2077</v>
      </c>
      <c r="C738" s="3" t="s">
        <v>2078</v>
      </c>
      <c r="D738" s="3" t="s">
        <v>53</v>
      </c>
      <c r="E738" s="3" t="s">
        <v>27</v>
      </c>
      <c r="F738" s="3" t="s">
        <v>15</v>
      </c>
      <c r="G738" s="3" t="s">
        <v>338</v>
      </c>
      <c r="H738" s="3" t="s">
        <v>17</v>
      </c>
      <c r="I738" s="3" t="str">
        <f>IFERROR(__xludf.DUMMYFUNCTION("GOOGLETRANSLATE(C738,""fr"",""en"")"),"It is more pleasant to meet opposite your insurer who personally answers our questions and concerns but I have all the same because the telephone service and rather fast, little")</f>
        <v>It is more pleasant to meet opposite your insurer who personally answers our questions and concerns but I have all the same because the telephone service and rather fast, little</v>
      </c>
    </row>
    <row r="739" ht="15.75" customHeight="1">
      <c r="A739" s="3">
        <v>4.0</v>
      </c>
      <c r="B739" s="3" t="s">
        <v>2079</v>
      </c>
      <c r="C739" s="3" t="s">
        <v>2080</v>
      </c>
      <c r="D739" s="3" t="s">
        <v>53</v>
      </c>
      <c r="E739" s="3" t="s">
        <v>27</v>
      </c>
      <c r="F739" s="3" t="s">
        <v>15</v>
      </c>
      <c r="G739" s="3" t="s">
        <v>58</v>
      </c>
      <c r="H739" s="3" t="s">
        <v>58</v>
      </c>
      <c r="I739" s="3" t="str">
        <f>IFERROR(__xludf.DUMMYFUNCTION("GOOGLETRANSLATE(C739,""fr"",""en"")"),"I discovered your insurance thanks to my dad who had already had a contract with you a few years ago. Simple fast and efficient with guarantees corresponding to my high level of protection expectations. I in turn recommend your insurance.")</f>
        <v>I discovered your insurance thanks to my dad who had already had a contract with you a few years ago. Simple fast and efficient with guarantees corresponding to my high level of protection expectations. I in turn recommend your insurance.</v>
      </c>
    </row>
    <row r="740" ht="15.75" customHeight="1">
      <c r="A740" s="3">
        <v>1.0</v>
      </c>
      <c r="B740" s="3" t="s">
        <v>2081</v>
      </c>
      <c r="C740" s="3" t="s">
        <v>2082</v>
      </c>
      <c r="D740" s="3" t="s">
        <v>32</v>
      </c>
      <c r="E740" s="3" t="s">
        <v>14</v>
      </c>
      <c r="F740" s="3" t="s">
        <v>15</v>
      </c>
      <c r="G740" s="3" t="s">
        <v>931</v>
      </c>
      <c r="H740" s="3" t="s">
        <v>72</v>
      </c>
      <c r="I740" s="3" t="str">
        <f>IFERROR(__xludf.DUMMYFUNCTION("GOOGLETRANSLATE(C740,""fr"",""en"")"),"You have to be patient to succeed in having an online advisor. They take you by boat when reimbursements for each fresh medical expenses, not to mention the pay -out third -party reimbursements which are very long to arrive. I waited for 3 months for the "&amp;"reimbursement of my glasses. And there it has been 2 times that the invoices that I send them disappear. Avoid at all costs.")</f>
        <v>You have to be patient to succeed in having an online advisor. They take you by boat when reimbursements for each fresh medical expenses, not to mention the pay -out third -party reimbursements which are very long to arrive. I waited for 3 months for the reimbursement of my glasses. And there it has been 2 times that the invoices that I send them disappear. Avoid at all costs.</v>
      </c>
    </row>
    <row r="741" ht="15.75" customHeight="1">
      <c r="A741" s="3">
        <v>3.0</v>
      </c>
      <c r="B741" s="3" t="s">
        <v>2083</v>
      </c>
      <c r="C741" s="3" t="s">
        <v>2084</v>
      </c>
      <c r="D741" s="3" t="s">
        <v>53</v>
      </c>
      <c r="E741" s="3" t="s">
        <v>27</v>
      </c>
      <c r="F741" s="3" t="s">
        <v>15</v>
      </c>
      <c r="G741" s="3" t="s">
        <v>461</v>
      </c>
      <c r="H741" s="3" t="s">
        <v>50</v>
      </c>
      <c r="I741" s="3" t="str">
        <f>IFERROR(__xludf.DUMMYFUNCTION("GOOGLETRANSLATE(C741,""fr"",""en"")"),"Simple and practical, I was looking for insurance for my car and your offer my convinced. The price is attractive and is suitable for a young driver like me.")</f>
        <v>Simple and practical, I was looking for insurance for my car and your offer my convinced. The price is attractive and is suitable for a young driver like me.</v>
      </c>
    </row>
    <row r="742" ht="15.75" customHeight="1">
      <c r="A742" s="3">
        <v>1.0</v>
      </c>
      <c r="B742" s="3" t="s">
        <v>2085</v>
      </c>
      <c r="C742" s="3" t="s">
        <v>2086</v>
      </c>
      <c r="D742" s="3" t="s">
        <v>193</v>
      </c>
      <c r="E742" s="3" t="s">
        <v>14</v>
      </c>
      <c r="F742" s="3" t="s">
        <v>15</v>
      </c>
      <c r="G742" s="3" t="s">
        <v>2087</v>
      </c>
      <c r="H742" s="3" t="s">
        <v>655</v>
      </c>
      <c r="I742" s="3" t="str">
        <f>IFERROR(__xludf.DUMMYFUNCTION("GOOGLETRANSLATE(C742,""fr"",""en"")"),"The care sheets are constantly lost, therefore never reimbursed and when we call for information or a complaint it is the obstacle course. Mutual overpriced when you reach a certain step since the subscription is calculated in proportion to gross salary.")</f>
        <v>The care sheets are constantly lost, therefore never reimbursed and when we call for information or a complaint it is the obstacle course. Mutual overpriced when you reach a certain step since the subscription is calculated in proportion to gross salary.</v>
      </c>
    </row>
    <row r="743" ht="15.75" customHeight="1">
      <c r="A743" s="3">
        <v>4.0</v>
      </c>
      <c r="B743" s="3" t="s">
        <v>2088</v>
      </c>
      <c r="C743" s="3" t="s">
        <v>2089</v>
      </c>
      <c r="D743" s="3" t="s">
        <v>37</v>
      </c>
      <c r="E743" s="3" t="s">
        <v>27</v>
      </c>
      <c r="F743" s="3" t="s">
        <v>15</v>
      </c>
      <c r="G743" s="3" t="s">
        <v>1473</v>
      </c>
      <c r="H743" s="3" t="s">
        <v>23</v>
      </c>
      <c r="I743" s="3" t="str">
        <f>IFERROR(__xludf.DUMMYFUNCTION("GOOGLETRANSLATE(C743,""fr"",""en"")"),"Satisfied with the adviser, simple and efficient, I was able to have all the information I wanted to subscribe to the contract. Thank you for your efficiency.")</f>
        <v>Satisfied with the adviser, simple and efficient, I was able to have all the information I wanted to subscribe to the contract. Thank you for your efficiency.</v>
      </c>
    </row>
    <row r="744" ht="15.75" customHeight="1">
      <c r="A744" s="3">
        <v>4.0</v>
      </c>
      <c r="B744" s="3" t="s">
        <v>2090</v>
      </c>
      <c r="C744" s="3" t="s">
        <v>2091</v>
      </c>
      <c r="D744" s="3" t="s">
        <v>37</v>
      </c>
      <c r="E744" s="3" t="s">
        <v>27</v>
      </c>
      <c r="F744" s="3" t="s">
        <v>15</v>
      </c>
      <c r="G744" s="3" t="s">
        <v>1551</v>
      </c>
      <c r="H744" s="3" t="s">
        <v>17</v>
      </c>
      <c r="I744" s="3" t="str">
        <f>IFERROR(__xludf.DUMMYFUNCTION("GOOGLETRANSLATE(C744,""fr"",""en"")"),"Attractive price but beware of the price displayed per year versus the monthly price (+15%), this was only revealed to me when confirming the quote by phone, which made me swell my quote of 100 €")</f>
        <v>Attractive price but beware of the price displayed per year versus the monthly price (+15%), this was only revealed to me when confirming the quote by phone, which made me swell my quote of 100 €</v>
      </c>
    </row>
    <row r="745" ht="15.75" customHeight="1">
      <c r="A745" s="3">
        <v>1.0</v>
      </c>
      <c r="B745" s="3" t="s">
        <v>2092</v>
      </c>
      <c r="C745" s="3" t="s">
        <v>2093</v>
      </c>
      <c r="D745" s="3" t="s">
        <v>13</v>
      </c>
      <c r="E745" s="3" t="s">
        <v>14</v>
      </c>
      <c r="F745" s="3" t="s">
        <v>15</v>
      </c>
      <c r="G745" s="3" t="s">
        <v>2094</v>
      </c>
      <c r="H745" s="3" t="s">
        <v>44</v>
      </c>
      <c r="I745" s="3" t="str">
        <f>IFERROR(__xludf.DUMMYFUNCTION("GOOGLETRANSLATE(C745,""fr"",""en"")"),"No follow -up")</f>
        <v>No follow -up</v>
      </c>
    </row>
    <row r="746" ht="15.75" customHeight="1">
      <c r="A746" s="3">
        <v>4.0</v>
      </c>
      <c r="B746" s="3" t="s">
        <v>2095</v>
      </c>
      <c r="C746" s="3" t="s">
        <v>2096</v>
      </c>
      <c r="D746" s="3" t="s">
        <v>1151</v>
      </c>
      <c r="E746" s="3" t="s">
        <v>48</v>
      </c>
      <c r="F746" s="3" t="s">
        <v>15</v>
      </c>
      <c r="G746" s="3" t="s">
        <v>2097</v>
      </c>
      <c r="H746" s="3" t="s">
        <v>29</v>
      </c>
      <c r="I746" s="3" t="str">
        <f>IFERROR(__xludf.DUMMYFUNCTION("GOOGLETRANSLATE(C746,""fr"",""en"")"),"Friendly and responsive welcome.
The information is clear and simple.
For the moment no worries to report.
To see in case of care ....")</f>
        <v>Friendly and responsive welcome.
The information is clear and simple.
For the moment no worries to report.
To see in case of care ....</v>
      </c>
    </row>
    <row r="747" ht="15.75" customHeight="1">
      <c r="A747" s="3">
        <v>4.0</v>
      </c>
      <c r="B747" s="3" t="s">
        <v>2098</v>
      </c>
      <c r="C747" s="3" t="s">
        <v>2099</v>
      </c>
      <c r="D747" s="3" t="s">
        <v>37</v>
      </c>
      <c r="E747" s="3" t="s">
        <v>27</v>
      </c>
      <c r="F747" s="3" t="s">
        <v>15</v>
      </c>
      <c r="G747" s="3" t="s">
        <v>49</v>
      </c>
      <c r="H747" s="3" t="s">
        <v>50</v>
      </c>
      <c r="I747" s="3" t="str">
        <f>IFERROR(__xludf.DUMMYFUNCTION("GOOGLETRANSLATE(C747,""fr"",""en"")"),"Personally, I have always been well received and advisable so far, the various advisers I had on the phone we were very warm and pleasant.")</f>
        <v>Personally, I have always been well received and advisable so far, the various advisers I had on the phone we were very warm and pleasant.</v>
      </c>
    </row>
    <row r="748" ht="15.75" customHeight="1">
      <c r="A748" s="3">
        <v>4.0</v>
      </c>
      <c r="B748" s="3" t="s">
        <v>2100</v>
      </c>
      <c r="C748" s="3" t="s">
        <v>2101</v>
      </c>
      <c r="D748" s="3" t="s">
        <v>80</v>
      </c>
      <c r="E748" s="3" t="s">
        <v>81</v>
      </c>
      <c r="F748" s="3" t="s">
        <v>15</v>
      </c>
      <c r="G748" s="3" t="s">
        <v>1596</v>
      </c>
      <c r="H748" s="3" t="s">
        <v>72</v>
      </c>
      <c r="I748" s="3" t="str">
        <f>IFERROR(__xludf.DUMMYFUNCTION("GOOGLETRANSLATE(C748,""fr"",""en"")"),"I am very satisfied with the prices offered as well as the speed of the commissioning of the insurance thank you for your professionalism for your speed as well as to my Francesca advisor")</f>
        <v>I am very satisfied with the prices offered as well as the speed of the commissioning of the insurance thank you for your professionalism for your speed as well as to my Francesca advisor</v>
      </c>
    </row>
    <row r="749" ht="15.75" customHeight="1">
      <c r="A749" s="3">
        <v>4.0</v>
      </c>
      <c r="B749" s="3" t="s">
        <v>2102</v>
      </c>
      <c r="C749" s="3" t="s">
        <v>2103</v>
      </c>
      <c r="D749" s="3" t="s">
        <v>53</v>
      </c>
      <c r="E749" s="3" t="s">
        <v>27</v>
      </c>
      <c r="F749" s="3" t="s">
        <v>15</v>
      </c>
      <c r="G749" s="3" t="s">
        <v>1145</v>
      </c>
      <c r="H749" s="3" t="s">
        <v>17</v>
      </c>
      <c r="I749" s="3" t="str">
        <f>IFERROR(__xludf.DUMMYFUNCTION("GOOGLETRANSLATE(C749,""fr"",""en"")"),"I have been a little disappointed since last year when I was able to benefit from the family pack my older daughter but not my younger daughter., The price proposal that was made to me was exorbitant. Since impossible for my eldest daughter to create her "&amp;"own personal space ...")</f>
        <v>I have been a little disappointed since last year when I was able to benefit from the family pack my older daughter but not my younger daughter., The price proposal that was made to me was exorbitant. Since impossible for my eldest daughter to create her own personal space ...</v>
      </c>
    </row>
    <row r="750" ht="15.75" customHeight="1">
      <c r="A750" s="3">
        <v>4.0</v>
      </c>
      <c r="B750" s="3" t="s">
        <v>2104</v>
      </c>
      <c r="C750" s="3" t="s">
        <v>2105</v>
      </c>
      <c r="D750" s="3" t="s">
        <v>37</v>
      </c>
      <c r="E750" s="3" t="s">
        <v>27</v>
      </c>
      <c r="F750" s="3" t="s">
        <v>15</v>
      </c>
      <c r="G750" s="3" t="s">
        <v>1175</v>
      </c>
      <c r="H750" s="3" t="s">
        <v>69</v>
      </c>
      <c r="I750" s="3" t="str">
        <f>IFERROR(__xludf.DUMMYFUNCTION("GOOGLETRANSLATE(C750,""fr"",""en"")"),"Very courteous advisers and listening to my requests for discount on future deadlines")</f>
        <v>Very courteous advisers and listening to my requests for discount on future deadlines</v>
      </c>
    </row>
    <row r="751" ht="15.75" customHeight="1">
      <c r="A751" s="3">
        <v>1.0</v>
      </c>
      <c r="B751" s="3" t="s">
        <v>2106</v>
      </c>
      <c r="C751" s="3" t="s">
        <v>2107</v>
      </c>
      <c r="D751" s="3" t="s">
        <v>628</v>
      </c>
      <c r="E751" s="3" t="s">
        <v>109</v>
      </c>
      <c r="F751" s="3" t="s">
        <v>15</v>
      </c>
      <c r="G751" s="3" t="s">
        <v>2108</v>
      </c>
      <c r="H751" s="3" t="s">
        <v>190</v>
      </c>
      <c r="I751" s="3" t="str">
        <f>IFERROR(__xludf.DUMMYFUNCTION("GOOGLETRANSLATE(C751,""fr"",""en"")"),"Hello,
I do not understand every time I contact you orient me towards Noorassur you reject the ball. And your life insurance Salam Sicav is a very bad contract, there are only decreases. Disappointed.")</f>
        <v>Hello,
I do not understand every time I contact you orient me towards Noorassur you reject the ball. And your life insurance Salam Sicav is a very bad contract, there are only decreases. Disappointed.</v>
      </c>
    </row>
    <row r="752" ht="15.75" customHeight="1">
      <c r="A752" s="3">
        <v>5.0</v>
      </c>
      <c r="B752" s="3" t="s">
        <v>2109</v>
      </c>
      <c r="C752" s="3" t="s">
        <v>2110</v>
      </c>
      <c r="D752" s="3" t="s">
        <v>37</v>
      </c>
      <c r="E752" s="3" t="s">
        <v>27</v>
      </c>
      <c r="F752" s="3" t="s">
        <v>15</v>
      </c>
      <c r="G752" s="3" t="s">
        <v>198</v>
      </c>
      <c r="H752" s="3" t="s">
        <v>23</v>
      </c>
      <c r="I752" s="3" t="str">
        <f>IFERROR(__xludf.DUMMYFUNCTION("GOOGLETRANSLATE(C752,""fr"",""en"")"),"I am satisfied with the subscription services for the L’Olivier insurer, the offers are clear and the responses, to advise.
A good choice I hope.")</f>
        <v>I am satisfied with the subscription services for the L’Olivier insurer, the offers are clear and the responses, to advise.
A good choice I hope.</v>
      </c>
    </row>
    <row r="753" ht="15.75" customHeight="1">
      <c r="A753" s="3">
        <v>5.0</v>
      </c>
      <c r="B753" s="3" t="s">
        <v>2111</v>
      </c>
      <c r="C753" s="3" t="s">
        <v>2112</v>
      </c>
      <c r="D753" s="3" t="s">
        <v>1151</v>
      </c>
      <c r="E753" s="3" t="s">
        <v>48</v>
      </c>
      <c r="F753" s="3" t="s">
        <v>15</v>
      </c>
      <c r="G753" s="3" t="s">
        <v>809</v>
      </c>
      <c r="H753" s="3" t="s">
        <v>99</v>
      </c>
      <c r="I753" s="3" t="str">
        <f>IFERROR(__xludf.DUMMYFUNCTION("GOOGLETRANSLATE(C753,""fr"",""en"")"),"Very good listening and professional
Very attractive price
Possibility of modifying the quote several times
Very available interlocutor
I recommend without hesitation")</f>
        <v>Very good listening and professional
Very attractive price
Possibility of modifying the quote several times
Very available interlocutor
I recommend without hesitation</v>
      </c>
    </row>
    <row r="754" ht="15.75" customHeight="1">
      <c r="A754" s="3">
        <v>4.0</v>
      </c>
      <c r="B754" s="3" t="s">
        <v>2113</v>
      </c>
      <c r="C754" s="3" t="s">
        <v>2114</v>
      </c>
      <c r="D754" s="3" t="s">
        <v>80</v>
      </c>
      <c r="E754" s="3" t="s">
        <v>81</v>
      </c>
      <c r="F754" s="3" t="s">
        <v>15</v>
      </c>
      <c r="G754" s="3" t="s">
        <v>727</v>
      </c>
      <c r="H754" s="3" t="s">
        <v>29</v>
      </c>
      <c r="I754" s="3" t="str">
        <f>IFERROR(__xludf.DUMMYFUNCTION("GOOGLETRANSLATE(C754,""fr"",""en"")"),"I am sastisfit of this opinion I like this assurance my taking it and a can be too much jespaire that its calit and I write to koi psk I do not know what to write")</f>
        <v>I am sastisfit of this opinion I like this assurance my taking it and a can be too much jespaire that its calit and I write to koi psk I do not know what to write</v>
      </c>
    </row>
    <row r="755" ht="15.75" customHeight="1">
      <c r="A755" s="3">
        <v>5.0</v>
      </c>
      <c r="B755" s="3" t="s">
        <v>2115</v>
      </c>
      <c r="C755" s="3" t="s">
        <v>2116</v>
      </c>
      <c r="D755" s="3" t="s">
        <v>157</v>
      </c>
      <c r="E755" s="3" t="s">
        <v>14</v>
      </c>
      <c r="F755" s="3" t="s">
        <v>15</v>
      </c>
      <c r="G755" s="3" t="s">
        <v>2117</v>
      </c>
      <c r="H755" s="3" t="s">
        <v>205</v>
      </c>
      <c r="I755" s="3" t="str">
        <f>IFERROR(__xludf.DUMMYFUNCTION("GOOGLETRANSLATE(C755,""fr"",""en"")"),"TVs quickly available, perfectly attentive, by the fact of the contractual arrangements of each and which give relevant information as well as wise advice.
The application is also very practical and makes it possible to manage contract, statements, benef"&amp;"iciaries and requests for additional reimbursement very easily.")</f>
        <v>TVs quickly available, perfectly attentive, by the fact of the contractual arrangements of each and which give relevant information as well as wise advice.
The application is also very practical and makes it possible to manage contract, statements, beneficiaries and requests for additional reimbursement very easily.</v>
      </c>
    </row>
    <row r="756" ht="15.75" customHeight="1">
      <c r="A756" s="3">
        <v>3.0</v>
      </c>
      <c r="B756" s="3" t="s">
        <v>2118</v>
      </c>
      <c r="C756" s="3" t="s">
        <v>2119</v>
      </c>
      <c r="D756" s="3" t="s">
        <v>53</v>
      </c>
      <c r="E756" s="3" t="s">
        <v>27</v>
      </c>
      <c r="F756" s="3" t="s">
        <v>15</v>
      </c>
      <c r="G756" s="3" t="s">
        <v>1243</v>
      </c>
      <c r="H756" s="3" t="s">
        <v>58</v>
      </c>
      <c r="I756" s="3" t="str">
        <f>IFERROR(__xludf.DUMMYFUNCTION("GOOGLETRANSLATE(C756,""fr"",""en"")"),"Relatively satisfied with the service the first year (as long as you don't need to reach them on the phone, it's going).
Unfortunately, for this second year I am offered very lower prices with competition.
Too bad not to be able to renegotiate.")</f>
        <v>Relatively satisfied with the service the first year (as long as you don't need to reach them on the phone, it's going).
Unfortunately, for this second year I am offered very lower prices with competition.
Too bad not to be able to renegotiate.</v>
      </c>
    </row>
    <row r="757" ht="15.75" customHeight="1">
      <c r="A757" s="3">
        <v>1.0</v>
      </c>
      <c r="B757" s="3" t="s">
        <v>2120</v>
      </c>
      <c r="C757" s="3" t="s">
        <v>2121</v>
      </c>
      <c r="D757" s="3" t="s">
        <v>399</v>
      </c>
      <c r="E757" s="3" t="s">
        <v>48</v>
      </c>
      <c r="F757" s="3" t="s">
        <v>15</v>
      </c>
      <c r="G757" s="3" t="s">
        <v>2122</v>
      </c>
      <c r="H757" s="3" t="s">
        <v>428</v>
      </c>
      <c r="I757" s="3" t="str">
        <f>IFERROR(__xludf.DUMMYFUNCTION("GOOGLETRANSLATE(C757,""fr"",""en"")"),"Waiting for the due date in order to flee this home insurance.
Quick to take the deadlines and increase them during the year without warning but during problems and the implementation of legal protection everything is complicated.
No more communication,"&amp;" sends experts to see non-experts that make a report to draw hair on a bald and when you contact them .....
The answer is to make you understand that you have to undergo everything, paying a point C is all.
Good unless I like to give money to incompeten"&amp;"t people I advise to flee this insurance.
In short, very bad relationship and experience")</f>
        <v>Waiting for the due date in order to flee this home insurance.
Quick to take the deadlines and increase them during the year without warning but during problems and the implementation of legal protection everything is complicated.
No more communication, sends experts to see non-experts that make a report to draw hair on a bald and when you contact them .....
The answer is to make you understand that you have to undergo everything, paying a point C is all.
Good unless I like to give money to incompetent people I advise to flee this insurance.
In short, very bad relationship and experience</v>
      </c>
    </row>
    <row r="758" ht="15.75" customHeight="1">
      <c r="A758" s="3">
        <v>3.0</v>
      </c>
      <c r="B758" s="3" t="s">
        <v>2123</v>
      </c>
      <c r="C758" s="3" t="s">
        <v>2124</v>
      </c>
      <c r="D758" s="3" t="s">
        <v>53</v>
      </c>
      <c r="E758" s="3" t="s">
        <v>27</v>
      </c>
      <c r="F758" s="3" t="s">
        <v>15</v>
      </c>
      <c r="G758" s="3" t="s">
        <v>303</v>
      </c>
      <c r="H758" s="3" t="s">
        <v>58</v>
      </c>
      <c r="I758" s="3" t="str">
        <f>IFERROR(__xludf.DUMMYFUNCTION("GOOGLETRANSLATE(C758,""fr"",""en"")"),"Hello,
I am satisfied with the service offered and implemented. I found the staff very pleasant and explanatory.
Nevertheless I find that the prices are still quite high")</f>
        <v>Hello,
I am satisfied with the service offered and implemented. I found the staff very pleasant and explanatory.
Nevertheless I find that the prices are still quite high</v>
      </c>
    </row>
    <row r="759" ht="15.75" customHeight="1">
      <c r="A759" s="3">
        <v>2.0</v>
      </c>
      <c r="B759" s="3" t="s">
        <v>2125</v>
      </c>
      <c r="C759" s="3" t="s">
        <v>2126</v>
      </c>
      <c r="D759" s="3" t="s">
        <v>1966</v>
      </c>
      <c r="E759" s="3" t="s">
        <v>81</v>
      </c>
      <c r="F759" s="3" t="s">
        <v>15</v>
      </c>
      <c r="G759" s="3" t="s">
        <v>650</v>
      </c>
      <c r="H759" s="3" t="s">
        <v>262</v>
      </c>
      <c r="I759" s="3" t="str">
        <f>IFERROR(__xludf.DUMMYFUNCTION("GOOGLETRANSLATE(C759,""fr"",""en"")"),"I was rather satisfied at the base of this insurance, to this day or despite my letters, emails, blows of threads I do not manage to have an information statement.
Following a non -responsible disaster, my vehicle ended up in wreckage, bought by insura"&amp;"nce.
Not content with continuing to take my monthly payments for a sold vehicle (their own), they make the ostriches when my requests for information statement (essential and compulsory).
I tried by the assistance of the site, nothing
The classic email"&amp;", nothing
Normal mail, nothing
Customer service, nothing
I will have to go through the recommended box without certainties.
It is not very serious.")</f>
        <v>I was rather satisfied at the base of this insurance, to this day or despite my letters, emails, blows of threads I do not manage to have an information statement.
Following a non -responsible disaster, my vehicle ended up in wreckage, bought by insurance.
Not content with continuing to take my monthly payments for a sold vehicle (their own), they make the ostriches when my requests for information statement (essential and compulsory).
I tried by the assistance of the site, nothing
The classic email, nothing
Normal mail, nothing
Customer service, nothing
I will have to go through the recommended box without certainties.
It is not very serious.</v>
      </c>
    </row>
    <row r="760" ht="15.75" customHeight="1">
      <c r="A760" s="3">
        <v>1.0</v>
      </c>
      <c r="B760" s="3" t="s">
        <v>2127</v>
      </c>
      <c r="C760" s="3" t="s">
        <v>2128</v>
      </c>
      <c r="D760" s="3" t="s">
        <v>85</v>
      </c>
      <c r="E760" s="3" t="s">
        <v>27</v>
      </c>
      <c r="F760" s="3" t="s">
        <v>15</v>
      </c>
      <c r="G760" s="3" t="s">
        <v>2129</v>
      </c>
      <c r="H760" s="3" t="s">
        <v>125</v>
      </c>
      <c r="I760" s="3" t="str">
        <f>IFERROR(__xludf.DUMMYFUNCTION("GOOGLETRANSLATE(C760,""fr"",""en"")"),"Insurance subscribed for my son but the problem occurred when they asked me for the information statement concerning my son, he did not have one since it was his first car. They wanted to know nothing and let the insurance run. Several calls and a recomme"&amp;"nded recommended to terminate insurance that was duplicating since they did not want to hear me on the missing document and I had subscribed to another insurance the olive tree from which I am fully satisfied. Result, more than 200 euros of lost ... compl"&amp;"etely disappointed with this insurance which according to my old insurance does not respect the change of insurance protocol ...")</f>
        <v>Insurance subscribed for my son but the problem occurred when they asked me for the information statement concerning my son, he did not have one since it was his first car. They wanted to know nothing and let the insurance run. Several calls and a recommended recommended to terminate insurance that was duplicating since they did not want to hear me on the missing document and I had subscribed to another insurance the olive tree from which I am fully satisfied. Result, more than 200 euros of lost ... completely disappointed with this insurance which according to my old insurance does not respect the change of insurance protocol ...</v>
      </c>
    </row>
    <row r="761" ht="15.75" customHeight="1">
      <c r="A761" s="3">
        <v>1.0</v>
      </c>
      <c r="B761" s="3" t="s">
        <v>2130</v>
      </c>
      <c r="C761" s="3" t="s">
        <v>2131</v>
      </c>
      <c r="D761" s="3" t="s">
        <v>61</v>
      </c>
      <c r="E761" s="3" t="s">
        <v>14</v>
      </c>
      <c r="F761" s="3" t="s">
        <v>15</v>
      </c>
      <c r="G761" s="3" t="s">
        <v>2132</v>
      </c>
      <c r="H761" s="3" t="s">
        <v>159</v>
      </c>
      <c r="I761" s="3" t="str">
        <f>IFERROR(__xludf.DUMMYFUNCTION("GOOGLETRANSLATE(C761,""fr"",""en"")"),"I have been a customer of Santiane for 2 years and I strongly recommend this broker service which does the intermediary with a mutual. I asked for a month ago that my spouse was affiliated with my mutual from October 1, I received a confirmation email tha"&amp;"t my request was taken into account but since they have ""forgotten"" from the treat. In fact my spouse is still not affiliated. When I asked for explanations and a quick resolution of the problem by e-mail I was sent back to the telephone service, which "&amp;"in turn returned to the website. No one apologizes for the damage caused, my spouse with current health costs in October. No solution of the proposed problem ... they want me to redo the request that I had already made! It is a very poor quality service. "&amp;"TO FLEE !")</f>
        <v>I have been a customer of Santiane for 2 years and I strongly recommend this broker service which does the intermediary with a mutual. I asked for a month ago that my spouse was affiliated with my mutual from October 1, I received a confirmation email that my request was taken into account but since they have "forgotten" from the treat. In fact my spouse is still not affiliated. When I asked for explanations and a quick resolution of the problem by e-mail I was sent back to the telephone service, which in turn returned to the website. No one apologizes for the damage caused, my spouse with current health costs in October. No solution of the proposed problem ... they want me to redo the request that I had already made! It is a very poor quality service. TO FLEE !</v>
      </c>
    </row>
    <row r="762" ht="15.75" customHeight="1">
      <c r="A762" s="3">
        <v>1.0</v>
      </c>
      <c r="B762" s="3" t="s">
        <v>2133</v>
      </c>
      <c r="C762" s="3" t="s">
        <v>2134</v>
      </c>
      <c r="D762" s="3" t="s">
        <v>153</v>
      </c>
      <c r="E762" s="3" t="s">
        <v>81</v>
      </c>
      <c r="F762" s="3" t="s">
        <v>15</v>
      </c>
      <c r="G762" s="3" t="s">
        <v>2135</v>
      </c>
      <c r="H762" s="3" t="s">
        <v>335</v>
      </c>
      <c r="I762" s="3" t="str">
        <f>IFERROR(__xludf.DUMMYFUNCTION("GOOGLETRANSLATE(C762,""fr"",""en"")"),"In a completely non -responsible accident, where I have been refused priority, the AMDM has taken 25 months to settle this situation.
A registered letter to the legal service and two recommended letters to the President, have never had answers, as well a"&amp;"s many emails and voice messages.
In addition, the latest intervening garage has been waiting since June 2018 since June 2018, the settlement of his invoice, despite the commitment and promise of the expertise office which represented them.
If you have "&amp;"nothing to ask them, you can trust them, if not, go your way.
")</f>
        <v>In a completely non -responsible accident, where I have been refused priority, the AMDM has taken 25 months to settle this situation.
A registered letter to the legal service and two recommended letters to the President, have never had answers, as well as many emails and voice messages.
In addition, the latest intervening garage has been waiting since June 2018 since June 2018, the settlement of his invoice, despite the commitment and promise of the expertise office which represented them.
If you have nothing to ask them, you can trust them, if not, go your way.
</v>
      </c>
    </row>
    <row r="763" ht="15.75" customHeight="1">
      <c r="A763" s="3">
        <v>2.0</v>
      </c>
      <c r="B763" s="3" t="s">
        <v>2136</v>
      </c>
      <c r="C763" s="3" t="s">
        <v>2137</v>
      </c>
      <c r="D763" s="3" t="s">
        <v>37</v>
      </c>
      <c r="E763" s="3" t="s">
        <v>27</v>
      </c>
      <c r="F763" s="3" t="s">
        <v>15</v>
      </c>
      <c r="G763" s="3" t="s">
        <v>1251</v>
      </c>
      <c r="H763" s="3" t="s">
        <v>1252</v>
      </c>
      <c r="I763" s="3" t="str">
        <f>IFERROR(__xludf.DUMMYFUNCTION("GOOGLETRANSLATE(C763,""fr"",""en"")"),"Two advisers established me inappropriate, even erroneous quotes with regard to my situation, and obviously, more expensive (the first at 815 euros, the second at 711). I refused to take out in a hurry by phone as the advisers pushed me to do it. I spent "&amp;"a lot of time on this subscription to be sure of having informed the right information and that the contract meets my needs correctly. I have had many bugs on online finalization, and by rebuilding the quote one another time with all the right information"&amp;", I received several emails and PDF with different prices, the lowest at 519 euros, That it was impossible to finalize online and that I was refused by phone on the grounds that it was a computer bug. However, this price also emerged when a 3rd advisor ge"&amp;"nerated the quote himself with the same information as we first checked together. This time again, impossible to finalize that at 519, which automatically returns to 635 euros when the page wants to take care of. In the end, so it goes out with a price at"&amp;" 635 euros which seems to me rather correct (note 3/5 for the price level because I was still refused the quote at 519 euros without any commercial gesture). On the other hand, I am very disappointed with the user experience for online subscription and th"&amp;"e customer experience with the various advisers (note 1/5 for satisfaction). I hope to have a better experience during the life of the contract.")</f>
        <v>Two advisers established me inappropriate, even erroneous quotes with regard to my situation, and obviously, more expensive (the first at 815 euros, the second at 711). I refused to take out in a hurry by phone as the advisers pushed me to do it. I spent a lot of time on this subscription to be sure of having informed the right information and that the contract meets my needs correctly. I have had many bugs on online finalization, and by rebuilding the quote one another time with all the right information, I received several emails and PDF with different prices, the lowest at 519 euros, That it was impossible to finalize online and that I was refused by phone on the grounds that it was a computer bug. However, this price also emerged when a 3rd advisor generated the quote himself with the same information as we first checked together. This time again, impossible to finalize that at 519, which automatically returns to 635 euros when the page wants to take care of. In the end, so it goes out with a price at 635 euros which seems to me rather correct (note 3/5 for the price level because I was still refused the quote at 519 euros without any commercial gesture). On the other hand, I am very disappointed with the user experience for online subscription and the customer experience with the various advisers (note 1/5 for satisfaction). I hope to have a better experience during the life of the contract.</v>
      </c>
    </row>
    <row r="764" ht="15.75" customHeight="1">
      <c r="A764" s="3">
        <v>2.0</v>
      </c>
      <c r="B764" s="3" t="s">
        <v>2138</v>
      </c>
      <c r="C764" s="3" t="s">
        <v>2139</v>
      </c>
      <c r="D764" s="3" t="s">
        <v>327</v>
      </c>
      <c r="E764" s="3" t="s">
        <v>27</v>
      </c>
      <c r="F764" s="3" t="s">
        <v>15</v>
      </c>
      <c r="G764" s="3" t="s">
        <v>2140</v>
      </c>
      <c r="H764" s="3" t="s">
        <v>266</v>
      </c>
      <c r="I764" s="3" t="str">
        <f>IFERROR(__xludf.DUMMYFUNCTION("GOOGLETRANSLATE(C764,""fr"",""en"")"),"incompetent and impossible to make the phone assets and have the right information without going through LCL which themselves do not know anything")</f>
        <v>incompetent and impossible to make the phone assets and have the right information without going through LCL which themselves do not know anything</v>
      </c>
    </row>
    <row r="765" ht="15.75" customHeight="1">
      <c r="A765" s="3">
        <v>5.0</v>
      </c>
      <c r="B765" s="3" t="s">
        <v>2141</v>
      </c>
      <c r="C765" s="3" t="s">
        <v>2142</v>
      </c>
      <c r="D765" s="3" t="s">
        <v>37</v>
      </c>
      <c r="E765" s="3" t="s">
        <v>27</v>
      </c>
      <c r="F765" s="3" t="s">
        <v>15</v>
      </c>
      <c r="G765" s="3" t="s">
        <v>1551</v>
      </c>
      <c r="H765" s="3" t="s">
        <v>17</v>
      </c>
      <c r="I765" s="3" t="str">
        <f>IFERROR(__xludf.DUMMYFUNCTION("GOOGLETRANSLATE(C765,""fr"",""en"")"),"I am delighted with the service and the kindness of your very competent staff thank you for this service and the price fully suits me the speed of the quote The kindness of your staff make me very satisfied with your service thank you Mr. Cassara")</f>
        <v>I am delighted with the service and the kindness of your very competent staff thank you for this service and the price fully suits me the speed of the quote The kindness of your staff make me very satisfied with your service thank you Mr. Cassara</v>
      </c>
    </row>
    <row r="766" ht="15.75" customHeight="1">
      <c r="A766" s="3">
        <v>1.0</v>
      </c>
      <c r="B766" s="3" t="s">
        <v>2143</v>
      </c>
      <c r="C766" s="3" t="s">
        <v>2144</v>
      </c>
      <c r="D766" s="3" t="s">
        <v>247</v>
      </c>
      <c r="E766" s="3" t="s">
        <v>27</v>
      </c>
      <c r="F766" s="3" t="s">
        <v>15</v>
      </c>
      <c r="G766" s="3" t="s">
        <v>2145</v>
      </c>
      <c r="H766" s="3" t="s">
        <v>90</v>
      </c>
      <c r="I766" s="3" t="str">
        <f>IFERROR(__xludf.DUMMYFUNCTION("GOOGLETRANSLATE(C766,""fr"",""en"")"),"The Macif de Valenciennes has not recommended! They are salespeople and not insurers and rude in +, they are only there to sell you their contracts which are useless, in addition, I had sent a registered letter with AR for my information statement and the"&amp;"y do not want Not sending it, according to them you have to go to an agency to have it despite the law which forces them to send it within 15 days all that to better dissuade us. The headquarters would be better to do mysteries in this agency unless they "&amp;"are responsible for this disastrous policy!")</f>
        <v>The Macif de Valenciennes has not recommended! They are salespeople and not insurers and rude in +, they are only there to sell you their contracts which are useless, in addition, I had sent a registered letter with AR for my information statement and they do not want Not sending it, according to them you have to go to an agency to have it despite the law which forces them to send it within 15 days all that to better dissuade us. The headquarters would be better to do mysteries in this agency unless they are responsible for this disastrous policy!</v>
      </c>
    </row>
    <row r="767" ht="15.75" customHeight="1">
      <c r="A767" s="3">
        <v>3.0</v>
      </c>
      <c r="B767" s="3" t="s">
        <v>2146</v>
      </c>
      <c r="C767" s="3" t="s">
        <v>2147</v>
      </c>
      <c r="D767" s="3" t="s">
        <v>37</v>
      </c>
      <c r="E767" s="3" t="s">
        <v>27</v>
      </c>
      <c r="F767" s="3" t="s">
        <v>15</v>
      </c>
      <c r="G767" s="3" t="s">
        <v>2148</v>
      </c>
      <c r="H767" s="3" t="s">
        <v>1252</v>
      </c>
      <c r="I767" s="3" t="str">
        <f>IFERROR(__xludf.DUMMYFUNCTION("GOOGLETRANSLATE(C767,""fr"",""en"")"),"I would have liked to receive a recall email a few days before the end of the validity time of the provisional gray card. I took a fine for lack of insurance when I settled my vehicle insurance for the year with you. Is it possible to challenge it?
Ple"&amp;"ase I like to have someone on the phone to approach this question")</f>
        <v>I would have liked to receive a recall email a few days before the end of the validity time of the provisional gray card. I took a fine for lack of insurance when I settled my vehicle insurance for the year with you. Is it possible to challenge it?
Please I like to have someone on the phone to approach this question</v>
      </c>
    </row>
    <row r="768" ht="15.75" customHeight="1">
      <c r="A768" s="3">
        <v>4.0</v>
      </c>
      <c r="B768" s="3" t="s">
        <v>2149</v>
      </c>
      <c r="C768" s="3" t="s">
        <v>2150</v>
      </c>
      <c r="D768" s="3" t="s">
        <v>53</v>
      </c>
      <c r="E768" s="3" t="s">
        <v>27</v>
      </c>
      <c r="F768" s="3" t="s">
        <v>15</v>
      </c>
      <c r="G768" s="3" t="s">
        <v>370</v>
      </c>
      <c r="H768" s="3" t="s">
        <v>58</v>
      </c>
      <c r="I768" s="3" t="str">
        <f>IFERROR(__xludf.DUMMYFUNCTION("GOOGLETRANSLATE(C768,""fr"",""en"")"),"I am satisfied with the prices they are less than most insurance.
In general our files are well followed and we must remember for certain bug (emails not received)")</f>
        <v>I am satisfied with the prices they are less than most insurance.
In general our files are well followed and we must remember for certain bug (emails not received)</v>
      </c>
    </row>
    <row r="769" ht="15.75" customHeight="1">
      <c r="A769" s="3">
        <v>1.0</v>
      </c>
      <c r="B769" s="3" t="s">
        <v>2151</v>
      </c>
      <c r="C769" s="3" t="s">
        <v>2152</v>
      </c>
      <c r="D769" s="3" t="s">
        <v>75</v>
      </c>
      <c r="E769" s="3" t="s">
        <v>109</v>
      </c>
      <c r="F769" s="3" t="s">
        <v>15</v>
      </c>
      <c r="G769" s="3" t="s">
        <v>2153</v>
      </c>
      <c r="H769" s="3" t="s">
        <v>1118</v>
      </c>
      <c r="I769" s="3" t="str">
        <f>IFERROR(__xludf.DUMMYFUNCTION("GOOGLETRANSLATE(C769,""fr"",""en"")"),"We have 2 life insurance contracts at Allianz.
Customer service is at level 0, the skills of managers at the same level. Services do not process your request for 3 weeks. Insurance to flee absolutely !!!!!!!")</f>
        <v>We have 2 life insurance contracts at Allianz.
Customer service is at level 0, the skills of managers at the same level. Services do not process your request for 3 weeks. Insurance to flee absolutely !!!!!!!</v>
      </c>
    </row>
    <row r="770" ht="15.75" customHeight="1">
      <c r="A770" s="3">
        <v>1.0</v>
      </c>
      <c r="B770" s="3" t="s">
        <v>2154</v>
      </c>
      <c r="C770" s="3" t="s">
        <v>2155</v>
      </c>
      <c r="D770" s="3" t="s">
        <v>247</v>
      </c>
      <c r="E770" s="3" t="s">
        <v>27</v>
      </c>
      <c r="F770" s="3" t="s">
        <v>15</v>
      </c>
      <c r="G770" s="3" t="s">
        <v>124</v>
      </c>
      <c r="H770" s="3" t="s">
        <v>125</v>
      </c>
      <c r="I770" s="3" t="str">
        <f>IFERROR(__xludf.DUMMYFUNCTION("GOOGLETRANSLATE(C770,""fr"",""en"")"),"To avoid absolutely.
The competence of the advisers is random.
The complaint service does not respect its charter by not responding to mail A/R.")</f>
        <v>To avoid absolutely.
The competence of the advisers is random.
The complaint service does not respect its charter by not responding to mail A/R.</v>
      </c>
    </row>
    <row r="771" ht="15.75" customHeight="1">
      <c r="A771" s="3">
        <v>3.0</v>
      </c>
      <c r="B771" s="3" t="s">
        <v>2156</v>
      </c>
      <c r="C771" s="3" t="s">
        <v>2157</v>
      </c>
      <c r="D771" s="3" t="s">
        <v>804</v>
      </c>
      <c r="E771" s="3" t="s">
        <v>805</v>
      </c>
      <c r="F771" s="3" t="s">
        <v>15</v>
      </c>
      <c r="G771" s="3" t="s">
        <v>2158</v>
      </c>
      <c r="H771" s="3" t="s">
        <v>159</v>
      </c>
      <c r="I771" s="3" t="str">
        <f>IFERROR(__xludf.DUMMYFUNCTION("GOOGLETRANSLATE(C771,""fr"",""en"")"),"I have always been satisfied with the ASSUR services o niquitous for 4 years and there 37 € increase !!!!
This is not what we are promised when we register
I'm disapointed")</f>
        <v>I have always been satisfied with the ASSUR services o niquitous for 4 years and there 37 € increase !!!!
This is not what we are promised when we register
I'm disapointed</v>
      </c>
    </row>
    <row r="772" ht="15.75" customHeight="1">
      <c r="A772" s="3">
        <v>5.0</v>
      </c>
      <c r="B772" s="3" t="s">
        <v>2159</v>
      </c>
      <c r="C772" s="3" t="s">
        <v>2160</v>
      </c>
      <c r="D772" s="3" t="s">
        <v>57</v>
      </c>
      <c r="E772" s="3" t="s">
        <v>14</v>
      </c>
      <c r="F772" s="3" t="s">
        <v>15</v>
      </c>
      <c r="G772" s="3" t="s">
        <v>2161</v>
      </c>
      <c r="H772" s="3" t="s">
        <v>159</v>
      </c>
      <c r="I772" s="3" t="str">
        <f>IFERROR(__xludf.DUMMYFUNCTION("GOOGLETRANSLATE(C772,""fr"",""en"")"),"Delighted with my mutual, they are always reactive to my requests
I only regret that there is no care for the orthopedic soles.")</f>
        <v>Delighted with my mutual, they are always reactive to my requests
I only regret that there is no care for the orthopedic soles.</v>
      </c>
    </row>
    <row r="773" ht="15.75" customHeight="1">
      <c r="A773" s="3">
        <v>3.0</v>
      </c>
      <c r="B773" s="3" t="s">
        <v>2162</v>
      </c>
      <c r="C773" s="3" t="s">
        <v>2163</v>
      </c>
      <c r="D773" s="3" t="s">
        <v>1060</v>
      </c>
      <c r="E773" s="3" t="s">
        <v>805</v>
      </c>
      <c r="F773" s="3" t="s">
        <v>15</v>
      </c>
      <c r="G773" s="3" t="s">
        <v>2164</v>
      </c>
      <c r="H773" s="3" t="s">
        <v>262</v>
      </c>
      <c r="I773" s="3" t="str">
        <f>IFERROR(__xludf.DUMMYFUNCTION("GOOGLETRANSLATE(C773,""fr"",""en"")"),"Very bad insurance I sent an invoice by email twice by email of the veterinarian of 50 euros and no response and nothing")</f>
        <v>Very bad insurance I sent an invoice by email twice by email of the veterinarian of 50 euros and no response and nothing</v>
      </c>
    </row>
    <row r="774" ht="15.75" customHeight="1">
      <c r="A774" s="3">
        <v>2.0</v>
      </c>
      <c r="B774" s="3" t="s">
        <v>2165</v>
      </c>
      <c r="C774" s="3" t="s">
        <v>2166</v>
      </c>
      <c r="D774" s="3" t="s">
        <v>53</v>
      </c>
      <c r="E774" s="3" t="s">
        <v>27</v>
      </c>
      <c r="F774" s="3" t="s">
        <v>15</v>
      </c>
      <c r="G774" s="3" t="s">
        <v>2167</v>
      </c>
      <c r="H774" s="3" t="s">
        <v>139</v>
      </c>
      <c r="I774" s="3" t="str">
        <f>IFERROR(__xludf.DUMMYFUNCTION("GOOGLETRANSLATE(C774,""fr"",""en"")"),"The prices are high for my taste but I would like to know how your you drive principle works because it can save me a large part")</f>
        <v>The prices are high for my taste but I would like to know how your you drive principle works because it can save me a large part</v>
      </c>
    </row>
    <row r="775" ht="15.75" customHeight="1">
      <c r="A775" s="3">
        <v>1.0</v>
      </c>
      <c r="B775" s="3" t="s">
        <v>2168</v>
      </c>
      <c r="C775" s="3" t="s">
        <v>2169</v>
      </c>
      <c r="D775" s="3" t="s">
        <v>247</v>
      </c>
      <c r="E775" s="3" t="s">
        <v>27</v>
      </c>
      <c r="F775" s="3" t="s">
        <v>15</v>
      </c>
      <c r="G775" s="3" t="s">
        <v>2170</v>
      </c>
      <c r="H775" s="3" t="s">
        <v>431</v>
      </c>
      <c r="I775" s="3" t="str">
        <f>IFERROR(__xludf.DUMMYFUNCTION("GOOGLETRANSLATE(C775,""fr"",""en"")"),"Hello I come to you because I found a cheaper auto insurance elsewhere with the same advantages when it is at least 30 years that we are at home")</f>
        <v>Hello I come to you because I found a cheaper auto insurance elsewhere with the same advantages when it is at least 30 years that we are at home</v>
      </c>
    </row>
    <row r="776" ht="15.75" customHeight="1">
      <c r="A776" s="3">
        <v>4.0</v>
      </c>
      <c r="B776" s="3" t="s">
        <v>2171</v>
      </c>
      <c r="C776" s="3" t="s">
        <v>2172</v>
      </c>
      <c r="D776" s="3" t="s">
        <v>13</v>
      </c>
      <c r="E776" s="3" t="s">
        <v>14</v>
      </c>
      <c r="F776" s="3" t="s">
        <v>15</v>
      </c>
      <c r="G776" s="3" t="s">
        <v>2097</v>
      </c>
      <c r="H776" s="3" t="s">
        <v>29</v>
      </c>
      <c r="I776" s="3" t="str">
        <f>IFERROR(__xludf.DUMMYFUNCTION("GOOGLETRANSLATE(C776,""fr"",""en"")"),"I connected practically for the first time and Emiline helped me perfectly with patience and kindness. The connection is made perfectly despite a relative complexity of the site thanks to the excellent help lavished by Emiline. Thank you !")</f>
        <v>I connected practically for the first time and Emiline helped me perfectly with patience and kindness. The connection is made perfectly despite a relative complexity of the site thanks to the excellent help lavished by Emiline. Thank you !</v>
      </c>
    </row>
    <row r="777" ht="15.75" customHeight="1">
      <c r="A777" s="3">
        <v>3.0</v>
      </c>
      <c r="B777" s="3" t="s">
        <v>2173</v>
      </c>
      <c r="C777" s="3" t="s">
        <v>2174</v>
      </c>
      <c r="D777" s="3" t="s">
        <v>670</v>
      </c>
      <c r="E777" s="3" t="s">
        <v>27</v>
      </c>
      <c r="F777" s="3" t="s">
        <v>15</v>
      </c>
      <c r="G777" s="3" t="s">
        <v>1559</v>
      </c>
      <c r="H777" s="3" t="s">
        <v>879</v>
      </c>
      <c r="I777" s="3" t="str">
        <f>IFERROR(__xludf.DUMMYFUNCTION("GOOGLETRANSLATE(C777,""fr"",""en"")"),"It's simple. My annual subscription amounted to 231st. I chose monthly payment as many customers. At the end of my contract (when paying) Eurofil asked me for payment by CB of 193rd. Or 83% of my annual subscription! You be the judge")</f>
        <v>It's simple. My annual subscription amounted to 231st. I chose monthly payment as many customers. At the end of my contract (when paying) Eurofil asked me for payment by CB of 193rd. Or 83% of my annual subscription! You be the judge</v>
      </c>
    </row>
    <row r="778" ht="15.75" customHeight="1">
      <c r="A778" s="3">
        <v>5.0</v>
      </c>
      <c r="B778" s="3" t="s">
        <v>2175</v>
      </c>
      <c r="C778" s="3" t="s">
        <v>2176</v>
      </c>
      <c r="D778" s="3" t="s">
        <v>37</v>
      </c>
      <c r="E778" s="3" t="s">
        <v>27</v>
      </c>
      <c r="F778" s="3" t="s">
        <v>15</v>
      </c>
      <c r="G778" s="3" t="s">
        <v>105</v>
      </c>
      <c r="H778" s="3" t="s">
        <v>17</v>
      </c>
      <c r="I778" s="3" t="str">
        <f>IFERROR(__xludf.DUMMYFUNCTION("GOOGLETRANSLATE(C778,""fr"",""en"")"),"Very good price, excellent telephone service and clear dialogue. Despite a penalty, this insurance accepts my file with a very affordable price compared to other insurance.")</f>
        <v>Very good price, excellent telephone service and clear dialogue. Despite a penalty, this insurance accepts my file with a very affordable price compared to other insurance.</v>
      </c>
    </row>
    <row r="779" ht="15.75" customHeight="1">
      <c r="A779" s="3">
        <v>3.0</v>
      </c>
      <c r="B779" s="3" t="s">
        <v>2177</v>
      </c>
      <c r="C779" s="3" t="s">
        <v>2178</v>
      </c>
      <c r="D779" s="3" t="s">
        <v>327</v>
      </c>
      <c r="E779" s="3" t="s">
        <v>27</v>
      </c>
      <c r="F779" s="3" t="s">
        <v>15</v>
      </c>
      <c r="G779" s="3" t="s">
        <v>2179</v>
      </c>
      <c r="H779" s="3" t="s">
        <v>1639</v>
      </c>
      <c r="I779" s="3" t="str">
        <f>IFERROR(__xludf.DUMMYFUNCTION("GOOGLETRANSLATE(C779,""fr"",""en"")"),"Too bad we cannot give the note of 0. A claim in 6 years (car scratch) increase tariff of 12 euros. Modification of my residential place at the nearest 15 kilometers. .. + 5 euros. I leave peaceful following this abusive increase in subscription.")</f>
        <v>Too bad we cannot give the note of 0. A claim in 6 years (car scratch) increase tariff of 12 euros. Modification of my residential place at the nearest 15 kilometers. .. + 5 euros. I leave peaceful following this abusive increase in subscription.</v>
      </c>
    </row>
    <row r="780" ht="15.75" customHeight="1">
      <c r="A780" s="3">
        <v>5.0</v>
      </c>
      <c r="B780" s="3" t="s">
        <v>2180</v>
      </c>
      <c r="C780" s="3" t="s">
        <v>2181</v>
      </c>
      <c r="D780" s="3" t="s">
        <v>61</v>
      </c>
      <c r="E780" s="3" t="s">
        <v>14</v>
      </c>
      <c r="F780" s="3" t="s">
        <v>15</v>
      </c>
      <c r="G780" s="3" t="s">
        <v>2182</v>
      </c>
      <c r="H780" s="3" t="s">
        <v>34</v>
      </c>
      <c r="I780" s="3" t="str">
        <f>IFERROR(__xludf.DUMMYFUNCTION("GOOGLETRANSLATE(C780,""fr"",""en"")"),"Rawane helped me solved my problem quickly, I find that he is very competent for his work he was listening to good luck for your work.
Mrs amri")</f>
        <v>Rawane helped me solved my problem quickly, I find that he is very competent for his work he was listening to good luck for your work.
Mrs amri</v>
      </c>
    </row>
    <row r="781" ht="15.75" customHeight="1">
      <c r="A781" s="3">
        <v>2.0</v>
      </c>
      <c r="B781" s="3" t="s">
        <v>2183</v>
      </c>
      <c r="C781" s="3" t="s">
        <v>2184</v>
      </c>
      <c r="D781" s="3" t="s">
        <v>42</v>
      </c>
      <c r="E781" s="3" t="s">
        <v>21</v>
      </c>
      <c r="F781" s="3" t="s">
        <v>15</v>
      </c>
      <c r="G781" s="3" t="s">
        <v>2185</v>
      </c>
      <c r="H781" s="3" t="s">
        <v>1854</v>
      </c>
      <c r="I781" s="3" t="str">
        <f>IFERROR(__xludf.DUMMYFUNCTION("GOOGLETRANSLATE(C781,""fr"",""en"")"),"My pension file was processed in April and asked in January a first payment for December and until day on May 23, nothing !!! However, I provided all the requested documents I do not understand.")</f>
        <v>My pension file was processed in April and asked in January a first payment for December and until day on May 23, nothing !!! However, I provided all the requested documents I do not understand.</v>
      </c>
    </row>
    <row r="782" ht="15.75" customHeight="1">
      <c r="A782" s="3">
        <v>5.0</v>
      </c>
      <c r="B782" s="3" t="s">
        <v>2186</v>
      </c>
      <c r="C782" s="3" t="s">
        <v>2187</v>
      </c>
      <c r="D782" s="3" t="s">
        <v>13</v>
      </c>
      <c r="E782" s="3" t="s">
        <v>14</v>
      </c>
      <c r="F782" s="3" t="s">
        <v>15</v>
      </c>
      <c r="G782" s="3" t="s">
        <v>198</v>
      </c>
      <c r="H782" s="3" t="s">
        <v>23</v>
      </c>
      <c r="I782" s="3" t="str">
        <f>IFERROR(__xludf.DUMMYFUNCTION("GOOGLETRANSLATE(C782,""fr"",""en"")"),"Very good presentation of services and advisor Fall. She took the time to be well mixed with detail. Well to you .. and I am proud of my adhesions")</f>
        <v>Very good presentation of services and advisor Fall. She took the time to be well mixed with detail. Well to you .. and I am proud of my adhesions</v>
      </c>
    </row>
    <row r="783" ht="15.75" customHeight="1">
      <c r="A783" s="3">
        <v>3.0</v>
      </c>
      <c r="B783" s="3" t="s">
        <v>2188</v>
      </c>
      <c r="C783" s="3" t="s">
        <v>2189</v>
      </c>
      <c r="D783" s="3" t="s">
        <v>53</v>
      </c>
      <c r="E783" s="3" t="s">
        <v>27</v>
      </c>
      <c r="F783" s="3" t="s">
        <v>15</v>
      </c>
      <c r="G783" s="3" t="s">
        <v>1154</v>
      </c>
      <c r="H783" s="3" t="s">
        <v>50</v>
      </c>
      <c r="I783" s="3" t="str">
        <f>IFERROR(__xludf.DUMMYFUNCTION("GOOGLETRANSLATE(C783,""fr"",""en"")"),"The price suits me following the simulation made online on the site
While being satisfied, I hope that it will not increase the following years")</f>
        <v>The price suits me following the simulation made online on the site
While being satisfied, I hope that it will not increase the following years</v>
      </c>
    </row>
    <row r="784" ht="15.75" customHeight="1">
      <c r="A784" s="3">
        <v>1.0</v>
      </c>
      <c r="B784" s="3" t="s">
        <v>2190</v>
      </c>
      <c r="C784" s="3" t="s">
        <v>2191</v>
      </c>
      <c r="D784" s="3" t="s">
        <v>670</v>
      </c>
      <c r="E784" s="3" t="s">
        <v>27</v>
      </c>
      <c r="F784" s="3" t="s">
        <v>15</v>
      </c>
      <c r="G784" s="3" t="s">
        <v>1194</v>
      </c>
      <c r="H784" s="3" t="s">
        <v>1005</v>
      </c>
      <c r="I784" s="3" t="str">
        <f>IFERROR(__xludf.DUMMYFUNCTION("GOOGLETRANSLATE(C784,""fr"",""en"")"),"To flee, as quickly as you can")</f>
        <v>To flee, as quickly as you can</v>
      </c>
    </row>
    <row r="785" ht="15.75" customHeight="1">
      <c r="A785" s="3">
        <v>1.0</v>
      </c>
      <c r="B785" s="3" t="s">
        <v>2192</v>
      </c>
      <c r="C785" s="3" t="s">
        <v>2193</v>
      </c>
      <c r="D785" s="3" t="s">
        <v>53</v>
      </c>
      <c r="E785" s="3" t="s">
        <v>76</v>
      </c>
      <c r="F785" s="3" t="s">
        <v>15</v>
      </c>
      <c r="G785" s="3" t="s">
        <v>2194</v>
      </c>
      <c r="H785" s="3" t="s">
        <v>520</v>
      </c>
      <c r="I785" s="3" t="str">
        <f>IFERROR(__xludf.DUMMYFUNCTION("GOOGLETRANSLATE(C785,""fr"",""en"")"),"At Direct Insurance, new customers are better treated in terms of prices than elders and loyalty is not rewarded. The prices are only interesting for membership, but not when we stay there, because prices increase for no reason from one year to the next. "&amp;"To continue to have a competitive rate, you must terminate each year and to rescue as a new customer.")</f>
        <v>At Direct Insurance, new customers are better treated in terms of prices than elders and loyalty is not rewarded. The prices are only interesting for membership, but not when we stay there, because prices increase for no reason from one year to the next. To continue to have a competitive rate, you must terminate each year and to rescue as a new customer.</v>
      </c>
    </row>
    <row r="786" ht="15.75" customHeight="1">
      <c r="A786" s="3">
        <v>1.0</v>
      </c>
      <c r="B786" s="3" t="s">
        <v>2195</v>
      </c>
      <c r="C786" s="3" t="s">
        <v>2196</v>
      </c>
      <c r="D786" s="3" t="s">
        <v>157</v>
      </c>
      <c r="E786" s="3" t="s">
        <v>14</v>
      </c>
      <c r="F786" s="3" t="s">
        <v>15</v>
      </c>
      <c r="G786" s="3" t="s">
        <v>1979</v>
      </c>
      <c r="H786" s="3" t="s">
        <v>139</v>
      </c>
      <c r="I786" s="3" t="str">
        <f>IFERROR(__xludf.DUMMYFUNCTION("GOOGLETRANSLATE(C786,""fr"",""en"")"),"Contacted before yesterday by phone to offer me the first warranty formula but really too expensive for the warranty, I call the next day to request the termination, I am told that I will be contacting me for termination, be sent a letter Recommended to t"&amp;"erminate. I am told that I have a month to terminate by phone when I have already been fooled with this so-called a month to terminate by phone, I contacted UFC what they told me is that by registered mail a termination.")</f>
        <v>Contacted before yesterday by phone to offer me the first warranty formula but really too expensive for the warranty, I call the next day to request the termination, I am told that I will be contacting me for termination, be sent a letter Recommended to terminate. I am told that I have a month to terminate by phone when I have already been fooled with this so-called a month to terminate by phone, I contacted UFC what they told me is that by registered mail a termination.</v>
      </c>
    </row>
    <row r="787" ht="15.75" customHeight="1">
      <c r="A787" s="3">
        <v>2.0</v>
      </c>
      <c r="B787" s="3" t="s">
        <v>2197</v>
      </c>
      <c r="C787" s="3" t="s">
        <v>2198</v>
      </c>
      <c r="D787" s="3" t="s">
        <v>37</v>
      </c>
      <c r="E787" s="3" t="s">
        <v>27</v>
      </c>
      <c r="F787" s="3" t="s">
        <v>15</v>
      </c>
      <c r="G787" s="3" t="s">
        <v>2199</v>
      </c>
      <c r="H787" s="3" t="s">
        <v>276</v>
      </c>
      <c r="I787" s="3" t="str">
        <f>IFERROR(__xludf.DUMMYFUNCTION("GOOGLETRANSLATE(C787,""fr"",""en"")"),"Following a recently not responsible claim recently, I put my vehicle in an unrealized garage, the expert validates repairs, the garage repairs but realizes that there is a light marble nothing alarming, the invoice s 'Student therefore, the garage contac"&amp;"t the expert to confirm the repair of the marble but nobody responds, the garage therefore took the front and advanced the repairs, I had to advance the amount because I chose an unrevered garage so I assume, however, as the expert did not spend a 2nd tim"&amp;"e, the amount of the invoice is higher than when he had confirmed the 1st time, so I send the invoice to the oliver after having advanced the Amount and recovered my car, the only concern is that I received a reimbursement below the invoice that the mecha"&amp;"nic sent me because there was a marbled but that the expert was not going to see for confirmed. I envied an email to the olive tree for a complaint I am waiting for a answer to date")</f>
        <v>Following a recently not responsible claim recently, I put my vehicle in an unrealized garage, the expert validates repairs, the garage repairs but realizes that there is a light marble nothing alarming, the invoice s 'Student therefore, the garage contact the expert to confirm the repair of the marble but nobody responds, the garage therefore took the front and advanced the repairs, I had to advance the amount because I chose an unrevered garage so I assume, however, as the expert did not spend a 2nd time, the amount of the invoice is higher than when he had confirmed the 1st time, so I send the invoice to the oliver after having advanced the Amount and recovered my car, the only concern is that I received a reimbursement below the invoice that the mechanic sent me because there was a marbled but that the expert was not going to see for confirmed. I envied an email to the olive tree for a complaint I am waiting for a answer to date</v>
      </c>
    </row>
    <row r="788" ht="15.75" customHeight="1">
      <c r="A788" s="3">
        <v>1.0</v>
      </c>
      <c r="B788" s="3" t="s">
        <v>2200</v>
      </c>
      <c r="C788" s="3" t="s">
        <v>2201</v>
      </c>
      <c r="D788" s="3" t="s">
        <v>123</v>
      </c>
      <c r="E788" s="3" t="s">
        <v>76</v>
      </c>
      <c r="F788" s="3" t="s">
        <v>15</v>
      </c>
      <c r="G788" s="3" t="s">
        <v>2202</v>
      </c>
      <c r="H788" s="3" t="s">
        <v>1118</v>
      </c>
      <c r="I788" s="3" t="str">
        <f>IFERROR(__xludf.DUMMYFUNCTION("GOOGLETRANSLATE(C788,""fr"",""en"")"),"Insured for more than thirty at Maaf for my vehicles, a good driver for life, during an assessment on my contracts the agent Maaf convinced me to switch my home insurance at home. Following two claims home for which I am not responsible for a total amount"&amp;" of € 1,300, I receive a call from the manager of the agency informing me that my contract is terminated within 2 months because I cost them too much. He specifies that I have an interest in leaving before receiving the termination letter, otherwise I wil"&amp;"l have trouble finding another insurance! Deplorable customer relationship, no need to do excessive advertising campaigns, more mutual spirit in this company. She had us ...")</f>
        <v>Insured for more than thirty at Maaf for my vehicles, a good driver for life, during an assessment on my contracts the agent Maaf convinced me to switch my home insurance at home. Following two claims home for which I am not responsible for a total amount of € 1,300, I receive a call from the manager of the agency informing me that my contract is terminated within 2 months because I cost them too much. He specifies that I have an interest in leaving before receiving the termination letter, otherwise I will have trouble finding another insurance! Deplorable customer relationship, no need to do excessive advertising campaigns, more mutual spirit in this company. She had us ...</v>
      </c>
    </row>
    <row r="789" ht="15.75" customHeight="1">
      <c r="A789" s="3">
        <v>5.0</v>
      </c>
      <c r="B789" s="3" t="s">
        <v>2203</v>
      </c>
      <c r="C789" s="3" t="s">
        <v>2204</v>
      </c>
      <c r="D789" s="3" t="s">
        <v>53</v>
      </c>
      <c r="E789" s="3" t="s">
        <v>27</v>
      </c>
      <c r="F789" s="3" t="s">
        <v>15</v>
      </c>
      <c r="G789" s="3" t="s">
        <v>632</v>
      </c>
      <c r="H789" s="3" t="s">
        <v>23</v>
      </c>
      <c r="I789" s="3" t="str">
        <f>IFERROR(__xludf.DUMMYFUNCTION("GOOGLETRANSLATE(C789,""fr"",""en"")"),"I am very satisfied with the service.
Very fast response
I was very well received by the administrators of my file.
Thank you so much.
Would not change a thing")</f>
        <v>I am very satisfied with the service.
Very fast response
I was very well received by the administrators of my file.
Thank you so much.
Would not change a thing</v>
      </c>
    </row>
    <row r="790" ht="15.75" customHeight="1">
      <c r="A790" s="3">
        <v>4.0</v>
      </c>
      <c r="B790" s="3" t="s">
        <v>2205</v>
      </c>
      <c r="C790" s="3" t="s">
        <v>2206</v>
      </c>
      <c r="D790" s="3" t="s">
        <v>53</v>
      </c>
      <c r="E790" s="3" t="s">
        <v>27</v>
      </c>
      <c r="F790" s="3" t="s">
        <v>15</v>
      </c>
      <c r="G790" s="3" t="s">
        <v>2207</v>
      </c>
      <c r="H790" s="3" t="s">
        <v>58</v>
      </c>
      <c r="I790" s="3" t="str">
        <f>IFERROR(__xludf.DUMMYFUNCTION("GOOGLETRANSLATE(C790,""fr"",""en"")"),"Very welcome telephone, easy to create the contract to send the documents. Good value for money. To see in time.
Thank-you for your prompt response.")</f>
        <v>Very welcome telephone, easy to create the contract to send the documents. Good value for money. To see in time.
Thank-you for your prompt response.</v>
      </c>
    </row>
    <row r="791" ht="15.75" customHeight="1">
      <c r="A791" s="3">
        <v>2.0</v>
      </c>
      <c r="B791" s="3" t="s">
        <v>2208</v>
      </c>
      <c r="C791" s="3" t="s">
        <v>2209</v>
      </c>
      <c r="D791" s="3" t="s">
        <v>108</v>
      </c>
      <c r="E791" s="3" t="s">
        <v>27</v>
      </c>
      <c r="F791" s="3" t="s">
        <v>15</v>
      </c>
      <c r="G791" s="3" t="s">
        <v>1390</v>
      </c>
      <c r="H791" s="3" t="s">
        <v>195</v>
      </c>
      <c r="I791" s="3" t="str">
        <f>IFERROR(__xludf.DUMMYFUNCTION("GOOGLETRANSLATE(C791,""fr"",""en"")"),"Deplorable service, always an impression of being the pigeon, price hostage of insurance that makes fun of the customer.")</f>
        <v>Deplorable service, always an impression of being the pigeon, price hostage of insurance that makes fun of the customer.</v>
      </c>
    </row>
    <row r="792" ht="15.75" customHeight="1">
      <c r="A792" s="3">
        <v>2.0</v>
      </c>
      <c r="B792" s="3" t="s">
        <v>2210</v>
      </c>
      <c r="C792" s="3" t="s">
        <v>2211</v>
      </c>
      <c r="D792" s="3" t="s">
        <v>53</v>
      </c>
      <c r="E792" s="3" t="s">
        <v>27</v>
      </c>
      <c r="F792" s="3" t="s">
        <v>15</v>
      </c>
      <c r="G792" s="3" t="s">
        <v>303</v>
      </c>
      <c r="H792" s="3" t="s">
        <v>58</v>
      </c>
      <c r="I792" s="3" t="str">
        <f>IFERROR(__xludf.DUMMYFUNCTION("GOOGLETRANSLATE(C792,""fr"",""en"")"),"I am not at all satisfied with the service. Over a week to meet an urgent demand.
Insurance issues are important on a daily basis. This is why we subscribe to ""more protective"" contract formulas. But it would seem that what is important for Deirect Ins"&amp;"urance is to grace contributions without processing the important requests of customers.
very very disappointed
. I don't recommend.")</f>
        <v>I am not at all satisfied with the service. Over a week to meet an urgent demand.
Insurance issues are important on a daily basis. This is why we subscribe to "more protective" contract formulas. But it would seem that what is important for Deirect Insurance is to grace contributions without processing the important requests of customers.
very very disappointed
. I don't recommend.</v>
      </c>
    </row>
    <row r="793" ht="15.75" customHeight="1">
      <c r="A793" s="3">
        <v>3.0</v>
      </c>
      <c r="B793" s="3" t="s">
        <v>2212</v>
      </c>
      <c r="C793" s="3" t="s">
        <v>2213</v>
      </c>
      <c r="D793" s="3" t="s">
        <v>37</v>
      </c>
      <c r="E793" s="3" t="s">
        <v>27</v>
      </c>
      <c r="F793" s="3" t="s">
        <v>15</v>
      </c>
      <c r="G793" s="3" t="s">
        <v>577</v>
      </c>
      <c r="H793" s="3" t="s">
        <v>72</v>
      </c>
      <c r="I793" s="3" t="str">
        <f>IFERROR(__xludf.DUMMYFUNCTION("GOOGLETRANSLATE(C793,""fr"",""en"")"),"Hello
I am satisfied but can do better I find that the prices are still a little expensive for me.
thank you for your understanding")</f>
        <v>Hello
I am satisfied but can do better I find that the prices are still a little expensive for me.
thank you for your understanding</v>
      </c>
    </row>
    <row r="794" ht="15.75" customHeight="1">
      <c r="A794" s="3">
        <v>4.0</v>
      </c>
      <c r="B794" s="3" t="s">
        <v>2214</v>
      </c>
      <c r="C794" s="3" t="s">
        <v>2215</v>
      </c>
      <c r="D794" s="3" t="s">
        <v>37</v>
      </c>
      <c r="E794" s="3" t="s">
        <v>27</v>
      </c>
      <c r="F794" s="3" t="s">
        <v>15</v>
      </c>
      <c r="G794" s="3" t="s">
        <v>2216</v>
      </c>
      <c r="H794" s="3" t="s">
        <v>159</v>
      </c>
      <c r="I794" s="3" t="str">
        <f>IFERROR(__xludf.DUMMYFUNCTION("GOOGLETRANSLATE(C794,""fr"",""en"")"),"Very satisfied with the Olivier Insurance for efficient prices and customer service! I had a battery breakdown recently with the 0 km option The convenience store came on appointment at the time exactly and helped me.
I recommend the Olivier Insurance wi"&amp;"thout problem.")</f>
        <v>Very satisfied with the Olivier Insurance for efficient prices and customer service! I had a battery breakdown recently with the 0 km option The convenience store came on appointment at the time exactly and helped me.
I recommend the Olivier Insurance without problem.</v>
      </c>
    </row>
    <row r="795" ht="15.75" customHeight="1">
      <c r="A795" s="3">
        <v>1.0</v>
      </c>
      <c r="B795" s="3" t="s">
        <v>2217</v>
      </c>
      <c r="C795" s="3" t="s">
        <v>2218</v>
      </c>
      <c r="D795" s="3" t="s">
        <v>53</v>
      </c>
      <c r="E795" s="3" t="s">
        <v>27</v>
      </c>
      <c r="F795" s="3" t="s">
        <v>15</v>
      </c>
      <c r="G795" s="3" t="s">
        <v>1786</v>
      </c>
      <c r="H795" s="3" t="s">
        <v>50</v>
      </c>
      <c r="I795" s="3" t="str">
        <f>IFERROR(__xludf.DUMMYFUNCTION("GOOGLETRANSLATE(C795,""fr"",""en"")"),"I decide to insurance direct insurance.
During a non -responsible disaster in October to date July, still
 in progress for care and replied that they are 1 year old, and that it is normal .......
TO FLEE")</f>
        <v>I decide to insurance direct insurance.
During a non -responsible disaster in October to date July, still
 in progress for care and replied that they are 1 year old, and that it is normal .......
TO FLEE</v>
      </c>
    </row>
    <row r="796" ht="15.75" customHeight="1">
      <c r="A796" s="3">
        <v>2.0</v>
      </c>
      <c r="B796" s="3" t="s">
        <v>2219</v>
      </c>
      <c r="C796" s="3" t="s">
        <v>2220</v>
      </c>
      <c r="D796" s="3" t="s">
        <v>53</v>
      </c>
      <c r="E796" s="3" t="s">
        <v>27</v>
      </c>
      <c r="F796" s="3" t="s">
        <v>15</v>
      </c>
      <c r="G796" s="3" t="s">
        <v>1145</v>
      </c>
      <c r="H796" s="3" t="s">
        <v>17</v>
      </c>
      <c r="I796" s="3" t="str">
        <f>IFERROR(__xludf.DUMMYFUNCTION("GOOGLETRANSLATE(C796,""fr"",""en"")"),"I discover!! Leave me time to have an S
Inistre and I would tell you more! Sincerely Frederic Lajugie made in Boen on Lignon on 1504 2021 Thank you")</f>
        <v>I discover!! Leave me time to have an S
Inistre and I would tell you more! Sincerely Frederic Lajugie made in Boen on Lignon on 1504 2021 Thank you</v>
      </c>
    </row>
    <row r="797" ht="15.75" customHeight="1">
      <c r="A797" s="3">
        <v>3.0</v>
      </c>
      <c r="B797" s="3" t="s">
        <v>2221</v>
      </c>
      <c r="C797" s="3" t="s">
        <v>2222</v>
      </c>
      <c r="D797" s="3" t="s">
        <v>53</v>
      </c>
      <c r="E797" s="3" t="s">
        <v>27</v>
      </c>
      <c r="F797" s="3" t="s">
        <v>15</v>
      </c>
      <c r="G797" s="3" t="s">
        <v>1229</v>
      </c>
      <c r="H797" s="3" t="s">
        <v>29</v>
      </c>
      <c r="I797" s="3" t="str">
        <f>IFERROR(__xludf.DUMMYFUNCTION("GOOGLETRANSLATE(C797,""fr"",""en"")"),"For the moment I am satisfied we will see later if it will have no problem because in general it is when there is a problem that we can judge the true efficiency of the insurance")</f>
        <v>For the moment I am satisfied we will see later if it will have no problem because in general it is when there is a problem that we can judge the true efficiency of the insurance</v>
      </c>
    </row>
    <row r="798" ht="15.75" customHeight="1">
      <c r="A798" s="3">
        <v>1.0</v>
      </c>
      <c r="B798" s="3" t="s">
        <v>2223</v>
      </c>
      <c r="C798" s="3" t="s">
        <v>2224</v>
      </c>
      <c r="D798" s="3" t="s">
        <v>123</v>
      </c>
      <c r="E798" s="3" t="s">
        <v>27</v>
      </c>
      <c r="F798" s="3" t="s">
        <v>15</v>
      </c>
      <c r="G798" s="3" t="s">
        <v>2225</v>
      </c>
      <c r="H798" s="3" t="s">
        <v>382</v>
      </c>
      <c r="I798" s="3" t="str">
        <f>IFERROR(__xludf.DUMMYFUNCTION("GOOGLETRANSLATE(C798,""fr"",""en"")"),"They offer competitive prices but not that much and in the end not even a single liable responsible but 2 not responsible and they turn me it is an insurance which is only content to collect contributions but which does not care about its customers like a"&amp;"ll others !!!
Strongly discouraged")</f>
        <v>They offer competitive prices but not that much and in the end not even a single liable responsible but 2 not responsible and they turn me it is an insurance which is only content to collect contributions but which does not care about its customers like all others !!!
Strongly discouraged</v>
      </c>
    </row>
    <row r="799" ht="15.75" customHeight="1">
      <c r="A799" s="3">
        <v>5.0</v>
      </c>
      <c r="B799" s="3" t="s">
        <v>2226</v>
      </c>
      <c r="C799" s="3" t="s">
        <v>2227</v>
      </c>
      <c r="D799" s="3" t="s">
        <v>37</v>
      </c>
      <c r="E799" s="3" t="s">
        <v>27</v>
      </c>
      <c r="F799" s="3" t="s">
        <v>15</v>
      </c>
      <c r="G799" s="3" t="s">
        <v>1229</v>
      </c>
      <c r="H799" s="3" t="s">
        <v>29</v>
      </c>
      <c r="I799" s="3" t="str">
        <f>IFERROR(__xludf.DUMMYFUNCTION("GOOGLETRANSLATE(C799,""fr"",""en"")"),"I am a new customer, I found this auto insurance offer on the fertures.com. Very good value for money, I am satisfied with Olivier Assurance!")</f>
        <v>I am a new customer, I found this auto insurance offer on the fertures.com. Very good value for money, I am satisfied with Olivier Assurance!</v>
      </c>
    </row>
    <row r="800" ht="15.75" customHeight="1">
      <c r="A800" s="3">
        <v>5.0</v>
      </c>
      <c r="B800" s="3" t="s">
        <v>2228</v>
      </c>
      <c r="C800" s="3" t="s">
        <v>2229</v>
      </c>
      <c r="D800" s="3" t="s">
        <v>53</v>
      </c>
      <c r="E800" s="3" t="s">
        <v>27</v>
      </c>
      <c r="F800" s="3" t="s">
        <v>15</v>
      </c>
      <c r="G800" s="3" t="s">
        <v>281</v>
      </c>
      <c r="H800" s="3" t="s">
        <v>29</v>
      </c>
      <c r="I800" s="3" t="str">
        <f>IFERROR(__xludf.DUMMYFUNCTION("GOOGLETRANSLATE(C800,""fr"",""en"")"),"Satisfied with your welcome and your prices I hope not to be disappointed in the coming months and that you will be available to answer it. Thank you for your understanding")</f>
        <v>Satisfied with your welcome and your prices I hope not to be disappointed in the coming months and that you will be available to answer it. Thank you for your understanding</v>
      </c>
    </row>
    <row r="801" ht="15.75" customHeight="1">
      <c r="A801" s="3">
        <v>1.0</v>
      </c>
      <c r="B801" s="3" t="s">
        <v>2230</v>
      </c>
      <c r="C801" s="3" t="s">
        <v>2231</v>
      </c>
      <c r="D801" s="3" t="s">
        <v>42</v>
      </c>
      <c r="E801" s="3" t="s">
        <v>21</v>
      </c>
      <c r="F801" s="3" t="s">
        <v>15</v>
      </c>
      <c r="G801" s="3" t="s">
        <v>2216</v>
      </c>
      <c r="H801" s="3" t="s">
        <v>159</v>
      </c>
      <c r="I801" s="3" t="str">
        <f>IFERROR(__xludf.DUMMYFUNCTION("GOOGLETRANSLATE(C801,""fr"",""en"")"),"Simply scandalous. I had to wait more than 4 months for the processing of my maternity leave file, and when it is done, they manage to be mistaken on the transfer and pay only a third of the sum supposed to be perceived !! ! In 2 totally incompetent and i"&amp;"neffective words. I want the health crisis to have impacted all the services, but even the CPAM and the CAF which are not famous for their responsiveness have been largely faster !!! If you are in need or stop do not count on them to get out of the kneade"&amp;"r !! If you are an interim make your best to flee them and go to another insurer!")</f>
        <v>Simply scandalous. I had to wait more than 4 months for the processing of my maternity leave file, and when it is done, they manage to be mistaken on the transfer and pay only a third of the sum supposed to be perceived !! ! In 2 totally incompetent and ineffective words. I want the health crisis to have impacted all the services, but even the CPAM and the CAF which are not famous for their responsiveness have been largely faster !!! If you are in need or stop do not count on them to get out of the kneader !! If you are an interim make your best to flee them and go to another insurer!</v>
      </c>
    </row>
    <row r="802" ht="15.75" customHeight="1">
      <c r="A802" s="3">
        <v>4.0</v>
      </c>
      <c r="B802" s="3" t="s">
        <v>2232</v>
      </c>
      <c r="C802" s="3" t="s">
        <v>2233</v>
      </c>
      <c r="D802" s="3" t="s">
        <v>53</v>
      </c>
      <c r="E802" s="3" t="s">
        <v>27</v>
      </c>
      <c r="F802" s="3" t="s">
        <v>15</v>
      </c>
      <c r="G802" s="3" t="s">
        <v>2234</v>
      </c>
      <c r="H802" s="3" t="s">
        <v>17</v>
      </c>
      <c r="I802" s="3" t="str">
        <f>IFERROR(__xludf.DUMMYFUNCTION("GOOGLETRANSLATE(C802,""fr"",""en"")"),"Yes I am satisfied to date. I trust your company in the event of a disaster. Also deemed to be a good driver, I hope not to have an accident declaration to send you and this for many years.
Well cordially, Loic Martienne
")</f>
        <v>Yes I am satisfied to date. I trust your company in the event of a disaster. Also deemed to be a good driver, I hope not to have an accident declaration to send you and this for many years.
Well cordially, Loic Martienne
</v>
      </c>
    </row>
    <row r="803" ht="15.75" customHeight="1">
      <c r="A803" s="3">
        <v>4.0</v>
      </c>
      <c r="B803" s="3" t="s">
        <v>2235</v>
      </c>
      <c r="C803" s="3" t="s">
        <v>2236</v>
      </c>
      <c r="D803" s="3" t="s">
        <v>137</v>
      </c>
      <c r="E803" s="3" t="s">
        <v>27</v>
      </c>
      <c r="F803" s="3" t="s">
        <v>15</v>
      </c>
      <c r="G803" s="3" t="s">
        <v>2237</v>
      </c>
      <c r="H803" s="3" t="s">
        <v>237</v>
      </c>
      <c r="I803" s="3" t="str">
        <f>IFERROR(__xludf.DUMMYFUNCTION("GOOGLETRANSLATE(C803,""fr"",""en"")"),"Reactivity in the event of an accident is excellent, the range of services offered is very wide and the prices just and stable. This mutual is also served by dedicated and competent staff who are keen to satisfy adherent customers.")</f>
        <v>Reactivity in the event of an accident is excellent, the range of services offered is very wide and the prices just and stable. This mutual is also served by dedicated and competent staff who are keen to satisfy adherent customers.</v>
      </c>
    </row>
    <row r="804" ht="15.75" customHeight="1">
      <c r="A804" s="3">
        <v>5.0</v>
      </c>
      <c r="B804" s="3" t="s">
        <v>2238</v>
      </c>
      <c r="C804" s="3" t="s">
        <v>2239</v>
      </c>
      <c r="D804" s="3" t="s">
        <v>80</v>
      </c>
      <c r="E804" s="3" t="s">
        <v>81</v>
      </c>
      <c r="F804" s="3" t="s">
        <v>15</v>
      </c>
      <c r="G804" s="3" t="s">
        <v>1154</v>
      </c>
      <c r="H804" s="3" t="s">
        <v>50</v>
      </c>
      <c r="I804" s="3" t="str">
        <f>IFERROR(__xludf.DUMMYFUNCTION("GOOGLETRANSLATE(C804,""fr"",""en"")"),"Very satisfied with the contact and the information obtained. Listening agent and available. I will recommend April to my friends. So it's for me one without faults")</f>
        <v>Very satisfied with the contact and the information obtained. Listening agent and available. I will recommend April to my friends. So it's for me one without faults</v>
      </c>
    </row>
    <row r="805" ht="15.75" customHeight="1">
      <c r="A805" s="3">
        <v>1.0</v>
      </c>
      <c r="B805" s="3" t="s">
        <v>2240</v>
      </c>
      <c r="C805" s="3" t="s">
        <v>2241</v>
      </c>
      <c r="D805" s="3" t="s">
        <v>61</v>
      </c>
      <c r="E805" s="3" t="s">
        <v>14</v>
      </c>
      <c r="F805" s="3" t="s">
        <v>15</v>
      </c>
      <c r="G805" s="3" t="s">
        <v>49</v>
      </c>
      <c r="H805" s="3" t="s">
        <v>50</v>
      </c>
      <c r="I805" s="3" t="str">
        <f>IFERROR(__xludf.DUMMYFUNCTION("GOOGLETRANSLATE(C805,""fr"",""en"")"),"I contributed in August 2020.
My subscription costs me 63 euros per month. Sold by an advisor who presents himself as ""personal advisor"" and promises you that you can reach it anytime.
Has a strong accent, tells you that he is called Benoît, tells you"&amp;" that he also has another first name but that he cannot tell you, offers you to go see your Instagram and stay 1:30 on the phone with You to sell the product to you.
Unreachable the day after the end of the withdrawal period, and this, definitively.
I h"&amp;"ave started around 720 euros in medical expenses since the start of my contract: general practitioner, COVID scanner and other medical acts.
Santiane reimbursed me: 28.19 euros since September.
Not one more penny.
However, I sent all the documents. I w"&amp;"as told that they had been treated ""as a third party"" which is completely false, I advanced all this money. The flows appear on my bank account and social security statements prove it.
I will do what it takes and enter the mediator to obtain all of my "&amp;"reimbursements; As for you, flee this mutual of amateurs, there are much more serious, personally I will leave as soon as possible.
")</f>
        <v>I contributed in August 2020.
My subscription costs me 63 euros per month. Sold by an advisor who presents himself as "personal advisor" and promises you that you can reach it anytime.
Has a strong accent, tells you that he is called Benoît, tells you that he also has another first name but that he cannot tell you, offers you to go see your Instagram and stay 1:30 on the phone with You to sell the product to you.
Unreachable the day after the end of the withdrawal period, and this, definitively.
I have started around 720 euros in medical expenses since the start of my contract: general practitioner, COVID scanner and other medical acts.
Santiane reimbursed me: 28.19 euros since September.
Not one more penny.
However, I sent all the documents. I was told that they had been treated "as a third party" which is completely false, I advanced all this money. The flows appear on my bank account and social security statements prove it.
I will do what it takes and enter the mediator to obtain all of my reimbursements; As for you, flee this mutual of amateurs, there are much more serious, personally I will leave as soon as possible.
</v>
      </c>
    </row>
    <row r="806" ht="15.75" customHeight="1">
      <c r="A806" s="3">
        <v>3.0</v>
      </c>
      <c r="B806" s="3" t="s">
        <v>2242</v>
      </c>
      <c r="C806" s="3" t="s">
        <v>2243</v>
      </c>
      <c r="D806" s="3" t="s">
        <v>137</v>
      </c>
      <c r="E806" s="3" t="s">
        <v>27</v>
      </c>
      <c r="F806" s="3" t="s">
        <v>15</v>
      </c>
      <c r="G806" s="3" t="s">
        <v>2244</v>
      </c>
      <c r="H806" s="3" t="s">
        <v>672</v>
      </c>
      <c r="I806" s="3" t="str">
        <f>IFERROR(__xludf.DUMMYFUNCTION("GOOGLETRANSLATE(C806,""fr"",""en"")"),"I had an accident on Thursday evening, I called the Maif to find out how the care (1st accident and young drivers were going) they give me erroneous information fortunately that the police have rectified the shot, Then a tow truck comes to get my vehicle "&amp;"to bring it to the chosen garage, I am not informed of anything at all, I call the next day to find out where it has and surprise my car is bringing to another place without asking me Opinion or even getting me !! Being a victim of a pile up involving 4 c"&amp;"ars I do not estimate to be responsible since I was the 3rd car and that I did my maximum at 90km/h we can't do a miracle! During my call to the maif told me that I would have costs being responsible for 50% of the accident (excuse me for having been in t"&amp;"he wrong place at the wrong time), no deadlines for the passage of the expert nor Even in how long approximately I could find my vehicle !! In short assurance to flee because as soon as there is a bah seed there are more people !!")</f>
        <v>I had an accident on Thursday evening, I called the Maif to find out how the care (1st accident and young drivers were going) they give me erroneous information fortunately that the police have rectified the shot, Then a tow truck comes to get my vehicle to bring it to the chosen garage, I am not informed of anything at all, I call the next day to find out where it has and surprise my car is bringing to another place without asking me Opinion or even getting me !! Being a victim of a pile up involving 4 cars I do not estimate to be responsible since I was the 3rd car and that I did my maximum at 90km/h we can't do a miracle! During my call to the maif told me that I would have costs being responsible for 50% of the accident (excuse me for having been in the wrong place at the wrong time), no deadlines for the passage of the expert nor Even in how long approximately I could find my vehicle !! In short assurance to flee because as soon as there is a bah seed there are more people !!</v>
      </c>
    </row>
    <row r="807" ht="15.75" customHeight="1">
      <c r="A807" s="3">
        <v>4.0</v>
      </c>
      <c r="B807" s="3" t="s">
        <v>2245</v>
      </c>
      <c r="C807" s="3" t="s">
        <v>2246</v>
      </c>
      <c r="D807" s="3" t="s">
        <v>57</v>
      </c>
      <c r="E807" s="3" t="s">
        <v>14</v>
      </c>
      <c r="F807" s="3" t="s">
        <v>15</v>
      </c>
      <c r="G807" s="3" t="s">
        <v>1765</v>
      </c>
      <c r="H807" s="3" t="s">
        <v>169</v>
      </c>
      <c r="I807" s="3" t="str">
        <f>IFERROR(__xludf.DUMMYFUNCTION("GOOGLETRANSLATE(C807,""fr"",""en"")"),"Very satisfied by the online service of my insurer.
Responds to all my requests within very short deadlines.
Nothing to say about the quality of the teams and the service.
Georges Perazio (85)")</f>
        <v>Very satisfied by the online service of my insurer.
Responds to all my requests within very short deadlines.
Nothing to say about the quality of the teams and the service.
Georges Perazio (85)</v>
      </c>
    </row>
    <row r="808" ht="15.75" customHeight="1">
      <c r="A808" s="3">
        <v>2.0</v>
      </c>
      <c r="B808" s="3" t="s">
        <v>2247</v>
      </c>
      <c r="C808" s="3" t="s">
        <v>2248</v>
      </c>
      <c r="D808" s="3" t="s">
        <v>327</v>
      </c>
      <c r="E808" s="3" t="s">
        <v>76</v>
      </c>
      <c r="F808" s="3" t="s">
        <v>15</v>
      </c>
      <c r="G808" s="3" t="s">
        <v>2167</v>
      </c>
      <c r="H808" s="3" t="s">
        <v>139</v>
      </c>
      <c r="I808" s="3" t="str">
        <f>IFERROR(__xludf.DUMMYFUNCTION("GOOGLETRANSLATE(C808,""fr"",""en"")"),"A claim that has been dating for almost 10 months and no care. Different contacts each time and no one gives you the same information.")</f>
        <v>A claim that has been dating for almost 10 months and no care. Different contacts each time and no one gives you the same information.</v>
      </c>
    </row>
    <row r="809" ht="15.75" customHeight="1">
      <c r="A809" s="3">
        <v>4.0</v>
      </c>
      <c r="B809" s="3" t="s">
        <v>2249</v>
      </c>
      <c r="C809" s="3" t="s">
        <v>2250</v>
      </c>
      <c r="D809" s="3" t="s">
        <v>26</v>
      </c>
      <c r="E809" s="3" t="s">
        <v>27</v>
      </c>
      <c r="F809" s="3" t="s">
        <v>15</v>
      </c>
      <c r="G809" s="3" t="s">
        <v>117</v>
      </c>
      <c r="H809" s="3" t="s">
        <v>99</v>
      </c>
      <c r="I809" s="3" t="str">
        <f>IFERROR(__xludf.DUMMYFUNCTION("GOOGLETRANSLATE(C809,""fr"",""en"")"),"Our requests are taken into account in time. We are listened to.
The prices are satisfactory. The website is well structured and understanding")</f>
        <v>Our requests are taken into account in time. We are listened to.
The prices are satisfactory. The website is well structured and understanding</v>
      </c>
    </row>
    <row r="810" ht="15.75" customHeight="1">
      <c r="A810" s="3">
        <v>2.0</v>
      </c>
      <c r="B810" s="3" t="s">
        <v>2251</v>
      </c>
      <c r="C810" s="3" t="s">
        <v>2252</v>
      </c>
      <c r="D810" s="3" t="s">
        <v>247</v>
      </c>
      <c r="E810" s="3" t="s">
        <v>76</v>
      </c>
      <c r="F810" s="3" t="s">
        <v>15</v>
      </c>
      <c r="G810" s="3" t="s">
        <v>2253</v>
      </c>
      <c r="H810" s="3" t="s">
        <v>1022</v>
      </c>
      <c r="I810" s="3" t="str">
        <f>IFERROR(__xludf.DUMMYFUNCTION("GOOGLETRANSLATE(C810,""fr"",""en"")"),"31 years of insurance
I am mounting my buried swimming pool I could not take the pool option because it is not finished and on the installation of the liner under assembly a tile of my roof perforated this last to the temperature of 3 October. Dudding it"&amp;" is a bit. As I did not take the pool option it is for my apple when I could not make sure it was not finished other insurances would have taken my request in consideration knowing that these are the tiles of my House suddenly after 31 years of subscripti"&amp;"on any risk several insurances M offers better and cheaper guarantees")</f>
        <v>31 years of insurance
I am mounting my buried swimming pool I could not take the pool option because it is not finished and on the installation of the liner under assembly a tile of my roof perforated this last to the temperature of 3 October. Dudding it is a bit. As I did not take the pool option it is for my apple when I could not make sure it was not finished other insurances would have taken my request in consideration knowing that these are the tiles of my House suddenly after 31 years of subscription any risk several insurances M offers better and cheaper guarantees</v>
      </c>
    </row>
    <row r="811" ht="15.75" customHeight="1">
      <c r="A811" s="3">
        <v>2.0</v>
      </c>
      <c r="B811" s="3" t="s">
        <v>2254</v>
      </c>
      <c r="C811" s="3" t="s">
        <v>2255</v>
      </c>
      <c r="D811" s="3" t="s">
        <v>373</v>
      </c>
      <c r="E811" s="3" t="s">
        <v>14</v>
      </c>
      <c r="F811" s="3" t="s">
        <v>15</v>
      </c>
      <c r="G811" s="3" t="s">
        <v>1112</v>
      </c>
      <c r="H811" s="3" t="s">
        <v>39</v>
      </c>
      <c r="I811" s="3" t="str">
        <f>IFERROR(__xludf.DUMMYFUNCTION("GOOGLETRANSLATE(C811,""fr"",""en"")"),"I strongly advise against, it only processes half of the documents sent, respond to the such after several long tens of minutes, an inaccessible site !!")</f>
        <v>I strongly advise against, it only processes half of the documents sent, respond to the such after several long tens of minutes, an inaccessible site !!</v>
      </c>
    </row>
    <row r="812" ht="15.75" customHeight="1">
      <c r="A812" s="3">
        <v>4.0</v>
      </c>
      <c r="B812" s="3" t="s">
        <v>2256</v>
      </c>
      <c r="C812" s="3" t="s">
        <v>2257</v>
      </c>
      <c r="D812" s="3" t="s">
        <v>53</v>
      </c>
      <c r="E812" s="3" t="s">
        <v>27</v>
      </c>
      <c r="F812" s="3" t="s">
        <v>15</v>
      </c>
      <c r="G812" s="3" t="s">
        <v>142</v>
      </c>
      <c r="H812" s="3" t="s">
        <v>99</v>
      </c>
      <c r="I812" s="3" t="str">
        <f>IFERROR(__xludf.DUMMYFUNCTION("GOOGLETRANSLATE(C812,""fr"",""en"")"),"The prices are quite attractive and quite competitive ....
The site is relatively simple and practical ...
This is a first car insurance ...
To see over time ...")</f>
        <v>The prices are quite attractive and quite competitive ....
The site is relatively simple and practical ...
This is a first car insurance ...
To see over time ...</v>
      </c>
    </row>
    <row r="813" ht="15.75" customHeight="1">
      <c r="A813" s="3">
        <v>1.0</v>
      </c>
      <c r="B813" s="3" t="s">
        <v>2258</v>
      </c>
      <c r="C813" s="3" t="s">
        <v>2259</v>
      </c>
      <c r="D813" s="3" t="s">
        <v>13</v>
      </c>
      <c r="E813" s="3" t="s">
        <v>14</v>
      </c>
      <c r="F813" s="3" t="s">
        <v>15</v>
      </c>
      <c r="G813" s="3" t="s">
        <v>2260</v>
      </c>
      <c r="H813" s="3" t="s">
        <v>614</v>
      </c>
      <c r="I813" s="3" t="str">
        <f>IFERROR(__xludf.DUMMYFUNCTION("GOOGLETRANSLATE(C813,""fr"",""en"")"),"Quite disappointed with my insurance, the price is correct, however, but there is no follow -up when calling them.
Customer service is deplorable, they put us on hold 5min then hang up on the nose, all that so that we abandon our approach ...
Beware of "&amp;"payment by CB via telephone line, they make mistakes in the figures ... I was taken from a much higher amount from what I owed them.")</f>
        <v>Quite disappointed with my insurance, the price is correct, however, but there is no follow -up when calling them.
Customer service is deplorable, they put us on hold 5min then hang up on the nose, all that so that we abandon our approach ...
Beware of payment by CB via telephone line, they make mistakes in the figures ... I was taken from a much higher amount from what I owed them.</v>
      </c>
    </row>
    <row r="814" ht="15.75" customHeight="1">
      <c r="A814" s="3">
        <v>5.0</v>
      </c>
      <c r="B814" s="3" t="s">
        <v>2261</v>
      </c>
      <c r="C814" s="3" t="s">
        <v>2262</v>
      </c>
      <c r="D814" s="3" t="s">
        <v>1151</v>
      </c>
      <c r="E814" s="3" t="s">
        <v>48</v>
      </c>
      <c r="F814" s="3" t="s">
        <v>15</v>
      </c>
      <c r="G814" s="3" t="s">
        <v>830</v>
      </c>
      <c r="H814" s="3" t="s">
        <v>17</v>
      </c>
      <c r="I814" s="3" t="str">
        <f>IFERROR(__xludf.DUMMYFUNCTION("GOOGLETRANSLATE(C814,""fr"",""en"")"),"Ease of membership and super attractive price! I am very happy to join this insurance because the one I currently have is excessively expensive!")</f>
        <v>Ease of membership and super attractive price! I am very happy to join this insurance because the one I currently have is excessively expensive!</v>
      </c>
    </row>
    <row r="815" ht="15.75" customHeight="1">
      <c r="A815" s="3">
        <v>4.0</v>
      </c>
      <c r="B815" s="3" t="s">
        <v>2263</v>
      </c>
      <c r="C815" s="3" t="s">
        <v>2264</v>
      </c>
      <c r="D815" s="3" t="s">
        <v>80</v>
      </c>
      <c r="E815" s="3" t="s">
        <v>81</v>
      </c>
      <c r="F815" s="3" t="s">
        <v>15</v>
      </c>
      <c r="G815" s="3" t="s">
        <v>310</v>
      </c>
      <c r="H815" s="3" t="s">
        <v>23</v>
      </c>
      <c r="I815" s="3" t="str">
        <f>IFERROR(__xludf.DUMMYFUNCTION("GOOGLETRANSLATE(C815,""fr"",""en"")"),"Varied choice, à la carte options, not the cheapest insurance, but the most customizable. Insurance chosen on the advice of my motorcycle seller in dealerships.")</f>
        <v>Varied choice, à la carte options, not the cheapest insurance, but the most customizable. Insurance chosen on the advice of my motorcycle seller in dealerships.</v>
      </c>
    </row>
    <row r="816" ht="15.75" customHeight="1">
      <c r="A816" s="3">
        <v>5.0</v>
      </c>
      <c r="B816" s="3" t="s">
        <v>2265</v>
      </c>
      <c r="C816" s="3" t="s">
        <v>2266</v>
      </c>
      <c r="D816" s="3" t="s">
        <v>53</v>
      </c>
      <c r="E816" s="3" t="s">
        <v>27</v>
      </c>
      <c r="F816" s="3" t="s">
        <v>15</v>
      </c>
      <c r="G816" s="3" t="s">
        <v>72</v>
      </c>
      <c r="H816" s="3" t="s">
        <v>72</v>
      </c>
      <c r="I816" s="3" t="str">
        <f>IFERROR(__xludf.DUMMYFUNCTION("GOOGLETRANSLATE(C816,""fr"",""en"")"),"I never had a dispute with Direct Insurance.
I have never had to involve my insurances because no claim to be deplored to date.")</f>
        <v>I never had a dispute with Direct Insurance.
I have never had to involve my insurances because no claim to be deplored to date.</v>
      </c>
    </row>
    <row r="817" ht="15.75" customHeight="1">
      <c r="A817" s="3">
        <v>1.0</v>
      </c>
      <c r="B817" s="3" t="s">
        <v>2267</v>
      </c>
      <c r="C817" s="3" t="s">
        <v>2268</v>
      </c>
      <c r="D817" s="3" t="s">
        <v>193</v>
      </c>
      <c r="E817" s="3" t="s">
        <v>14</v>
      </c>
      <c r="F817" s="3" t="s">
        <v>15</v>
      </c>
      <c r="G817" s="3" t="s">
        <v>2269</v>
      </c>
      <c r="H817" s="3" t="s">
        <v>205</v>
      </c>
      <c r="I817" s="3" t="str">
        <f>IFERROR(__xludf.DUMMYFUNCTION("GOOGLETRANSLATE(C817,""fr"",""en"")"),"Too bad we can't get zero!
Latable management with regard to job loss insurance. My husband had time to find a job that we still touched nothing. 3 months to send a folder, 5 days to read an email and never answer! Impossible to reach the service we come"&amp;" across a platform.
We had to fend for ourselves to pay our loan!
Flee insurance! !!")</f>
        <v>Too bad we can't get zero!
Latable management with regard to job loss insurance. My husband had time to find a job that we still touched nothing. 3 months to send a folder, 5 days to read an email and never answer! Impossible to reach the service we come across a platform.
We had to fend for ourselves to pay our loan!
Flee insurance! !!</v>
      </c>
    </row>
    <row r="818" ht="15.75" customHeight="1">
      <c r="A818" s="3">
        <v>4.0</v>
      </c>
      <c r="B818" s="3" t="s">
        <v>2270</v>
      </c>
      <c r="C818" s="3" t="s">
        <v>2271</v>
      </c>
      <c r="D818" s="3" t="s">
        <v>2272</v>
      </c>
      <c r="E818" s="3" t="s">
        <v>2273</v>
      </c>
      <c r="F818" s="3" t="s">
        <v>15</v>
      </c>
      <c r="G818" s="3" t="s">
        <v>2014</v>
      </c>
      <c r="H818" s="3" t="s">
        <v>23</v>
      </c>
      <c r="I818" s="3" t="str">
        <f>IFERROR(__xludf.DUMMYFUNCTION("GOOGLETRANSLATE(C818,""fr"",""en"")"),"Legal protection does not do its job, sales promises are not held. It is a shame. I am very unhappy with this insurance, it is like the others. Bad management.")</f>
        <v>Legal protection does not do its job, sales promises are not held. It is a shame. I am very unhappy with this insurance, it is like the others. Bad management.</v>
      </c>
    </row>
    <row r="819" ht="15.75" customHeight="1">
      <c r="A819" s="3">
        <v>3.0</v>
      </c>
      <c r="B819" s="3" t="s">
        <v>2274</v>
      </c>
      <c r="C819" s="3" t="s">
        <v>2275</v>
      </c>
      <c r="D819" s="3" t="s">
        <v>80</v>
      </c>
      <c r="E819" s="3" t="s">
        <v>81</v>
      </c>
      <c r="F819" s="3" t="s">
        <v>15</v>
      </c>
      <c r="G819" s="3" t="s">
        <v>22</v>
      </c>
      <c r="H819" s="3" t="s">
        <v>23</v>
      </c>
      <c r="I819" s="3" t="str">
        <f>IFERROR(__xludf.DUMMYFUNCTION("GOOGLETRANSLATE(C819,""fr"",""en"")"),"Quick to subscribe, to see in the future their responsiveness in the event of concern. Otherwise at the level of the prices it is regloo compared to the competition, we will see for the rest")</f>
        <v>Quick to subscribe, to see in the future their responsiveness in the event of concern. Otherwise at the level of the prices it is regloo compared to the competition, we will see for the rest</v>
      </c>
    </row>
    <row r="820" ht="15.75" customHeight="1">
      <c r="A820" s="3">
        <v>5.0</v>
      </c>
      <c r="B820" s="3" t="s">
        <v>2276</v>
      </c>
      <c r="C820" s="3" t="s">
        <v>2277</v>
      </c>
      <c r="D820" s="3" t="s">
        <v>37</v>
      </c>
      <c r="E820" s="3" t="s">
        <v>27</v>
      </c>
      <c r="F820" s="3" t="s">
        <v>15</v>
      </c>
      <c r="G820" s="3" t="s">
        <v>2278</v>
      </c>
      <c r="H820" s="3" t="s">
        <v>1005</v>
      </c>
      <c r="I820" s="3" t="str">
        <f>IFERROR(__xludf.DUMMYFUNCTION("GOOGLETRANSLATE(C820,""fr"",""en"")"),"I am very satisfied to have changed my insurance. I find in the olive tree very good listening and reactivity that reassures me. Quick reception of my green card by email and mail after finalizing my file by providing the requested documents via the perso"&amp;"nal space.
In terms of prices, I divide by two my contributions having nevertheless taken the most ""high"" services.")</f>
        <v>I am very satisfied to have changed my insurance. I find in the olive tree very good listening and reactivity that reassures me. Quick reception of my green card by email and mail after finalizing my file by providing the requested documents via the personal space.
In terms of prices, I divide by two my contributions having nevertheless taken the most "high" services.</v>
      </c>
    </row>
    <row r="821" ht="15.75" customHeight="1">
      <c r="A821" s="3">
        <v>1.0</v>
      </c>
      <c r="B821" s="3" t="s">
        <v>2279</v>
      </c>
      <c r="C821" s="3" t="s">
        <v>2280</v>
      </c>
      <c r="D821" s="3" t="s">
        <v>247</v>
      </c>
      <c r="E821" s="3" t="s">
        <v>27</v>
      </c>
      <c r="F821" s="3" t="s">
        <v>15</v>
      </c>
      <c r="G821" s="3" t="s">
        <v>2281</v>
      </c>
      <c r="H821" s="3" t="s">
        <v>382</v>
      </c>
      <c r="I821" s="3" t="str">
        <f>IFERROR(__xludf.DUMMYFUNCTION("GOOGLETRANSLATE(C821,""fr"",""en"")"),"After a claim met with a mechanic, this insurance leaves my file dragged and does not respond to recommended letters.
His motto is ""being united and being by our side"" is for me, not respected.
In addition, there is no communication between the organi"&amp;"zation and its legal service, which does not allow to settle my dispute and then leaves me without news, in my case, for almost five months.")</f>
        <v>After a claim met with a mechanic, this insurance leaves my file dragged and does not respond to recommended letters.
His motto is "being united and being by our side" is for me, not respected.
In addition, there is no communication between the organization and its legal service, which does not allow to settle my dispute and then leaves me without news, in my case, for almost five months.</v>
      </c>
    </row>
    <row r="822" ht="15.75" customHeight="1">
      <c r="A822" s="3">
        <v>1.0</v>
      </c>
      <c r="B822" s="3" t="s">
        <v>2282</v>
      </c>
      <c r="C822" s="3" t="s">
        <v>2283</v>
      </c>
      <c r="D822" s="3" t="s">
        <v>42</v>
      </c>
      <c r="E822" s="3" t="s">
        <v>14</v>
      </c>
      <c r="F822" s="3" t="s">
        <v>15</v>
      </c>
      <c r="G822" s="3" t="s">
        <v>2284</v>
      </c>
      <c r="H822" s="3" t="s">
        <v>411</v>
      </c>
      <c r="I822" s="3" t="str">
        <f>IFERROR(__xludf.DUMMYFUNCTION("GOOGLETRANSLATE(C822,""fr"",""en"")"),"A telephone team of incompetent who constantly requires recommended letters that are never treated. A shame to treat these insureds thus!")</f>
        <v>A telephone team of incompetent who constantly requires recommended letters that are never treated. A shame to treat these insureds thus!</v>
      </c>
    </row>
    <row r="823" ht="15.75" customHeight="1">
      <c r="A823" s="3">
        <v>5.0</v>
      </c>
      <c r="B823" s="3" t="s">
        <v>2285</v>
      </c>
      <c r="C823" s="3" t="s">
        <v>2286</v>
      </c>
      <c r="D823" s="3" t="s">
        <v>80</v>
      </c>
      <c r="E823" s="3" t="s">
        <v>81</v>
      </c>
      <c r="F823" s="3" t="s">
        <v>15</v>
      </c>
      <c r="G823" s="3" t="s">
        <v>49</v>
      </c>
      <c r="H823" s="3" t="s">
        <v>50</v>
      </c>
      <c r="I823" s="3" t="str">
        <f>IFERROR(__xludf.DUMMYFUNCTION("GOOGLETRANSLATE(C823,""fr"",""en"")"),"I am very satisfied with this insurance that I did not know. The price is much cheaper than my previous insurance and it is quick to subscribe online")</f>
        <v>I am very satisfied with this insurance that I did not know. The price is much cheaper than my previous insurance and it is quick to subscribe online</v>
      </c>
    </row>
    <row r="824" ht="15.75" customHeight="1">
      <c r="A824" s="3">
        <v>5.0</v>
      </c>
      <c r="B824" s="3" t="s">
        <v>2287</v>
      </c>
      <c r="C824" s="3" t="s">
        <v>2288</v>
      </c>
      <c r="D824" s="3" t="s">
        <v>80</v>
      </c>
      <c r="E824" s="3" t="s">
        <v>81</v>
      </c>
      <c r="F824" s="3" t="s">
        <v>15</v>
      </c>
      <c r="G824" s="3" t="s">
        <v>258</v>
      </c>
      <c r="H824" s="3" t="s">
        <v>50</v>
      </c>
      <c r="I824" s="3" t="str">
        <f>IFERROR(__xludf.DUMMYFUNCTION("GOOGLETRANSLATE(C824,""fr"",""en"")"),"The price is very attractive and the subscription is fast. Very practical to buy a motorcycle on a whim. To see during a disaster if it is so fast")</f>
        <v>The price is very attractive and the subscription is fast. Very practical to buy a motorcycle on a whim. To see during a disaster if it is so fast</v>
      </c>
    </row>
    <row r="825" ht="15.75" customHeight="1">
      <c r="A825" s="3">
        <v>4.0</v>
      </c>
      <c r="B825" s="3" t="s">
        <v>2289</v>
      </c>
      <c r="C825" s="3" t="s">
        <v>2290</v>
      </c>
      <c r="D825" s="3" t="s">
        <v>37</v>
      </c>
      <c r="E825" s="3" t="s">
        <v>27</v>
      </c>
      <c r="F825" s="3" t="s">
        <v>15</v>
      </c>
      <c r="G825" s="3" t="s">
        <v>28</v>
      </c>
      <c r="H825" s="3" t="s">
        <v>29</v>
      </c>
      <c r="I825" s="3" t="str">
        <f>IFERROR(__xludf.DUMMYFUNCTION("GOOGLETRANSLATE(C825,""fr"",""en"")"),"I am satisfied with the service, the site is simple to consult
Prices suit me, several choices
Simple and practical, very fast, reactive, and efficient
")</f>
        <v>I am satisfied with the service, the site is simple to consult
Prices suit me, several choices
Simple and practical, very fast, reactive, and efficient
</v>
      </c>
    </row>
    <row r="826" ht="15.75" customHeight="1">
      <c r="A826" s="3">
        <v>5.0</v>
      </c>
      <c r="B826" s="3" t="s">
        <v>2291</v>
      </c>
      <c r="C826" s="3" t="s">
        <v>2292</v>
      </c>
      <c r="D826" s="3" t="s">
        <v>37</v>
      </c>
      <c r="E826" s="3" t="s">
        <v>27</v>
      </c>
      <c r="F826" s="3" t="s">
        <v>15</v>
      </c>
      <c r="G826" s="3" t="s">
        <v>303</v>
      </c>
      <c r="H826" s="3" t="s">
        <v>58</v>
      </c>
      <c r="I826" s="3" t="str">
        <f>IFERROR(__xludf.DUMMYFUNCTION("GOOGLETRANSLATE(C826,""fr"",""en"")"),"I am satisfied with the service.
The price of insurance is better than that of competition, moreover the first advice which helped me to take the procedures was very pleasant.")</f>
        <v>I am satisfied with the service.
The price of insurance is better than that of competition, moreover the first advice which helped me to take the procedures was very pleasant.</v>
      </c>
    </row>
    <row r="827" ht="15.75" customHeight="1">
      <c r="A827" s="3">
        <v>2.0</v>
      </c>
      <c r="B827" s="3" t="s">
        <v>2293</v>
      </c>
      <c r="C827" s="3" t="s">
        <v>2294</v>
      </c>
      <c r="D827" s="3" t="s">
        <v>53</v>
      </c>
      <c r="E827" s="3" t="s">
        <v>27</v>
      </c>
      <c r="F827" s="3" t="s">
        <v>15</v>
      </c>
      <c r="G827" s="3" t="s">
        <v>502</v>
      </c>
      <c r="H827" s="3" t="s">
        <v>58</v>
      </c>
      <c r="I827" s="3" t="str">
        <f>IFERROR(__xludf.DUMMYFUNCTION("GOOGLETRANSLATE(C827,""fr"",""en"")"),"Significant increase in the insurance premium for our Renault Clio from 2009.
Vehicle over 11 years old and more than 500 euros in the year in the year at all risk !!!
I don't understand. I'm looking elsewhere.")</f>
        <v>Significant increase in the insurance premium for our Renault Clio from 2009.
Vehicle over 11 years old and more than 500 euros in the year in the year at all risk !!!
I don't understand. I'm looking elsewhere.</v>
      </c>
    </row>
    <row r="828" ht="15.75" customHeight="1">
      <c r="A828" s="3">
        <v>4.0</v>
      </c>
      <c r="B828" s="3" t="s">
        <v>2295</v>
      </c>
      <c r="C828" s="3" t="s">
        <v>2296</v>
      </c>
      <c r="D828" s="3" t="s">
        <v>37</v>
      </c>
      <c r="E828" s="3" t="s">
        <v>27</v>
      </c>
      <c r="F828" s="3" t="s">
        <v>15</v>
      </c>
      <c r="G828" s="3" t="s">
        <v>523</v>
      </c>
      <c r="H828" s="3" t="s">
        <v>50</v>
      </c>
      <c r="I828" s="3" t="str">
        <f>IFERROR(__xludf.DUMMYFUNCTION("GOOGLETRANSLATE(C828,""fr"",""en"")"),"I am currently satisfied with the service rendered, but it is very often in the event of a problem that we appreciate insurance at their fair value, hoping never to know of course!")</f>
        <v>I am currently satisfied with the service rendered, but it is very often in the event of a problem that we appreciate insurance at their fair value, hoping never to know of course!</v>
      </c>
    </row>
    <row r="829" ht="15.75" customHeight="1">
      <c r="A829" s="3">
        <v>1.0</v>
      </c>
      <c r="B829" s="3" t="s">
        <v>2297</v>
      </c>
      <c r="C829" s="3" t="s">
        <v>2298</v>
      </c>
      <c r="D829" s="3" t="s">
        <v>85</v>
      </c>
      <c r="E829" s="3" t="s">
        <v>27</v>
      </c>
      <c r="F829" s="3" t="s">
        <v>15</v>
      </c>
      <c r="G829" s="3" t="s">
        <v>2299</v>
      </c>
      <c r="H829" s="3" t="s">
        <v>322</v>
      </c>
      <c r="I829" s="3" t="str">
        <f>IFERROR(__xludf.DUMMYFUNCTION("GOOGLETRANSLATE(C829,""fr"",""en"")"),"They are not at all the cheapest, they wanted to bring the annual contribution more high than the previous year when I have a bonus and no claim over the past 12 months !!!! 80 euros more expensive than the year Ecoulee !!! And never an answer to my quest"&amp;"ions no manager to join the phone (green number to contact customer service!) And that incompetent (they recite their script learned by choir ever they will not be able to answer you). A word of advice: do not get you because their prices are far from bei"&amp;"ng the most competitive! For Active Insurance the Customer is only a number and a bank account to take up when they want and the amount they want !!!! I have lots of contacts on almost all social and active insurance networks can count on me to talk about"&amp;" its more than zero service;)")</f>
        <v>They are not at all the cheapest, they wanted to bring the annual contribution more high than the previous year when I have a bonus and no claim over the past 12 months !!!! 80 euros more expensive than the year Ecoulee !!! And never an answer to my questions no manager to join the phone (green number to contact customer service!) And that incompetent (they recite their script learned by choir ever they will not be able to answer you). A word of advice: do not get you because their prices are far from being the most competitive! For Active Insurance the Customer is only a number and a bank account to take up when they want and the amount they want !!!! I have lots of contacts on almost all social and active insurance networks can count on me to talk about its more than zero service;)</v>
      </c>
    </row>
    <row r="830" ht="15.75" customHeight="1">
      <c r="A830" s="3">
        <v>1.0</v>
      </c>
      <c r="B830" s="3" t="s">
        <v>2300</v>
      </c>
      <c r="C830" s="3" t="s">
        <v>2301</v>
      </c>
      <c r="D830" s="3" t="s">
        <v>670</v>
      </c>
      <c r="E830" s="3" t="s">
        <v>27</v>
      </c>
      <c r="F830" s="3" t="s">
        <v>15</v>
      </c>
      <c r="G830" s="3" t="s">
        <v>884</v>
      </c>
      <c r="H830" s="3" t="s">
        <v>58</v>
      </c>
      <c r="I830" s="3" t="str">
        <f>IFERROR(__xludf.DUMMYFUNCTION("GOOGLETRANSLATE(C830,""fr"",""en"")"),"Impossible to reach at the Telephone, yet it is a remote insurer ...
After several attempts with expectations of 10 min mini, the advisor is very little shopping, the guarantees are not clear. I ask to speak to a manager. It reminds me but has no choice "&amp;"but to send me to competition (I wanted to re-bring the guarantees of my contract, but it is impossible!).
I have since found an agency insurer for the same price, so flee Eurofil!")</f>
        <v>Impossible to reach at the Telephone, yet it is a remote insurer ...
After several attempts with expectations of 10 min mini, the advisor is very little shopping, the guarantees are not clear. I ask to speak to a manager. It reminds me but has no choice but to send me to competition (I wanted to re-bring the guarantees of my contract, but it is impossible!).
I have since found an agency insurer for the same price, so flee Eurofil!</v>
      </c>
    </row>
    <row r="831" ht="15.75" customHeight="1">
      <c r="A831" s="3">
        <v>2.0</v>
      </c>
      <c r="B831" s="3" t="s">
        <v>2302</v>
      </c>
      <c r="C831" s="3" t="s">
        <v>2303</v>
      </c>
      <c r="D831" s="3" t="s">
        <v>26</v>
      </c>
      <c r="E831" s="3" t="s">
        <v>27</v>
      </c>
      <c r="F831" s="3" t="s">
        <v>15</v>
      </c>
      <c r="G831" s="3" t="s">
        <v>2304</v>
      </c>
      <c r="H831" s="3" t="s">
        <v>382</v>
      </c>
      <c r="I831" s="3" t="str">
        <f>IFERROR(__xludf.DUMMYFUNCTION("GOOGLETRANSLATE(C831,""fr"",""en"")"),"My vehicle was damaged by 2 times on 08/07/2019 and 03/03/2020, the first non -responsible caused by a driver who cut the road
The second in parking in front of my home also not responsible, the GMF recognized that my responsibility was not engaged, I ha"&amp;"ve a letter which confirms it. Conclusion of my insurance contract !!! thanks WHO !!!")</f>
        <v>My vehicle was damaged by 2 times on 08/07/2019 and 03/03/2020, the first non -responsible caused by a driver who cut the road
The second in parking in front of my home also not responsible, the GMF recognized that my responsibility was not engaged, I have a letter which confirms it. Conclusion of my insurance contract !!! thanks WHO !!!</v>
      </c>
    </row>
    <row r="832" ht="15.75" customHeight="1">
      <c r="A832" s="3">
        <v>2.0</v>
      </c>
      <c r="B832" s="3" t="s">
        <v>2305</v>
      </c>
      <c r="C832" s="3" t="s">
        <v>2306</v>
      </c>
      <c r="D832" s="3" t="s">
        <v>670</v>
      </c>
      <c r="E832" s="3" t="s">
        <v>27</v>
      </c>
      <c r="F832" s="3" t="s">
        <v>15</v>
      </c>
      <c r="G832" s="3" t="s">
        <v>390</v>
      </c>
      <c r="H832" s="3" t="s">
        <v>58</v>
      </c>
      <c r="I832" s="3" t="str">
        <f>IFERROR(__xludf.DUMMYFUNCTION("GOOGLETRANSLATE(C832,""fr"",""en"")"),"I changed insurance for cheaper and I just registered with Eurofil Aviva.
But I already struggle to have them by phone or on their messenger and to make myself understood for simple explanations on my contract and the deadline.
So I don't even imagine i"&amp;"f I have a disaster!
I don't know if I will stay with them for a long time!
And in view of the comments it scares me!")</f>
        <v>I changed insurance for cheaper and I just registered with Eurofil Aviva.
But I already struggle to have them by phone or on their messenger and to make myself understood for simple explanations on my contract and the deadline.
So I don't even imagine if I have a disaster!
I don't know if I will stay with them for a long time!
And in view of the comments it scares me!</v>
      </c>
    </row>
    <row r="833" ht="15.75" customHeight="1">
      <c r="A833" s="3">
        <v>2.0</v>
      </c>
      <c r="B833" s="3" t="s">
        <v>2307</v>
      </c>
      <c r="C833" s="3" t="s">
        <v>2308</v>
      </c>
      <c r="D833" s="3" t="s">
        <v>670</v>
      </c>
      <c r="E833" s="3" t="s">
        <v>27</v>
      </c>
      <c r="F833" s="3" t="s">
        <v>15</v>
      </c>
      <c r="G833" s="3" t="s">
        <v>2309</v>
      </c>
      <c r="H833" s="3" t="s">
        <v>604</v>
      </c>
      <c r="I833" s="3" t="str">
        <f>IFERROR(__xludf.DUMMYFUNCTION("GOOGLETRANSLATE(C833,""fr"",""en"")"),"I was insured at Eurofil for many years without problem then for 3 years I had an accident with 50% liability, a break from windshield then Undegat du A la Grele.
Insurance has chosen to break such a good relationship.
So I changed insurer for 3 years a"&amp;"nd now then after 3 years without problem, I hoped to return to Eurofil, that Nenni, obviously once terminated it is forever.
I feel like I am asking a banker a credit after being cured of cancer, that revolted me")</f>
        <v>I was insured at Eurofil for many years without problem then for 3 years I had an accident with 50% liability, a break from windshield then Undegat du A la Grele.
Insurance has chosen to break such a good relationship.
So I changed insurer for 3 years and now then after 3 years without problem, I hoped to return to Eurofil, that Nenni, obviously once terminated it is forever.
I feel like I am asking a banker a credit after being cured of cancer, that revolted me</v>
      </c>
    </row>
    <row r="834" ht="15.75" customHeight="1">
      <c r="A834" s="3">
        <v>4.0</v>
      </c>
      <c r="B834" s="3" t="s">
        <v>2310</v>
      </c>
      <c r="C834" s="3" t="s">
        <v>2311</v>
      </c>
      <c r="D834" s="3" t="s">
        <v>37</v>
      </c>
      <c r="E834" s="3" t="s">
        <v>27</v>
      </c>
      <c r="F834" s="3" t="s">
        <v>15</v>
      </c>
      <c r="G834" s="3" t="s">
        <v>509</v>
      </c>
      <c r="H834" s="3" t="s">
        <v>17</v>
      </c>
      <c r="I834" s="3" t="str">
        <f>IFERROR(__xludf.DUMMYFUNCTION("GOOGLETRANSLATE(C834,""fr"",""en"")"),"I am satisfied with the service and reception, but the price is a little high compared to an electric car.
Cordially
Trabelsi Teyssir
  ")</f>
        <v>I am satisfied with the service and reception, but the price is a little high compared to an electric car.
Cordially
Trabelsi Teyssir
  </v>
      </c>
    </row>
    <row r="835" ht="15.75" customHeight="1">
      <c r="A835" s="3">
        <v>1.0</v>
      </c>
      <c r="B835" s="3" t="s">
        <v>2312</v>
      </c>
      <c r="C835" s="3" t="s">
        <v>2313</v>
      </c>
      <c r="D835" s="3" t="s">
        <v>108</v>
      </c>
      <c r="E835" s="3" t="s">
        <v>27</v>
      </c>
      <c r="F835" s="3" t="s">
        <v>15</v>
      </c>
      <c r="G835" s="3" t="s">
        <v>2314</v>
      </c>
      <c r="H835" s="3" t="s">
        <v>1109</v>
      </c>
      <c r="I835" s="3" t="str">
        <f>IFERROR(__xludf.DUMMYFUNCTION("GOOGLETRANSLATE(C835,""fr"",""en"")"),"Hello following a claim on my vehicle that I bought in the 1st hand
 (not responsible the automotive expert 2 insufficient photo passage (which I had to contact myself axa na do nothing he tells me that he wants to take into account repairs but that acco"&amp;"rding to him a poor previous repairs cause problem 600 Euro to the charge I therefore contacted Axa 10 calls 10 emails never the same person I transmitted the contact details of the former owner (name as well as the CT and his AXA Assurance company tells "&amp;"me that he will remind me Of course the car and hs I am on foot suddenly and of course apart from you yes mr we understand we take care of everything is they take care of nothing bravo axa super professional service like never so they have to manage alone"&amp;" so that we pay every month really not pro as much as possible I finally change if one day this")</f>
        <v>Hello following a claim on my vehicle that I bought in the 1st hand
 (not responsible the automotive expert 2 insufficient photo passage (which I had to contact myself axa na do nothing he tells me that he wants to take into account repairs but that according to him a poor previous repairs cause problem 600 Euro to the charge I therefore contacted Axa 10 calls 10 emails never the same person I transmitted the contact details of the former owner (name as well as the CT and his AXA Assurance company tells me that he will remind me Of course the car and hs I am on foot suddenly and of course apart from you yes mr we understand we take care of everything is they take care of nothing bravo axa super professional service like never so they have to manage alone so that we pay every month really not pro as much as possible I finally change if one day this</v>
      </c>
    </row>
    <row r="836" ht="15.75" customHeight="1">
      <c r="A836" s="3">
        <v>3.0</v>
      </c>
      <c r="B836" s="3" t="s">
        <v>2315</v>
      </c>
      <c r="C836" s="3" t="s">
        <v>2316</v>
      </c>
      <c r="D836" s="3" t="s">
        <v>108</v>
      </c>
      <c r="E836" s="3" t="s">
        <v>27</v>
      </c>
      <c r="F836" s="3" t="s">
        <v>15</v>
      </c>
      <c r="G836" s="3" t="s">
        <v>1374</v>
      </c>
      <c r="H836" s="3" t="s">
        <v>520</v>
      </c>
      <c r="I836" s="3" t="str">
        <f>IFERROR(__xludf.DUMMYFUNCTION("GOOGLETRANSLATE(C836,""fr"",""en"")"),"A stunned experience. AXA sent my termination request to the previous insurer at an expired address for 2 years, then did not realize that no acknowledgment of receipt had reached Axa. I therefore pay two insurances, proposals are made to me to solve the "&amp;"problem, but the AXA management service says they cannot engage in writing on the reimbursement procedure for the 3 months which are due to me in this context ...")</f>
        <v>A stunned experience. AXA sent my termination request to the previous insurer at an expired address for 2 years, then did not realize that no acknowledgment of receipt had reached Axa. I therefore pay two insurances, proposals are made to me to solve the problem, but the AXA management service says they cannot engage in writing on the reimbursement procedure for the 3 months which are due to me in this context ...</v>
      </c>
    </row>
    <row r="837" ht="15.75" customHeight="1">
      <c r="A837" s="3">
        <v>4.0</v>
      </c>
      <c r="B837" s="3" t="s">
        <v>2317</v>
      </c>
      <c r="C837" s="3" t="s">
        <v>2318</v>
      </c>
      <c r="D837" s="3" t="s">
        <v>37</v>
      </c>
      <c r="E837" s="3" t="s">
        <v>27</v>
      </c>
      <c r="F837" s="3" t="s">
        <v>15</v>
      </c>
      <c r="G837" s="3" t="s">
        <v>2319</v>
      </c>
      <c r="H837" s="3" t="s">
        <v>34</v>
      </c>
      <c r="I837" s="3" t="str">
        <f>IFERROR(__xludf.DUMMYFUNCTION("GOOGLETRANSLATE(C837,""fr"",""en"")"),"My relatives we have this insurance I heard that good that's why today I am part of this insurance and I am proud of it thank you the olive assurance")</f>
        <v>My relatives we have this insurance I heard that good that's why today I am part of this insurance and I am proud of it thank you the olive assurance</v>
      </c>
    </row>
    <row r="838" ht="15.75" customHeight="1">
      <c r="A838" s="3">
        <v>1.0</v>
      </c>
      <c r="B838" s="3" t="s">
        <v>2320</v>
      </c>
      <c r="C838" s="3" t="s">
        <v>2321</v>
      </c>
      <c r="D838" s="3" t="s">
        <v>1273</v>
      </c>
      <c r="E838" s="3" t="s">
        <v>805</v>
      </c>
      <c r="F838" s="3" t="s">
        <v>15</v>
      </c>
      <c r="G838" s="3" t="s">
        <v>2322</v>
      </c>
      <c r="H838" s="3" t="s">
        <v>44</v>
      </c>
      <c r="I838" s="3" t="str">
        <f>IFERROR(__xludf.DUMMYFUNCTION("GOOGLETRANSLATE(C838,""fr"",""en"")"),"Very happy with insurance for my dog ​​the first years despite the price of the chosen formula. I wanted security. But each year the bonus increased by 4 euros! After 8 years I had doubled the premium! I quickly understood that this pace it was better to "&amp;"put money aside rather than investing in insurance. My dog ​​had health problems right after but I remain financially winning. It is indeed reporting that it takes three weeks to be reimbursed. The only speed of Santevet is to promise you reimbursement as"&amp;" soon as they receive your request.")</f>
        <v>Very happy with insurance for my dog ​​the first years despite the price of the chosen formula. I wanted security. But each year the bonus increased by 4 euros! After 8 years I had doubled the premium! I quickly understood that this pace it was better to put money aside rather than investing in insurance. My dog ​​had health problems right after but I remain financially winning. It is indeed reporting that it takes three weeks to be reimbursed. The only speed of Santevet is to promise you reimbursement as soon as they receive your request.</v>
      </c>
    </row>
    <row r="839" ht="15.75" customHeight="1">
      <c r="A839" s="3">
        <v>1.0</v>
      </c>
      <c r="B839" s="3" t="s">
        <v>2323</v>
      </c>
      <c r="C839" s="3" t="s">
        <v>2324</v>
      </c>
      <c r="D839" s="3" t="s">
        <v>108</v>
      </c>
      <c r="E839" s="3" t="s">
        <v>27</v>
      </c>
      <c r="F839" s="3" t="s">
        <v>15</v>
      </c>
      <c r="G839" s="3" t="s">
        <v>111</v>
      </c>
      <c r="H839" s="3" t="s">
        <v>111</v>
      </c>
      <c r="I839" s="3" t="str">
        <f>IFERROR(__xludf.DUMMYFUNCTION("GOOGLETRANSLATE(C839,""fr"",""en"")"),"My husband and I had to do the assistance Troubleshooting on 01/31/2019 at 6 p.m. on the highway, after a dozen calls we were finally able to have a taxi that picks us up to take us to recover a car from LOC A 45MIN DE ROUTE DU Place where we were (in the"&amp;" cold in our car because the garage which came to help us off at 7 p.m.) at 8:40 pm The taxi presents we take our car car at Orly at 9:54 pm, to return home We in Angers at 1 a.m. Fortunately we have family who was able to sleep with us and take care of o"&amp;"ur 13 month old daughter who was keeping today.
We are still that at the beginning because now we have to recover our car at 2 hours from the road from home. We are thinking about our contract with AXA as soon as we have recovered our car! Indeed with ou"&amp;"r testimony we do not recommend this unreliable insurance.")</f>
        <v>My husband and I had to do the assistance Troubleshooting on 01/31/2019 at 6 p.m. on the highway, after a dozen calls we were finally able to have a taxi that picks us up to take us to recover a car from LOC A 45MIN DE ROUTE DU Place where we were (in the cold in our car because the garage which came to help us off at 7 p.m.) at 8:40 pm The taxi presents we take our car car at Orly at 9:54 pm, to return home We in Angers at 1 a.m. Fortunately we have family who was able to sleep with us and take care of our 13 month old daughter who was keeping today.
We are still that at the beginning because now we have to recover our car at 2 hours from the road from home. We are thinking about our contract with AXA as soon as we have recovered our car! Indeed with our testimony we do not recommend this unreliable insurance.</v>
      </c>
    </row>
    <row r="840" ht="15.75" customHeight="1">
      <c r="A840" s="3">
        <v>5.0</v>
      </c>
      <c r="B840" s="3" t="s">
        <v>2325</v>
      </c>
      <c r="C840" s="3" t="s">
        <v>2326</v>
      </c>
      <c r="D840" s="3" t="s">
        <v>37</v>
      </c>
      <c r="E840" s="3" t="s">
        <v>27</v>
      </c>
      <c r="F840" s="3" t="s">
        <v>15</v>
      </c>
      <c r="G840" s="3" t="s">
        <v>2327</v>
      </c>
      <c r="H840" s="3" t="s">
        <v>72</v>
      </c>
      <c r="I840" s="3" t="str">
        <f>IFERROR(__xludf.DUMMYFUNCTION("GOOGLETRANSLATE(C840,""fr"",""en"")"),"I see that this is very good, then less, I will advise my friends what to do this insurance, I wish you a great day. Thank you")</f>
        <v>I see that this is very good, then less, I will advise my friends what to do this insurance, I wish you a great day. Thank you</v>
      </c>
    </row>
    <row r="841" ht="15.75" customHeight="1">
      <c r="A841" s="3">
        <v>3.0</v>
      </c>
      <c r="B841" s="3" t="s">
        <v>2328</v>
      </c>
      <c r="C841" s="3" t="s">
        <v>2329</v>
      </c>
      <c r="D841" s="3" t="s">
        <v>53</v>
      </c>
      <c r="E841" s="3" t="s">
        <v>27</v>
      </c>
      <c r="F841" s="3" t="s">
        <v>15</v>
      </c>
      <c r="G841" s="3" t="s">
        <v>213</v>
      </c>
      <c r="H841" s="3" t="s">
        <v>17</v>
      </c>
      <c r="I841" s="3" t="str">
        <f>IFERROR(__xludf.DUMMYFUNCTION("GOOGLETRANSLATE(C841,""fr"",""en"")"),"I am satisfied with the ""Youdrive"" option which allows me to relieve the slightly salty note by driving cautiously. Finally, young drivers have the confidence of insurance.")</f>
        <v>I am satisfied with the "Youdrive" option which allows me to relieve the slightly salty note by driving cautiously. Finally, young drivers have the confidence of insurance.</v>
      </c>
    </row>
    <row r="842" ht="15.75" customHeight="1">
      <c r="A842" s="3">
        <v>4.0</v>
      </c>
      <c r="B842" s="3" t="s">
        <v>2330</v>
      </c>
      <c r="C842" s="3" t="s">
        <v>2331</v>
      </c>
      <c r="D842" s="3" t="s">
        <v>37</v>
      </c>
      <c r="E842" s="3" t="s">
        <v>27</v>
      </c>
      <c r="F842" s="3" t="s">
        <v>15</v>
      </c>
      <c r="G842" s="3" t="s">
        <v>531</v>
      </c>
      <c r="H842" s="3" t="s">
        <v>72</v>
      </c>
      <c r="I842" s="3" t="str">
        <f>IFERROR(__xludf.DUMMYFUNCTION("GOOGLETRANSLATE(C842,""fr"",""en"")"),"The advisor is very pleasant he explained to me the procedure and the prices are very interesting.
The waiting period is not long.
Thank you so much.")</f>
        <v>The advisor is very pleasant he explained to me the procedure and the prices are very interesting.
The waiting period is not long.
Thank you so much.</v>
      </c>
    </row>
    <row r="843" ht="15.75" customHeight="1">
      <c r="A843" s="3">
        <v>2.0</v>
      </c>
      <c r="B843" s="3" t="s">
        <v>2332</v>
      </c>
      <c r="C843" s="3" t="s">
        <v>2333</v>
      </c>
      <c r="D843" s="3" t="s">
        <v>37</v>
      </c>
      <c r="E843" s="3" t="s">
        <v>27</v>
      </c>
      <c r="F843" s="3" t="s">
        <v>15</v>
      </c>
      <c r="G843" s="3" t="s">
        <v>2334</v>
      </c>
      <c r="H843" s="3" t="s">
        <v>604</v>
      </c>
      <c r="I843" s="3" t="str">
        <f>IFERROR(__xludf.DUMMYFUNCTION("GOOGLETRANSLATE(C843,""fr"",""en"")"),"Hello,
One more to come and complain about the ""addendum"" costs of the olive assurance of € 15. I made my quote with my information statement which mentioned a rate at 0.63, I subscribed online and now I am charged 15 € because my last statement of ter"&amp;"mination information mentions a COEF at 0, 60 (normal it increased on the anniversary of my contract), rate that I could not anticipate or invent. I also made a entry error on the date of purchase of my vehicle, I entered 11 /2015 instead of 11/2014, whic"&amp;"h should not have an impact on my subscription but not at the olive assurance we charge you 15 €, it is planned in their conditions of sale so they have the right indeed . I read that they were also inviting if you changed a address finally anything and a"&amp;"nything. For a start, it starts really badly and when you subscribe to a ""cheap"" insurer it is not to hit the bogus costs barely the contract subscribed.")</f>
        <v>Hello,
One more to come and complain about the "addendum" costs of the olive assurance of € 15. I made my quote with my information statement which mentioned a rate at 0.63, I subscribed online and now I am charged 15 € because my last statement of termination information mentions a COEF at 0, 60 (normal it increased on the anniversary of my contract), rate that I could not anticipate or invent. I also made a entry error on the date of purchase of my vehicle, I entered 11 /2015 instead of 11/2014, which should not have an impact on my subscription but not at the olive assurance we charge you 15 €, it is planned in their conditions of sale so they have the right indeed . I read that they were also inviting if you changed a address finally anything and anything. For a start, it starts really badly and when you subscribe to a "cheap" insurer it is not to hit the bogus costs barely the contract subscribed.</v>
      </c>
    </row>
    <row r="844" ht="15.75" customHeight="1">
      <c r="A844" s="3">
        <v>1.0</v>
      </c>
      <c r="B844" s="3" t="s">
        <v>2335</v>
      </c>
      <c r="C844" s="3" t="s">
        <v>2336</v>
      </c>
      <c r="D844" s="3" t="s">
        <v>13</v>
      </c>
      <c r="E844" s="3" t="s">
        <v>14</v>
      </c>
      <c r="F844" s="3" t="s">
        <v>15</v>
      </c>
      <c r="G844" s="3" t="s">
        <v>328</v>
      </c>
      <c r="H844" s="3" t="s">
        <v>17</v>
      </c>
      <c r="I844" s="3" t="str">
        <f>IFERROR(__xludf.DUMMYFUNCTION("GOOGLETRANSLATE(C844,""fr"",""en"")"),"I get penalty, I have time to listen to them while I work ... when I explain that I want to see the contracts before committing because I want to compare with my current contracts. The person gets angry speaks to me very badly saying that I have only paid"&amp;" fees and hang up. Lamentable !!! And the less my choice is quickly seen !!! Never at Neoliane")</f>
        <v>I get penalty, I have time to listen to them while I work ... when I explain that I want to see the contracts before committing because I want to compare with my current contracts. The person gets angry speaks to me very badly saying that I have only paid fees and hang up. Lamentable !!! And the less my choice is quickly seen !!! Never at Neoliane</v>
      </c>
    </row>
    <row r="845" ht="15.75" customHeight="1">
      <c r="A845" s="3">
        <v>2.0</v>
      </c>
      <c r="B845" s="3" t="s">
        <v>2337</v>
      </c>
      <c r="C845" s="3" t="s">
        <v>2338</v>
      </c>
      <c r="D845" s="3" t="s">
        <v>53</v>
      </c>
      <c r="E845" s="3" t="s">
        <v>27</v>
      </c>
      <c r="F845" s="3" t="s">
        <v>15</v>
      </c>
      <c r="G845" s="3" t="s">
        <v>1960</v>
      </c>
      <c r="H845" s="3" t="s">
        <v>72</v>
      </c>
      <c r="I845" s="3" t="str">
        <f>IFERROR(__xludf.DUMMYFUNCTION("GOOGLETRANSLATE(C845,""fr"",""en"")"),"Hello
With confinement I have little rolled
Do you apply a reduction in prices?
It corresponds to a global situation
thank you
Cordially
Fc")</f>
        <v>Hello
With confinement I have little rolled
Do you apply a reduction in prices?
It corresponds to a global situation
thank you
Cordially
Fc</v>
      </c>
    </row>
    <row r="846" ht="15.75" customHeight="1">
      <c r="A846" s="3">
        <v>2.0</v>
      </c>
      <c r="B846" s="3" t="s">
        <v>2339</v>
      </c>
      <c r="C846" s="3" t="s">
        <v>2340</v>
      </c>
      <c r="D846" s="3" t="s">
        <v>26</v>
      </c>
      <c r="E846" s="3" t="s">
        <v>27</v>
      </c>
      <c r="F846" s="3" t="s">
        <v>15</v>
      </c>
      <c r="G846" s="3" t="s">
        <v>2341</v>
      </c>
      <c r="H846" s="3" t="s">
        <v>335</v>
      </c>
      <c r="I846" s="3" t="str">
        <f>IFERROR(__xludf.DUMMYFUNCTION("GOOGLETRANSLATE(C846,""fr"",""en"")"),"Insurer who fires you for incidents not responsible and with a bonus of 50% for 20 years especially without warning and without explanation")</f>
        <v>Insurer who fires you for incidents not responsible and with a bonus of 50% for 20 years especially without warning and without explanation</v>
      </c>
    </row>
    <row r="847" ht="15.75" customHeight="1">
      <c r="A847" s="3">
        <v>4.0</v>
      </c>
      <c r="B847" s="3" t="s">
        <v>2342</v>
      </c>
      <c r="C847" s="3" t="s">
        <v>2343</v>
      </c>
      <c r="D847" s="3" t="s">
        <v>57</v>
      </c>
      <c r="E847" s="3" t="s">
        <v>14</v>
      </c>
      <c r="F847" s="3" t="s">
        <v>15</v>
      </c>
      <c r="G847" s="3" t="s">
        <v>298</v>
      </c>
      <c r="H847" s="3" t="s">
        <v>58</v>
      </c>
      <c r="I847" s="3" t="str">
        <f>IFERROR(__xludf.DUMMYFUNCTION("GOOGLETRANSLATE(C847,""fr"",""en"")"),"Competent and pleasant telephone service. Good advice. Now to see if the reimbursements will be satisfactory or not compared to my future quote")</f>
        <v>Competent and pleasant telephone service. Good advice. Now to see if the reimbursements will be satisfactory or not compared to my future quote</v>
      </c>
    </row>
    <row r="848" ht="15.75" customHeight="1">
      <c r="A848" s="3">
        <v>5.0</v>
      </c>
      <c r="B848" s="3" t="s">
        <v>2344</v>
      </c>
      <c r="C848" s="3" t="s">
        <v>2345</v>
      </c>
      <c r="D848" s="3" t="s">
        <v>37</v>
      </c>
      <c r="E848" s="3" t="s">
        <v>27</v>
      </c>
      <c r="F848" s="3" t="s">
        <v>15</v>
      </c>
      <c r="G848" s="3" t="s">
        <v>1289</v>
      </c>
      <c r="H848" s="3" t="s">
        <v>50</v>
      </c>
      <c r="I848" s="3" t="str">
        <f>IFERROR(__xludf.DUMMYFUNCTION("GOOGLETRANSLATE(C848,""fr"",""en"")"),"I am satisfied with the service
I would recommend to any other person
Supervisable price level
effective efficient fast service
thank you so much")</f>
        <v>I am satisfied with the service
I would recommend to any other person
Supervisable price level
effective efficient fast service
thank you so much</v>
      </c>
    </row>
    <row r="849" ht="15.75" customHeight="1">
      <c r="A849" s="3">
        <v>1.0</v>
      </c>
      <c r="B849" s="3" t="s">
        <v>2346</v>
      </c>
      <c r="C849" s="3" t="s">
        <v>2347</v>
      </c>
      <c r="D849" s="3" t="s">
        <v>193</v>
      </c>
      <c r="E849" s="3" t="s">
        <v>14</v>
      </c>
      <c r="F849" s="3" t="s">
        <v>15</v>
      </c>
      <c r="G849" s="3" t="s">
        <v>2348</v>
      </c>
      <c r="H849" s="3" t="s">
        <v>139</v>
      </c>
      <c r="I849" s="3" t="str">
        <f>IFERROR(__xludf.DUMMYFUNCTION("GOOGLETRANSLATE(C849,""fr"",""en"")"),"Run away !!!!! Following our dismissal with my spouse we benefit from portability ... provided that they send them the certificates Pôle Emploi TS in the months, so so far OK, except that there is a deficiency of unemployment and that during this deficien"&amp;"cy no certificates Pôle Emploi regulation and therefore ..... they have struck us down !!!! In the middle of Corona epidemic our organization has struck us for a document that we could not transmit! !!! But what a shame !!!! Flee this inhuman organism whi"&amp;"ch will drop you to the 1st epidemic !!!! And of course they have been unreachable for several weeks bravo the BCAC and the Mgen Grand Bravo")</f>
        <v>Run away !!!!! Following our dismissal with my spouse we benefit from portability ... provided that they send them the certificates Pôle Emploi TS in the months, so so far OK, except that there is a deficiency of unemployment and that during this deficiency no certificates Pôle Emploi regulation and therefore ..... they have struck us down !!!! In the middle of Corona epidemic our organization has struck us for a document that we could not transmit! !!! But what a shame !!!! Flee this inhuman organism which will drop you to the 1st epidemic !!!! And of course they have been unreachable for several weeks bravo the BCAC and the Mgen Grand Bravo</v>
      </c>
    </row>
    <row r="850" ht="15.75" customHeight="1">
      <c r="A850" s="3">
        <v>5.0</v>
      </c>
      <c r="B850" s="3" t="s">
        <v>2349</v>
      </c>
      <c r="C850" s="3" t="s">
        <v>2350</v>
      </c>
      <c r="D850" s="3" t="s">
        <v>53</v>
      </c>
      <c r="E850" s="3" t="s">
        <v>27</v>
      </c>
      <c r="F850" s="3" t="s">
        <v>15</v>
      </c>
      <c r="G850" s="3" t="s">
        <v>718</v>
      </c>
      <c r="H850" s="3" t="s">
        <v>58</v>
      </c>
      <c r="I850" s="3" t="str">
        <f>IFERROR(__xludf.DUMMYFUNCTION("GOOGLETRANSLATE(C850,""fr"",""en"")"),"I am satisfied with the service
Prices suit me
I am not very good when I go to the site but the advisers know how to inform me")</f>
        <v>I am satisfied with the service
Prices suit me
I am not very good when I go to the site but the advisers know how to inform me</v>
      </c>
    </row>
    <row r="851" ht="15.75" customHeight="1">
      <c r="A851" s="3">
        <v>2.0</v>
      </c>
      <c r="B851" s="3" t="s">
        <v>2351</v>
      </c>
      <c r="C851" s="3" t="s">
        <v>2352</v>
      </c>
      <c r="D851" s="3" t="s">
        <v>123</v>
      </c>
      <c r="E851" s="3" t="s">
        <v>81</v>
      </c>
      <c r="F851" s="3" t="s">
        <v>15</v>
      </c>
      <c r="G851" s="3" t="s">
        <v>943</v>
      </c>
      <c r="H851" s="3" t="s">
        <v>655</v>
      </c>
      <c r="I851" s="3" t="str">
        <f>IFERROR(__xludf.DUMMYFUNCTION("GOOGLETRANSLATE(C851,""fr"",""en"")"),"Previously, I was insured for two Maaf vehicles with 50% lifetime bonuses: a car and a two wheels. I just sold my car and here I am with an insurance premium that increases by 40% for my 2 wheels.
Reason: this one becomes my main vehicle.")</f>
        <v>Previously, I was insured for two Maaf vehicles with 50% lifetime bonuses: a car and a two wheels. I just sold my car and here I am with an insurance premium that increases by 40% for my 2 wheels.
Reason: this one becomes my main vehicle.</v>
      </c>
    </row>
    <row r="852" ht="15.75" customHeight="1">
      <c r="A852" s="3">
        <v>1.0</v>
      </c>
      <c r="B852" s="3" t="s">
        <v>2353</v>
      </c>
      <c r="C852" s="3" t="s">
        <v>2354</v>
      </c>
      <c r="D852" s="3" t="s">
        <v>247</v>
      </c>
      <c r="E852" s="3" t="s">
        <v>27</v>
      </c>
      <c r="F852" s="3" t="s">
        <v>15</v>
      </c>
      <c r="G852" s="3" t="s">
        <v>2355</v>
      </c>
      <c r="H852" s="3" t="s">
        <v>347</v>
      </c>
      <c r="I852" s="3" t="str">
        <f>IFERROR(__xludf.DUMMYFUNCTION("GOOGLETRANSLATE(C852,""fr"",""en"")"),".Capable to collect money from the insurance of a vehicle who has left for 3 years. Stolen catalyst not reimbursed. For 35 years, I leave them !!!")</f>
        <v>.Capable to collect money from the insurance of a vehicle who has left for 3 years. Stolen catalyst not reimbursed. For 35 years, I leave them !!!</v>
      </c>
    </row>
    <row r="853" ht="15.75" customHeight="1">
      <c r="A853" s="3">
        <v>1.0</v>
      </c>
      <c r="B853" s="3" t="s">
        <v>2356</v>
      </c>
      <c r="C853" s="3" t="s">
        <v>2357</v>
      </c>
      <c r="D853" s="3" t="s">
        <v>75</v>
      </c>
      <c r="E853" s="3" t="s">
        <v>21</v>
      </c>
      <c r="F853" s="3" t="s">
        <v>15</v>
      </c>
      <c r="G853" s="3" t="s">
        <v>1160</v>
      </c>
      <c r="H853" s="3" t="s">
        <v>139</v>
      </c>
      <c r="I853" s="3" t="str">
        <f>IFERROR(__xludf.DUMMYFUNCTION("GOOGLETRANSLATE(C853,""fr"",""en"")"),"Run away
He presents the services to you as being at the top. I pay twice as expensive than in other insurer and reality it is a masquerade. I am an independent, I pay 190 euros/ month a bogus foresight. I had a small work accident. Some point of suture "&amp;"in the emergency room. 10 days stop. I made all the starts on the 1st days. 3 weeks nothing! Even monitoring the status on their application. 50 minute to have someone who tells you that they are waiting for the expertise of their doctor, as if the emerge"&amp;"ncy reports are doubtful. I don't imagine if it had been serious, if I had lost a finger. The management is calamitous. You are delivered to you even. It doesn't reassure you. You are not really assured. They concentrate their energies to seek a possible "&amp;"opportunity not to take care of you.
Any insurance will be better than Allianz. For my part I will terminate as soon as possible to go to real insurance. Suddenly, I terminate my retirement savings, my health justice € 190/month, my health mutual € 70/mo"&amp;"nth, my car insurance € 140/month. Hopefully I have not signed the rest with them. A calamity.")</f>
        <v>Run away
He presents the services to you as being at the top. I pay twice as expensive than in other insurer and reality it is a masquerade. I am an independent, I pay 190 euros/ month a bogus foresight. I had a small work accident. Some point of suture in the emergency room. 10 days stop. I made all the starts on the 1st days. 3 weeks nothing! Even monitoring the status on their application. 50 minute to have someone who tells you that they are waiting for the expertise of their doctor, as if the emergency reports are doubtful. I don't imagine if it had been serious, if I had lost a finger. The management is calamitous. You are delivered to you even. It doesn't reassure you. You are not really assured. They concentrate their energies to seek a possible opportunity not to take care of you.
Any insurance will be better than Allianz. For my part I will terminate as soon as possible to go to real insurance. Suddenly, I terminate my retirement savings, my health justice € 190/month, my health mutual € 70/month, my car insurance € 140/month. Hopefully I have not signed the rest with them. A calamity.</v>
      </c>
    </row>
    <row r="854" ht="15.75" customHeight="1">
      <c r="A854" s="3">
        <v>3.0</v>
      </c>
      <c r="B854" s="3" t="s">
        <v>2358</v>
      </c>
      <c r="C854" s="3" t="s">
        <v>2359</v>
      </c>
      <c r="D854" s="3" t="s">
        <v>53</v>
      </c>
      <c r="E854" s="3" t="s">
        <v>27</v>
      </c>
      <c r="F854" s="3" t="s">
        <v>15</v>
      </c>
      <c r="G854" s="3" t="s">
        <v>1243</v>
      </c>
      <c r="H854" s="3" t="s">
        <v>58</v>
      </c>
      <c r="I854" s="3" t="str">
        <f>IFERROR(__xludf.DUMMYFUNCTION("GOOGLETRANSLATE(C854,""fr"",""en"")"),"No information possible by phone, it is impossible to have the service without waiting 48 hours. The prices are certainly very attractive but if you want monitoring and insurance to listening and efficient, it is better to go to bigger")</f>
        <v>No information possible by phone, it is impossible to have the service without waiting 48 hours. The prices are certainly very attractive but if you want monitoring and insurance to listening and efficient, it is better to go to bigger</v>
      </c>
    </row>
    <row r="855" ht="15.75" customHeight="1">
      <c r="A855" s="3">
        <v>1.0</v>
      </c>
      <c r="B855" s="3" t="s">
        <v>2360</v>
      </c>
      <c r="C855" s="3" t="s">
        <v>2361</v>
      </c>
      <c r="D855" s="3" t="s">
        <v>422</v>
      </c>
      <c r="E855" s="3" t="s">
        <v>76</v>
      </c>
      <c r="F855" s="3" t="s">
        <v>15</v>
      </c>
      <c r="G855" s="3" t="s">
        <v>2362</v>
      </c>
      <c r="H855" s="3" t="s">
        <v>1109</v>
      </c>
      <c r="I855" s="3" t="str">
        <f>IFERROR(__xludf.DUMMYFUNCTION("GOOGLETRANSLATE(C855,""fr"",""en"")"),"After several termination requests, insurance always excuses to refuse my insurance has several resumptions, even when my new insurer to try to terminate this insurance.
If you don't want to have problems do not register for this insurance.")</f>
        <v>After several termination requests, insurance always excuses to refuse my insurance has several resumptions, even when my new insurer to try to terminate this insurance.
If you don't want to have problems do not register for this insurance.</v>
      </c>
    </row>
    <row r="856" ht="15.75" customHeight="1">
      <c r="A856" s="3">
        <v>1.0</v>
      </c>
      <c r="B856" s="3" t="s">
        <v>2363</v>
      </c>
      <c r="C856" s="3" t="s">
        <v>2364</v>
      </c>
      <c r="D856" s="3" t="s">
        <v>42</v>
      </c>
      <c r="E856" s="3" t="s">
        <v>14</v>
      </c>
      <c r="F856" s="3" t="s">
        <v>15</v>
      </c>
      <c r="G856" s="3" t="s">
        <v>1494</v>
      </c>
      <c r="H856" s="3" t="s">
        <v>335</v>
      </c>
      <c r="I856" s="3" t="str">
        <f>IFERROR(__xludf.DUMMYFUNCTION("GOOGLETRANSLATE(C856,""fr"",""en"")"),"Hello, Viasanté Ag2R is a mutual to avoid absolutely! Indeed this mutual does not correctly reimburse the orthodontic costs. On the contract covered up to 600 euros per year excluding secure reimbursement. Invoice of 580 Security reimbursement of 163 euro"&amp;"s and via health reimburses me that 300 euros or 118 euros pure my apple. I do not thank Viasanté who is ostrich and no longer even answers me. Frankly go your way do not take Viassance because if you have reimbursement problems you will only have your ey"&amp;"es to cry.
")</f>
        <v>Hello, Viasanté Ag2R is a mutual to avoid absolutely! Indeed this mutual does not correctly reimburse the orthodontic costs. On the contract covered up to 600 euros per year excluding secure reimbursement. Invoice of 580 Security reimbursement of 163 euros and via health reimburses me that 300 euros or 118 euros pure my apple. I do not thank Viasanté who is ostrich and no longer even answers me. Frankly go your way do not take Viassance because if you have reimbursement problems you will only have your eyes to cry.
</v>
      </c>
    </row>
    <row r="857" ht="15.75" customHeight="1">
      <c r="A857" s="3">
        <v>5.0</v>
      </c>
      <c r="B857" s="3" t="s">
        <v>2365</v>
      </c>
      <c r="C857" s="3" t="s">
        <v>2366</v>
      </c>
      <c r="D857" s="3" t="s">
        <v>53</v>
      </c>
      <c r="E857" s="3" t="s">
        <v>27</v>
      </c>
      <c r="F857" s="3" t="s">
        <v>15</v>
      </c>
      <c r="G857" s="3" t="s">
        <v>2097</v>
      </c>
      <c r="H857" s="3" t="s">
        <v>29</v>
      </c>
      <c r="I857" s="3" t="str">
        <f>IFERROR(__xludf.DUMMYFUNCTION("GOOGLETRANSLATE(C857,""fr"",""en"")"),"Very simple and quick quote very good quality price and this fact that is quite easily very satisfied with your website and your efficiency does not change anything")</f>
        <v>Very simple and quick quote very good quality price and this fact that is quite easily very satisfied with your website and your efficiency does not change anything</v>
      </c>
    </row>
    <row r="858" ht="15.75" customHeight="1">
      <c r="A858" s="3">
        <v>5.0</v>
      </c>
      <c r="B858" s="3" t="s">
        <v>2367</v>
      </c>
      <c r="C858" s="3" t="s">
        <v>2368</v>
      </c>
      <c r="D858" s="3" t="s">
        <v>53</v>
      </c>
      <c r="E858" s="3" t="s">
        <v>27</v>
      </c>
      <c r="F858" s="3" t="s">
        <v>15</v>
      </c>
      <c r="G858" s="3" t="s">
        <v>1018</v>
      </c>
      <c r="H858" s="3" t="s">
        <v>50</v>
      </c>
      <c r="I858" s="3" t="str">
        <f>IFERROR(__xludf.DUMMYFUNCTION("GOOGLETRANSLATE(C858,""fr"",""en"")"),"I am satisfied price a little raising but I just made sure I am a young driver I would see how it will go along the length
And on services")</f>
        <v>I am satisfied price a little raising but I just made sure I am a young driver I would see how it will go along the length
And on services</v>
      </c>
    </row>
    <row r="859" ht="15.75" customHeight="1">
      <c r="A859" s="3">
        <v>4.0</v>
      </c>
      <c r="B859" s="3" t="s">
        <v>2369</v>
      </c>
      <c r="C859" s="3" t="s">
        <v>2370</v>
      </c>
      <c r="D859" s="3" t="s">
        <v>53</v>
      </c>
      <c r="E859" s="3" t="s">
        <v>27</v>
      </c>
      <c r="F859" s="3" t="s">
        <v>15</v>
      </c>
      <c r="G859" s="3" t="s">
        <v>58</v>
      </c>
      <c r="H859" s="3" t="s">
        <v>58</v>
      </c>
      <c r="I859" s="3" t="str">
        <f>IFERROR(__xludf.DUMMYFUNCTION("GOOGLETRANSLATE(C859,""fr"",""en"")"),"I am very satisfied with the telephonic maintenance as well as the advice given by the person who is occupied with my contracts, I highly recommend")</f>
        <v>I am very satisfied with the telephonic maintenance as well as the advice given by the person who is occupied with my contracts, I highly recommend</v>
      </c>
    </row>
    <row r="860" ht="15.75" customHeight="1">
      <c r="A860" s="3">
        <v>2.0</v>
      </c>
      <c r="B860" s="3" t="s">
        <v>2371</v>
      </c>
      <c r="C860" s="3" t="s">
        <v>2372</v>
      </c>
      <c r="D860" s="3" t="s">
        <v>131</v>
      </c>
      <c r="E860" s="3" t="s">
        <v>27</v>
      </c>
      <c r="F860" s="3" t="s">
        <v>15</v>
      </c>
      <c r="G860" s="3" t="s">
        <v>2373</v>
      </c>
      <c r="H860" s="3" t="s">
        <v>237</v>
      </c>
      <c r="I860" s="3" t="str">
        <f>IFERROR(__xludf.DUMMYFUNCTION("GOOGLETRANSLATE(C860,""fr"",""en"")"),"Abused price!")</f>
        <v>Abused price!</v>
      </c>
    </row>
    <row r="861" ht="15.75" customHeight="1">
      <c r="A861" s="3">
        <v>2.0</v>
      </c>
      <c r="B861" s="3" t="s">
        <v>2374</v>
      </c>
      <c r="C861" s="3" t="s">
        <v>2375</v>
      </c>
      <c r="D861" s="3" t="s">
        <v>53</v>
      </c>
      <c r="E861" s="3" t="s">
        <v>27</v>
      </c>
      <c r="F861" s="3" t="s">
        <v>15</v>
      </c>
      <c r="G861" s="3" t="s">
        <v>28</v>
      </c>
      <c r="H861" s="3" t="s">
        <v>29</v>
      </c>
      <c r="I861" s="3" t="str">
        <f>IFERROR(__xludf.DUMMYFUNCTION("GOOGLETRANSLATE(C861,""fr"",""en"")"),"Not easy to understand this thank you cdlt johann regulation by card to such impossible to review easier by internet or invoice or to see hard hard")</f>
        <v>Not easy to understand this thank you cdlt johann regulation by card to such impossible to review easier by internet or invoice or to see hard hard</v>
      </c>
    </row>
    <row r="862" ht="15.75" customHeight="1">
      <c r="A862" s="3">
        <v>5.0</v>
      </c>
      <c r="B862" s="3" t="s">
        <v>2376</v>
      </c>
      <c r="C862" s="3" t="s">
        <v>2377</v>
      </c>
      <c r="D862" s="3" t="s">
        <v>137</v>
      </c>
      <c r="E862" s="3" t="s">
        <v>27</v>
      </c>
      <c r="F862" s="3" t="s">
        <v>15</v>
      </c>
      <c r="G862" s="3" t="s">
        <v>1803</v>
      </c>
      <c r="H862" s="3" t="s">
        <v>23</v>
      </c>
      <c r="I862" s="3" t="str">
        <f>IFERROR(__xludf.DUMMYFUNCTION("GOOGLETRANSLATE(C862,""fr"",""en"")"),"MAIF insureders are extremely well assured a real customer service, attentive, united; It is perfect the contribution increases are reasonable and voted in AG a real mutual! Rare")</f>
        <v>MAIF insureders are extremely well assured a real customer service, attentive, united; It is perfect the contribution increases are reasonable and voted in AG a real mutual! Rare</v>
      </c>
    </row>
    <row r="863" ht="15.75" customHeight="1">
      <c r="A863" s="3">
        <v>1.0</v>
      </c>
      <c r="B863" s="3" t="s">
        <v>2378</v>
      </c>
      <c r="C863" s="3" t="s">
        <v>2379</v>
      </c>
      <c r="D863" s="3" t="s">
        <v>1410</v>
      </c>
      <c r="E863" s="3" t="s">
        <v>21</v>
      </c>
      <c r="F863" s="3" t="s">
        <v>15</v>
      </c>
      <c r="G863" s="3" t="s">
        <v>2380</v>
      </c>
      <c r="H863" s="3" t="s">
        <v>39</v>
      </c>
      <c r="I863" s="3" t="str">
        <f>IFERROR(__xludf.DUMMYFUNCTION("GOOGLETRANSLATE(C863,""fr"",""en"")"),"Take insurance at home is the guarantee of having to draft them to recover your DUT")</f>
        <v>Take insurance at home is the guarantee of having to draft them to recover your DUT</v>
      </c>
    </row>
    <row r="864" ht="15.75" customHeight="1">
      <c r="A864" s="3">
        <v>1.0</v>
      </c>
      <c r="B864" s="3" t="s">
        <v>2381</v>
      </c>
      <c r="C864" s="3" t="s">
        <v>2382</v>
      </c>
      <c r="D864" s="3" t="s">
        <v>108</v>
      </c>
      <c r="E864" s="3" t="s">
        <v>109</v>
      </c>
      <c r="F864" s="3" t="s">
        <v>15</v>
      </c>
      <c r="G864" s="3" t="s">
        <v>2383</v>
      </c>
      <c r="H864" s="3" t="s">
        <v>322</v>
      </c>
      <c r="I864" s="3" t="str">
        <f>IFERROR(__xludf.DUMMYFUNCTION("GOOGLETRANSLATE(C864,""fr"",""en"")"),"I asked for the termination of my borrower insurance in June and still nothing. During the last contact with my advisor on 03/12 he indicated to me very naturally, I thought it was done .... I do not even talk about the life insurance part where I have th"&amp;"e impression of having To do to a totally incompetent person who explains that I do not understand why my investments does not report more but without ever proposing any solution.
In short AXA for me it's over, I will call this pseudo advisor to terminat"&amp;"e all my contracts.")</f>
        <v>I asked for the termination of my borrower insurance in June and still nothing. During the last contact with my advisor on 03/12 he indicated to me very naturally, I thought it was done .... I do not even talk about the life insurance part where I have the impression of having To do to a totally incompetent person who explains that I do not understand why my investments does not report more but without ever proposing any solution.
In short AXA for me it's over, I will call this pseudo advisor to terminate all my contracts.</v>
      </c>
    </row>
    <row r="865" ht="15.75" customHeight="1">
      <c r="A865" s="3">
        <v>1.0</v>
      </c>
      <c r="B865" s="3" t="s">
        <v>2384</v>
      </c>
      <c r="C865" s="3" t="s">
        <v>2385</v>
      </c>
      <c r="D865" s="3" t="s">
        <v>53</v>
      </c>
      <c r="E865" s="3" t="s">
        <v>27</v>
      </c>
      <c r="F865" s="3" t="s">
        <v>15</v>
      </c>
      <c r="G865" s="3" t="s">
        <v>2386</v>
      </c>
      <c r="H865" s="3" t="s">
        <v>44</v>
      </c>
      <c r="I865" s="3" t="str">
        <f>IFERROR(__xludf.DUMMYFUNCTION("GOOGLETRANSLATE(C865,""fr"",""en"")"),"To flee this insurer, I have been there for 12 years without any claim 46% bonus and 49% in the 1st May 2020, in addition my home insurance is at home. Recently I wanted to ensure a second vehicle and there begins the obstacle course, incompetent interloc"&amp;"utor who passed by a comparator on web, once arrived on the Direct Assurance site the price displayed on the comparator has climbed more than 100 euros interlocutor Direct Insurance very unpleasant barely if she understands the French platform located in "&amp;"the Maghreb, my quote was canceled on 31 01 2020 because I put a secondary driver for steering wheel loan, himself the main assured at home and never a claim, The world upside down operator with excess of Zelle purely and simply cancels my contract number"&amp;" 976471915 after paying all
I will leave this insurer definitively before the next deadline because they are much more expensive than the other and especially no politeness and a lack of consideration with regard to their client.
I strongly advise again"&amp;"st this insurer which must be flee from am a doctor and shocked by their practice not to trust you with false advertising.")</f>
        <v>To flee this insurer, I have been there for 12 years without any claim 46% bonus and 49% in the 1st May 2020, in addition my home insurance is at home. Recently I wanted to ensure a second vehicle and there begins the obstacle course, incompetent interlocutor who passed by a comparator on web, once arrived on the Direct Assurance site the price displayed on the comparator has climbed more than 100 euros interlocutor Direct Insurance very unpleasant barely if she understands the French platform located in the Maghreb, my quote was canceled on 31 01 2020 because I put a secondary driver for steering wheel loan, himself the main assured at home and never a claim, The world upside down operator with excess of Zelle purely and simply cancels my contract number 976471915 after paying all
I will leave this insurer definitively before the next deadline because they are much more expensive than the other and especially no politeness and a lack of consideration with regard to their client.
I strongly advise against this insurer which must be flee from am a doctor and shocked by their practice not to trust you with false advertising.</v>
      </c>
    </row>
    <row r="866" ht="15.75" customHeight="1">
      <c r="A866" s="3">
        <v>1.0</v>
      </c>
      <c r="B866" s="3" t="s">
        <v>2387</v>
      </c>
      <c r="C866" s="3" t="s">
        <v>2388</v>
      </c>
      <c r="D866" s="3" t="s">
        <v>65</v>
      </c>
      <c r="E866" s="3" t="s">
        <v>14</v>
      </c>
      <c r="F866" s="3" t="s">
        <v>15</v>
      </c>
      <c r="G866" s="3" t="s">
        <v>338</v>
      </c>
      <c r="H866" s="3" t="s">
        <v>17</v>
      </c>
      <c r="I866" s="3" t="str">
        <f>IFERROR(__xludf.DUMMYFUNCTION("GOOGLETRANSLATE(C866,""fr"",""en"")"),"Lamentable
Impossible to have them on the phone even by subscribing to the recall option
They claim to have never received my care sheets sent by e-mail while I keep track of it
I have been waiting for the equivalent of more than € 400 in reimbursement"&amp;"s since February
We are April 8
I end my contract next week")</f>
        <v>Lamentable
Impossible to have them on the phone even by subscribing to the recall option
They claim to have never received my care sheets sent by e-mail while I keep track of it
I have been waiting for the equivalent of more than € 400 in reimbursements since February
We are April 8
I end my contract next week</v>
      </c>
    </row>
    <row r="867" ht="15.75" customHeight="1">
      <c r="A867" s="3">
        <v>5.0</v>
      </c>
      <c r="B867" s="3" t="s">
        <v>2389</v>
      </c>
      <c r="C867" s="3" t="s">
        <v>2390</v>
      </c>
      <c r="D867" s="3" t="s">
        <v>53</v>
      </c>
      <c r="E867" s="3" t="s">
        <v>27</v>
      </c>
      <c r="F867" s="3" t="s">
        <v>15</v>
      </c>
      <c r="G867" s="3" t="s">
        <v>1261</v>
      </c>
      <c r="H867" s="3" t="s">
        <v>50</v>
      </c>
      <c r="I867" s="3" t="str">
        <f>IFERROR(__xludf.DUMMYFUNCTION("GOOGLETRANSLATE(C867,""fr"",""en"")"),"The price suits me, I come back to you after a refusal of price negotiation 3 years ago, I hope they will always be as competitive next year
")</f>
        <v>The price suits me, I come back to you after a refusal of price negotiation 3 years ago, I hope they will always be as competitive next year
</v>
      </c>
    </row>
    <row r="868" ht="15.75" customHeight="1">
      <c r="A868" s="3">
        <v>2.0</v>
      </c>
      <c r="B868" s="3" t="s">
        <v>2391</v>
      </c>
      <c r="C868" s="3" t="s">
        <v>2392</v>
      </c>
      <c r="D868" s="3" t="s">
        <v>13</v>
      </c>
      <c r="E868" s="3" t="s">
        <v>14</v>
      </c>
      <c r="F868" s="3" t="s">
        <v>15</v>
      </c>
      <c r="G868" s="3" t="s">
        <v>2393</v>
      </c>
      <c r="H868" s="3" t="s">
        <v>506</v>
      </c>
      <c r="I868" s="3" t="str">
        <f>IFERROR(__xludf.DUMMYFUNCTION("GOOGLETRANSLATE(C868,""fr"",""en"")"),"Hello, I have been at Néoliane since the start of the year I sent a refund for provisional dental prosthesis I paid 534.00 reimbursed 132 euros to social security and there I am told that I would be reimbursed for 65.03 euros Is it unthinkable someone has"&amp;" an opinion and of course when you call it ny has no answer thank you")</f>
        <v>Hello, I have been at Néoliane since the start of the year I sent a refund for provisional dental prosthesis I paid 534.00 reimbursed 132 euros to social security and there I am told that I would be reimbursed for 65.03 euros Is it unthinkable someone has an opinion and of course when you call it ny has no answer thank you</v>
      </c>
    </row>
    <row r="869" ht="15.75" customHeight="1">
      <c r="A869" s="3">
        <v>1.0</v>
      </c>
      <c r="B869" s="3" t="s">
        <v>2394</v>
      </c>
      <c r="C869" s="3" t="s">
        <v>2395</v>
      </c>
      <c r="D869" s="3" t="s">
        <v>53</v>
      </c>
      <c r="E869" s="3" t="s">
        <v>76</v>
      </c>
      <c r="F869" s="3" t="s">
        <v>15</v>
      </c>
      <c r="G869" s="3" t="s">
        <v>1243</v>
      </c>
      <c r="H869" s="3" t="s">
        <v>58</v>
      </c>
      <c r="I869" s="3" t="str">
        <f>IFERROR(__xludf.DUMMYFUNCTION("GOOGLETRANSLATE(C869,""fr"",""en"")"),"Damage to a roof following a strong gale.
Multiplication of obstacles so as not to open a file (requests for testimonies, certificates ... which have never served), scandalous word game so as not to cover me between ""climate event"" of which this insure"&amp;"r against ""natural catastrophe"" speaks of which speaks the town hall and its certificate, to finish by the requirement of the insurer of a certificate that the town hall does not produce since it awaits a form to be completed that the insurers of all th"&amp;"e other victims of the municipality provided, but not this one.
In short, despite decades without disaster but with not particularly cheap contributions, I was not insured ...")</f>
        <v>Damage to a roof following a strong gale.
Multiplication of obstacles so as not to open a file (requests for testimonies, certificates ... which have never served), scandalous word game so as not to cover me between "climate event" of which this insurer against "natural catastrophe" speaks of which speaks the town hall and its certificate, to finish by the requirement of the insurer of a certificate that the town hall does not produce since it awaits a form to be completed that the insurers of all the other victims of the municipality provided, but not this one.
In short, despite decades without disaster but with not particularly cheap contributions, I was not insured ...</v>
      </c>
    </row>
    <row r="870" ht="15.75" customHeight="1">
      <c r="A870" s="3">
        <v>4.0</v>
      </c>
      <c r="B870" s="3" t="s">
        <v>2396</v>
      </c>
      <c r="C870" s="3" t="s">
        <v>2397</v>
      </c>
      <c r="D870" s="3" t="s">
        <v>37</v>
      </c>
      <c r="E870" s="3" t="s">
        <v>27</v>
      </c>
      <c r="F870" s="3" t="s">
        <v>15</v>
      </c>
      <c r="G870" s="3" t="s">
        <v>1936</v>
      </c>
      <c r="H870" s="3" t="s">
        <v>34</v>
      </c>
      <c r="I870" s="3" t="str">
        <f>IFERROR(__xludf.DUMMYFUNCTION("GOOGLETRANSLATE(C870,""fr"",""en"")"),"The prices suit me, satisfied with the reception by phone, the insurance period is fast, simple, I recommend it, quote and explanations made clearly.")</f>
        <v>The prices suit me, satisfied with the reception by phone, the insurance period is fast, simple, I recommend it, quote and explanations made clearly.</v>
      </c>
    </row>
    <row r="871" ht="15.75" customHeight="1">
      <c r="A871" s="3">
        <v>5.0</v>
      </c>
      <c r="B871" s="3" t="s">
        <v>2398</v>
      </c>
      <c r="C871" s="3" t="s">
        <v>2399</v>
      </c>
      <c r="D871" s="3" t="s">
        <v>53</v>
      </c>
      <c r="E871" s="3" t="s">
        <v>27</v>
      </c>
      <c r="F871" s="3" t="s">
        <v>15</v>
      </c>
      <c r="G871" s="3" t="s">
        <v>1057</v>
      </c>
      <c r="H871" s="3" t="s">
        <v>72</v>
      </c>
      <c r="I871" s="3" t="str">
        <f>IFERROR(__xludf.DUMMYFUNCTION("GOOGLETRANSLATE(C871,""fr"",""en"")"),"During my previous claim, the management was very effective.
I just had a hanging with a third party, I grabbed the observation online, hoping to have done what was needed.")</f>
        <v>During my previous claim, the management was very effective.
I just had a hanging with a third party, I grabbed the observation online, hoping to have done what was needed.</v>
      </c>
    </row>
    <row r="872" ht="15.75" customHeight="1">
      <c r="A872" s="3">
        <v>5.0</v>
      </c>
      <c r="B872" s="3" t="s">
        <v>2400</v>
      </c>
      <c r="C872" s="3" t="s">
        <v>2401</v>
      </c>
      <c r="D872" s="3" t="s">
        <v>57</v>
      </c>
      <c r="E872" s="3" t="s">
        <v>14</v>
      </c>
      <c r="F872" s="3" t="s">
        <v>15</v>
      </c>
      <c r="G872" s="3" t="s">
        <v>407</v>
      </c>
      <c r="H872" s="3" t="s">
        <v>58</v>
      </c>
      <c r="I872" s="3" t="str">
        <f>IFERROR(__xludf.DUMMYFUNCTION("GOOGLETRANSLATE(C872,""fr"",""en"")"),"Hello Miss, Sir,
Following my telephone contact, I want to share my great satisfaction with the processing of my file with one of your collaborators named Lucie.
Quality of the reception, courtesy, listening, availability in a word professionalism.
I"&amp;" renew my thanks to this lady.
Best regards.
Sign
Serge Beaufils
")</f>
        <v>Hello Miss, Sir,
Following my telephone contact, I want to share my great satisfaction with the processing of my file with one of your collaborators named Lucie.
Quality of the reception, courtesy, listening, availability in a word professionalism.
I renew my thanks to this lady.
Best regards.
Sign
Serge Beaufils
</v>
      </c>
    </row>
    <row r="873" ht="15.75" customHeight="1">
      <c r="A873" s="3">
        <v>2.0</v>
      </c>
      <c r="B873" s="3" t="s">
        <v>2402</v>
      </c>
      <c r="C873" s="3" t="s">
        <v>2403</v>
      </c>
      <c r="D873" s="3" t="s">
        <v>42</v>
      </c>
      <c r="E873" s="3" t="s">
        <v>21</v>
      </c>
      <c r="F873" s="3" t="s">
        <v>15</v>
      </c>
      <c r="G873" s="3" t="s">
        <v>2404</v>
      </c>
      <c r="H873" s="3" t="s">
        <v>1968</v>
      </c>
      <c r="I873" s="3" t="str">
        <f>IFERROR(__xludf.DUMMYFUNCTION("GOOGLETRANSLATE(C873,""fr"",""en"")"),"I saw a nightmare with AG2R - Following the death of my father, impossible to have a real advice on the phone, you may send the parts that are asked, and the list is only growing, it is a hell ! And to do well you have a call center I don't know where man"&amp;"aged by incompetent people who tell you each question ""send a letter"" it's a real nightmare")</f>
        <v>I saw a nightmare with AG2R - Following the death of my father, impossible to have a real advice on the phone, you may send the parts that are asked, and the list is only growing, it is a hell ! And to do well you have a call center I don't know where managed by incompetent people who tell you each question "send a letter" it's a real nightmare</v>
      </c>
    </row>
    <row r="874" ht="15.75" customHeight="1">
      <c r="A874" s="3">
        <v>3.0</v>
      </c>
      <c r="B874" s="3" t="s">
        <v>2405</v>
      </c>
      <c r="C874" s="3" t="s">
        <v>2406</v>
      </c>
      <c r="D874" s="3" t="s">
        <v>75</v>
      </c>
      <c r="E874" s="3" t="s">
        <v>109</v>
      </c>
      <c r="F874" s="3" t="s">
        <v>15</v>
      </c>
      <c r="G874" s="3" t="s">
        <v>1185</v>
      </c>
      <c r="H874" s="3" t="s">
        <v>195</v>
      </c>
      <c r="I874" s="3" t="str">
        <f>IFERROR(__xludf.DUMMYFUNCTION("GOOGLETRANSLATE(C874,""fr"",""en"")"),"Shameful, to flee is unacceptable their way of proceeding, impossible to obtain the redemption.")</f>
        <v>Shameful, to flee is unacceptable their way of proceeding, impossible to obtain the redemption.</v>
      </c>
    </row>
    <row r="875" ht="15.75" customHeight="1">
      <c r="A875" s="3">
        <v>3.0</v>
      </c>
      <c r="B875" s="3" t="s">
        <v>2407</v>
      </c>
      <c r="C875" s="3" t="s">
        <v>2408</v>
      </c>
      <c r="D875" s="3" t="s">
        <v>53</v>
      </c>
      <c r="E875" s="3" t="s">
        <v>27</v>
      </c>
      <c r="F875" s="3" t="s">
        <v>15</v>
      </c>
      <c r="G875" s="3" t="s">
        <v>926</v>
      </c>
      <c r="H875" s="3" t="s">
        <v>58</v>
      </c>
      <c r="I875" s="3" t="str">
        <f>IFERROR(__xludf.DUMMYFUNCTION("GOOGLETRANSLATE(C875,""fr"",""en"")"),"Prices suit me! Being able to save by rolling properly too! It's a good idea to make people want to drive well.")</f>
        <v>Prices suit me! Being able to save by rolling properly too! It's a good idea to make people want to drive well.</v>
      </c>
    </row>
    <row r="876" ht="15.75" customHeight="1">
      <c r="A876" s="3">
        <v>2.0</v>
      </c>
      <c r="B876" s="3" t="s">
        <v>2409</v>
      </c>
      <c r="C876" s="3" t="s">
        <v>2410</v>
      </c>
      <c r="D876" s="3" t="s">
        <v>53</v>
      </c>
      <c r="E876" s="3" t="s">
        <v>27</v>
      </c>
      <c r="F876" s="3" t="s">
        <v>15</v>
      </c>
      <c r="G876" s="3" t="s">
        <v>2411</v>
      </c>
      <c r="H876" s="3" t="s">
        <v>1022</v>
      </c>
      <c r="I876" s="3" t="str">
        <f>IFERROR(__xludf.DUMMYFUNCTION("GOOGLETRANSLATE(C876,""fr"",""en"")"),"I joined this insurance a year ago because it was very competitive. There was no claim during this period and I have a 50% bonus for many years. My call for subscription has just arrived and it increased by 15% without any explanation. I called them and h"&amp;"e replied that it was due to the number of claims in sharp increase in the department for a year. Goodbye direct insurance !!!")</f>
        <v>I joined this insurance a year ago because it was very competitive. There was no claim during this period and I have a 50% bonus for many years. My call for subscription has just arrived and it increased by 15% without any explanation. I called them and he replied that it was due to the number of claims in sharp increase in the department for a year. Goodbye direct insurance !!!</v>
      </c>
    </row>
    <row r="877" ht="15.75" customHeight="1">
      <c r="A877" s="3">
        <v>1.0</v>
      </c>
      <c r="B877" s="3" t="s">
        <v>2412</v>
      </c>
      <c r="C877" s="3" t="s">
        <v>2413</v>
      </c>
      <c r="D877" s="3" t="s">
        <v>65</v>
      </c>
      <c r="E877" s="3" t="s">
        <v>14</v>
      </c>
      <c r="F877" s="3" t="s">
        <v>15</v>
      </c>
      <c r="G877" s="3" t="s">
        <v>931</v>
      </c>
      <c r="H877" s="3" t="s">
        <v>72</v>
      </c>
      <c r="I877" s="3" t="str">
        <f>IFERROR(__xludf.DUMMYFUNCTION("GOOGLETRANSLATE(C877,""fr"",""en"")"),"I confirm all the opinions of Internet users. Slow reimbursements, it is impossible to reach them. No site to do everything online like most mutuals. A disaster ! I can't wait to change now that it's easier with the new law")</f>
        <v>I confirm all the opinions of Internet users. Slow reimbursements, it is impossible to reach them. No site to do everything online like most mutuals. A disaster ! I can't wait to change now that it's easier with the new law</v>
      </c>
    </row>
    <row r="878" ht="15.75" customHeight="1">
      <c r="A878" s="3">
        <v>4.0</v>
      </c>
      <c r="B878" s="3" t="s">
        <v>2414</v>
      </c>
      <c r="C878" s="3" t="s">
        <v>2415</v>
      </c>
      <c r="D878" s="3" t="s">
        <v>97</v>
      </c>
      <c r="E878" s="3" t="s">
        <v>81</v>
      </c>
      <c r="F878" s="3" t="s">
        <v>15</v>
      </c>
      <c r="G878" s="3" t="s">
        <v>1657</v>
      </c>
      <c r="H878" s="3" t="s">
        <v>99</v>
      </c>
      <c r="I878" s="3" t="str">
        <f>IFERROR(__xludf.DUMMYFUNCTION("GOOGLETRANSLATE(C878,""fr"",""en"")"),"I am very satisfied with the service, it was quite simple and quick. The prices are quite reasonable. I hope that the rest will be as satisfactory!")</f>
        <v>I am very satisfied with the service, it was quite simple and quick. The prices are quite reasonable. I hope that the rest will be as satisfactory!</v>
      </c>
    </row>
    <row r="879" ht="15.75" customHeight="1">
      <c r="A879" s="3">
        <v>5.0</v>
      </c>
      <c r="B879" s="3" t="s">
        <v>2416</v>
      </c>
      <c r="C879" s="3" t="s">
        <v>2417</v>
      </c>
      <c r="D879" s="3" t="s">
        <v>80</v>
      </c>
      <c r="E879" s="3" t="s">
        <v>81</v>
      </c>
      <c r="F879" s="3" t="s">
        <v>15</v>
      </c>
      <c r="G879" s="3" t="s">
        <v>2418</v>
      </c>
      <c r="H879" s="3" t="s">
        <v>1252</v>
      </c>
      <c r="I879" s="3" t="str">
        <f>IFERROR(__xludf.DUMMYFUNCTION("GOOGLETRANSLATE(C879,""fr"",""en"")"),"I found the service perfect and I have absolutely nothing to say about the price.
I compared with other insurances but APRIL delighted me with all points of view.
Thank you")</f>
        <v>I found the service perfect and I have absolutely nothing to say about the price.
I compared with other insurances but APRIL delighted me with all points of view.
Thank you</v>
      </c>
    </row>
    <row r="880" ht="15.75" customHeight="1">
      <c r="A880" s="3">
        <v>5.0</v>
      </c>
      <c r="B880" s="3" t="s">
        <v>2419</v>
      </c>
      <c r="C880" s="3" t="s">
        <v>2420</v>
      </c>
      <c r="D880" s="3" t="s">
        <v>53</v>
      </c>
      <c r="E880" s="3" t="s">
        <v>27</v>
      </c>
      <c r="F880" s="3" t="s">
        <v>15</v>
      </c>
      <c r="G880" s="3" t="s">
        <v>201</v>
      </c>
      <c r="H880" s="3" t="s">
        <v>99</v>
      </c>
      <c r="I880" s="3" t="str">
        <f>IFERROR(__xludf.DUMMYFUNCTION("GOOGLETRANSLATE(C880,""fr"",""en"")"),"I am satisfied with the price by contribution to my former insurance
200 euros per month per year for the same guarantees.
Very simple to subscribe, perfect ...
")</f>
        <v>I am satisfied with the price by contribution to my former insurance
200 euros per month per year for the same guarantees.
Very simple to subscribe, perfect ...
</v>
      </c>
    </row>
    <row r="881" ht="15.75" customHeight="1">
      <c r="A881" s="3">
        <v>5.0</v>
      </c>
      <c r="B881" s="3" t="s">
        <v>2421</v>
      </c>
      <c r="C881" s="3" t="s">
        <v>2422</v>
      </c>
      <c r="D881" s="3" t="s">
        <v>53</v>
      </c>
      <c r="E881" s="3" t="s">
        <v>27</v>
      </c>
      <c r="F881" s="3" t="s">
        <v>15</v>
      </c>
      <c r="G881" s="3" t="s">
        <v>590</v>
      </c>
      <c r="H881" s="3" t="s">
        <v>58</v>
      </c>
      <c r="I881" s="3" t="str">
        <f>IFERROR(__xludf.DUMMYFUNCTION("GOOGLETRANSLATE(C881,""fr"",""en"")"),"Very satisfied with direct and fast insurance the television are very good he explains well because I did not know how to change my old insurance thank you for everything")</f>
        <v>Very satisfied with direct and fast insurance the television are very good he explains well because I did not know how to change my old insurance thank you for everything</v>
      </c>
    </row>
    <row r="882" ht="15.75" customHeight="1">
      <c r="A882" s="3">
        <v>4.0</v>
      </c>
      <c r="B882" s="3" t="s">
        <v>2423</v>
      </c>
      <c r="C882" s="3" t="s">
        <v>2424</v>
      </c>
      <c r="D882" s="3" t="s">
        <v>80</v>
      </c>
      <c r="E882" s="3" t="s">
        <v>81</v>
      </c>
      <c r="F882" s="3" t="s">
        <v>15</v>
      </c>
      <c r="G882" s="3" t="s">
        <v>761</v>
      </c>
      <c r="H882" s="3" t="s">
        <v>29</v>
      </c>
      <c r="I882" s="3" t="str">
        <f>IFERROR(__xludf.DUMMYFUNCTION("GOOGLETRANSLATE(C882,""fr"",""en"")"),"Very practical, simple fast and effective, we are not certain to have the same conditions as if we called an advisor, however, commit we can be sure to have the best price")</f>
        <v>Very practical, simple fast and effective, we are not certain to have the same conditions as if we called an advisor, however, commit we can be sure to have the best price</v>
      </c>
    </row>
    <row r="883" ht="15.75" customHeight="1">
      <c r="A883" s="3">
        <v>5.0</v>
      </c>
      <c r="B883" s="3" t="s">
        <v>2425</v>
      </c>
      <c r="C883" s="3" t="s">
        <v>2426</v>
      </c>
      <c r="D883" s="3" t="s">
        <v>53</v>
      </c>
      <c r="E883" s="3" t="s">
        <v>27</v>
      </c>
      <c r="F883" s="3" t="s">
        <v>15</v>
      </c>
      <c r="G883" s="3" t="s">
        <v>2427</v>
      </c>
      <c r="H883" s="3" t="s">
        <v>58</v>
      </c>
      <c r="I883" s="3" t="str">
        <f>IFERROR(__xludf.DUMMYFUNCTION("GOOGLETRANSLATE(C883,""fr"",""en"")"),"I am satisfied with my reception rate The care and listening thank you to direct insurance be careful to protect yourself and do not forget the gestures barrier")</f>
        <v>I am satisfied with my reception rate The care and listening thank you to direct insurance be careful to protect yourself and do not forget the gestures barrier</v>
      </c>
    </row>
    <row r="884" ht="15.75" customHeight="1">
      <c r="A884" s="3">
        <v>4.0</v>
      </c>
      <c r="B884" s="3" t="s">
        <v>2428</v>
      </c>
      <c r="C884" s="3" t="s">
        <v>2429</v>
      </c>
      <c r="D884" s="3" t="s">
        <v>80</v>
      </c>
      <c r="E884" s="3" t="s">
        <v>81</v>
      </c>
      <c r="F884" s="3" t="s">
        <v>15</v>
      </c>
      <c r="G884" s="3" t="s">
        <v>49</v>
      </c>
      <c r="H884" s="3" t="s">
        <v>50</v>
      </c>
      <c r="I884" s="3" t="str">
        <f>IFERROR(__xludf.DUMMYFUNCTION("GOOGLETRANSLATE(C884,""fr"",""en"")"),"Super and efficient
Satisfied with the simplicity of use of the questionnaire to establish the quote.
I recommend for the rapid management of the file.")</f>
        <v>Super and efficient
Satisfied with the simplicity of use of the questionnaire to establish the quote.
I recommend for the rapid management of the file.</v>
      </c>
    </row>
    <row r="885" ht="15.75" customHeight="1">
      <c r="A885" s="3">
        <v>5.0</v>
      </c>
      <c r="B885" s="3" t="s">
        <v>2430</v>
      </c>
      <c r="C885" s="3" t="s">
        <v>2431</v>
      </c>
      <c r="D885" s="3" t="s">
        <v>37</v>
      </c>
      <c r="E885" s="3" t="s">
        <v>27</v>
      </c>
      <c r="F885" s="3" t="s">
        <v>15</v>
      </c>
      <c r="G885" s="3" t="s">
        <v>1786</v>
      </c>
      <c r="H885" s="3" t="s">
        <v>50</v>
      </c>
      <c r="I885" s="3" t="str">
        <f>IFERROR(__xludf.DUMMYFUNCTION("GOOGLETRANSLATE(C885,""fr"",""en"")"),"Perfect service very satisfactory, very unusable on the phone and always the in almost simple problem as a complex service all simply perfect")</f>
        <v>Perfect service very satisfactory, very unusable on the phone and always the in almost simple problem as a complex service all simply perfect</v>
      </c>
    </row>
    <row r="886" ht="15.75" customHeight="1">
      <c r="A886" s="3">
        <v>1.0</v>
      </c>
      <c r="B886" s="3" t="s">
        <v>2432</v>
      </c>
      <c r="C886" s="3" t="s">
        <v>2433</v>
      </c>
      <c r="D886" s="3" t="s">
        <v>670</v>
      </c>
      <c r="E886" s="3" t="s">
        <v>27</v>
      </c>
      <c r="F886" s="3" t="s">
        <v>15</v>
      </c>
      <c r="G886" s="3" t="s">
        <v>2434</v>
      </c>
      <c r="H886" s="3" t="s">
        <v>322</v>
      </c>
      <c r="I886" s="3" t="str">
        <f>IFERROR(__xludf.DUMMYFUNCTION("GOOGLETRANSLATE(C886,""fr"",""en"")"),"I just telephoner in Eurofil customer service for an auto quote, after qq minutes pass with the operator I ask him a question about the VTC and he also continues my quote claiming that the VTC did not interest them. I am a photographer of Metter and not V"&amp;"TC !!! He almost cut me off the nose. Allucing. Good luck to the future insured in the event of a breakdown or sinister it promises !!!")</f>
        <v>I just telephoner in Eurofil customer service for an auto quote, after qq minutes pass with the operator I ask him a question about the VTC and he also continues my quote claiming that the VTC did not interest them. I am a photographer of Metter and not VTC !!! He almost cut me off the nose. Allucing. Good luck to the future insured in the event of a breakdown or sinister it promises !!!</v>
      </c>
    </row>
    <row r="887" ht="15.75" customHeight="1">
      <c r="A887" s="3">
        <v>2.0</v>
      </c>
      <c r="B887" s="3" t="s">
        <v>2435</v>
      </c>
      <c r="C887" s="3" t="s">
        <v>2436</v>
      </c>
      <c r="D887" s="3" t="s">
        <v>123</v>
      </c>
      <c r="E887" s="3" t="s">
        <v>76</v>
      </c>
      <c r="F887" s="3" t="s">
        <v>15</v>
      </c>
      <c r="G887" s="3" t="s">
        <v>1299</v>
      </c>
      <c r="H887" s="3" t="s">
        <v>322</v>
      </c>
      <c r="I887" s="3" t="str">
        <f>IFERROR(__xludf.DUMMYFUNCTION("GOOGLETRANSLATE(C887,""fr"",""en"")"),"Insured Maaf for years I don't know how to see your false ads anymore. Fired or rather released by you for a year. For housing with 3 claims in 3 years for the sum of € 2,000. The only claims for 40 years. Eye at the same time from my car insurance for 3 "&amp;"claims in 3 years (1 responsible accident and two break in windows), bonus 50 for loud mdr. The only ones for 40 years too. I just think you only assure people who have no problem if not !!!!!! I do not encourage anyone to come to your home. How much does"&amp;" this new false pub ???")</f>
        <v>Insured Maaf for years I don't know how to see your false ads anymore. Fired or rather released by you for a year. For housing with 3 claims in 3 years for the sum of € 2,000. The only claims for 40 years. Eye at the same time from my car insurance for 3 claims in 3 years (1 responsible accident and two break in windows), bonus 50 for loud mdr. The only ones for 40 years too. I just think you only assure people who have no problem if not !!!!!! I do not encourage anyone to come to your home. How much does this new false pub ???</v>
      </c>
    </row>
    <row r="888" ht="15.75" customHeight="1">
      <c r="A888" s="3">
        <v>2.0</v>
      </c>
      <c r="B888" s="3" t="s">
        <v>2437</v>
      </c>
      <c r="C888" s="3" t="s">
        <v>2438</v>
      </c>
      <c r="D888" s="3" t="s">
        <v>123</v>
      </c>
      <c r="E888" s="3" t="s">
        <v>27</v>
      </c>
      <c r="F888" s="3" t="s">
        <v>15</v>
      </c>
      <c r="G888" s="3" t="s">
        <v>1908</v>
      </c>
      <c r="H888" s="3" t="s">
        <v>69</v>
      </c>
      <c r="I888" s="3" t="str">
        <f>IFERROR(__xludf.DUMMYFUNCTION("GOOGLETRANSLATE(C888,""fr"",""en"")"),"A responsible accident 3 years ago do the Geule want to throw me away if I change my car will no longer secure me, while I have my mutual insurance company more home insurance and motorcycle insurance.
I am at the Villeuneuve on Lot agency")</f>
        <v>A responsible accident 3 years ago do the Geule want to throw me away if I change my car will no longer secure me, while I have my mutual insurance company more home insurance and motorcycle insurance.
I am at the Villeuneuve on Lot agency</v>
      </c>
    </row>
    <row r="889" ht="15.75" customHeight="1">
      <c r="A889" s="3">
        <v>1.0</v>
      </c>
      <c r="B889" s="3" t="s">
        <v>2439</v>
      </c>
      <c r="C889" s="3" t="s">
        <v>2440</v>
      </c>
      <c r="D889" s="3" t="s">
        <v>85</v>
      </c>
      <c r="E889" s="3" t="s">
        <v>27</v>
      </c>
      <c r="F889" s="3" t="s">
        <v>15</v>
      </c>
      <c r="G889" s="3" t="s">
        <v>2441</v>
      </c>
      <c r="H889" s="3" t="s">
        <v>597</v>
      </c>
      <c r="I889" s="3" t="str">
        <f>IFERROR(__xludf.DUMMYFUNCTION("GOOGLETRANSLATE(C889,""fr"",""en"")"),"Flee this insurance
He promises you alleging prices and once he collects good money he does not send you a green card but a paper certificate valid for 1 month
And thereafter surprises we send you a second quote twice more expensive by telling you you a"&amp;"re temporarily terminated and if you do not sign you will not be reimbursed
In short, a big beep that still has more than 140 euros so I see red
Especially since it is necessary to call a 0800 which costs 80 cents per minute to have an interlocutor impl"&amp;"ant
Morocco and who is saying does not understand anything about demand and here is to delocalize the French companies the French are fed up because we are always with unknown interlocutors and on the phone")</f>
        <v>Flee this insurance
He promises you alleging prices and once he collects good money he does not send you a green card but a paper certificate valid for 1 month
And thereafter surprises we send you a second quote twice more expensive by telling you you are temporarily terminated and if you do not sign you will not be reimbursed
In short, a big beep that still has more than 140 euros so I see red
Especially since it is necessary to call a 0800 which costs 80 cents per minute to have an interlocutor implant
Morocco and who is saying does not understand anything about demand and here is to delocalize the French companies the French are fed up because we are always with unknown interlocutors and on the phone</v>
      </c>
    </row>
    <row r="890" ht="15.75" customHeight="1">
      <c r="A890" s="3">
        <v>2.0</v>
      </c>
      <c r="B890" s="3" t="s">
        <v>2442</v>
      </c>
      <c r="C890" s="3" t="s">
        <v>2443</v>
      </c>
      <c r="D890" s="3" t="s">
        <v>37</v>
      </c>
      <c r="E890" s="3" t="s">
        <v>27</v>
      </c>
      <c r="F890" s="3" t="s">
        <v>15</v>
      </c>
      <c r="G890" s="3" t="s">
        <v>1154</v>
      </c>
      <c r="H890" s="3" t="s">
        <v>50</v>
      </c>
      <c r="I890" s="3" t="str">
        <f>IFERROR(__xludf.DUMMYFUNCTION("GOOGLETRANSLATE(C890,""fr"",""en"")"),"After a claim without any liability engaged, in all risks formula, we are still waiting (more than 2 years) of repairs and yet the garage is their partner. No management of the claim.")</f>
        <v>After a claim without any liability engaged, in all risks formula, we are still waiting (more than 2 years) of repairs and yet the garage is their partner. No management of the claim.</v>
      </c>
    </row>
    <row r="891" ht="15.75" customHeight="1">
      <c r="A891" s="3">
        <v>2.0</v>
      </c>
      <c r="B891" s="3" t="s">
        <v>2444</v>
      </c>
      <c r="C891" s="3" t="s">
        <v>2445</v>
      </c>
      <c r="D891" s="3" t="s">
        <v>670</v>
      </c>
      <c r="E891" s="3" t="s">
        <v>27</v>
      </c>
      <c r="F891" s="3" t="s">
        <v>15</v>
      </c>
      <c r="G891" s="3" t="s">
        <v>2446</v>
      </c>
      <c r="H891" s="3" t="s">
        <v>1639</v>
      </c>
      <c r="I891" s="3" t="str">
        <f>IFERROR(__xludf.DUMMYFUNCTION("GOOGLETRANSLATE(C891,""fr"",""en"")"),"After having subscribed to this insurance and transmitted my information statement via the personal space, it took a week for them to answer me that the previous statement is missing (24 months). I then send them the document and it then took 10 days to t"&amp;"ell me that these statements are still missing. With evil and a lot of patience, I manage to join a service that can help me and there the advisor tells me that they have received my documents well but that the price increases following a non -responsible"&amp;" disaster in a previous insurance. I then wish not to finalize my subscription but there is no way to contact an termination service, no information on their website, no email address, it is the total blur to know how to do.
PS: to collect an account o"&amp;"f more than € 200 on insurance at 350 € per year, they had no problem and reacted very quickly (I hope my non -subscription will be taken into account fairly quickly for 'They do not find an excuse to keep this response.)")</f>
        <v>After having subscribed to this insurance and transmitted my information statement via the personal space, it took a week for them to answer me that the previous statement is missing (24 months). I then send them the document and it then took 10 days to tell me that these statements are still missing. With evil and a lot of patience, I manage to join a service that can help me and there the advisor tells me that they have received my documents well but that the price increases following a non -responsible disaster in a previous insurance. I then wish not to finalize my subscription but there is no way to contact an termination service, no information on their website, no email address, it is the total blur to know how to do.
PS: to collect an account of more than € 200 on insurance at 350 € per year, they had no problem and reacted very quickly (I hope my non -subscription will be taken into account fairly quickly for 'They do not find an excuse to keep this response.)</v>
      </c>
    </row>
    <row r="892" ht="15.75" customHeight="1">
      <c r="A892" s="3">
        <v>2.0</v>
      </c>
      <c r="B892" s="3" t="s">
        <v>2447</v>
      </c>
      <c r="C892" s="3" t="s">
        <v>2448</v>
      </c>
      <c r="D892" s="3" t="s">
        <v>97</v>
      </c>
      <c r="E892" s="3" t="s">
        <v>81</v>
      </c>
      <c r="F892" s="3" t="s">
        <v>15</v>
      </c>
      <c r="G892" s="3" t="s">
        <v>353</v>
      </c>
      <c r="H892" s="3" t="s">
        <v>58</v>
      </c>
      <c r="I892" s="3" t="str">
        <f>IFERROR(__xludf.DUMMYFUNCTION("GOOGLETRANSLATE(C892,""fr"",""en"")"),"Far more than 10 years old without liable liable here that Amv betray me !!!
I find my motorcycle on the ground in a parking lot. Ensures any risk with 50%bonuses in a motorcycle of 18 months and 6000 km of a value of 20,000 euros. The quote was establis"&amp;"hed on February 1 expertise on 6 and 6 weeks after still no news !!!
The expert would refuse to change the tank and prefers to repaint it except that on the KTM they are in plastic and that the painting does not hold the vibrations ... and pacious of the"&amp;" spell the advice affiliated with AMV without seeing the tank valid the painting. Or how to be a judge and a party !!!
What is more I learn that the expert is confident with the committed bodybuilder ...
AMV Insurance with Option Service at a discount. "&amp;"Ashamed")</f>
        <v>Far more than 10 years old without liable liable here that Amv betray me !!!
I find my motorcycle on the ground in a parking lot. Ensures any risk with 50%bonuses in a motorcycle of 18 months and 6000 km of a value of 20,000 euros. The quote was established on February 1 expertise on 6 and 6 weeks after still no news !!!
The expert would refuse to change the tank and prefers to repaint it except that on the KTM they are in plastic and that the painting does not hold the vibrations ... and pacious of the spell the advice affiliated with AMV without seeing the tank valid the painting. Or how to be a judge and a party !!!
What is more I learn that the expert is confident with the committed bodybuilder ...
AMV Insurance with Option Service at a discount. Ashamed</v>
      </c>
    </row>
    <row r="893" ht="15.75" customHeight="1">
      <c r="A893" s="3">
        <v>1.0</v>
      </c>
      <c r="B893" s="3" t="s">
        <v>2449</v>
      </c>
      <c r="C893" s="3" t="s">
        <v>2450</v>
      </c>
      <c r="D893" s="3" t="s">
        <v>247</v>
      </c>
      <c r="E893" s="3" t="s">
        <v>21</v>
      </c>
      <c r="F893" s="3" t="s">
        <v>15</v>
      </c>
      <c r="G893" s="3" t="s">
        <v>2451</v>
      </c>
      <c r="H893" s="3" t="s">
        <v>844</v>
      </c>
      <c r="I893" s="3" t="str">
        <f>IFERROR(__xludf.DUMMYFUNCTION("GOOGLETRANSLATE(C893,""fr"",""en"")"),"The zero level of insurance! In the event of a claim what happened to me, no care, no follow -up, impossibility of having reliable and truthful information. The advisers tell anything to get rid of you.
I have never seen such a level in an insurer. I ter"&amp;"minated all my contracts.
I especially do not recommend this so-called insurance !!
")</f>
        <v>The zero level of insurance! In the event of a claim what happened to me, no care, no follow -up, impossibility of having reliable and truthful information. The advisers tell anything to get rid of you.
I have never seen such a level in an insurer. I terminated all my contracts.
I especially do not recommend this so-called insurance !!
</v>
      </c>
    </row>
    <row r="894" ht="15.75" customHeight="1">
      <c r="A894" s="3">
        <v>5.0</v>
      </c>
      <c r="B894" s="3" t="s">
        <v>2452</v>
      </c>
      <c r="C894" s="3" t="s">
        <v>2453</v>
      </c>
      <c r="D894" s="3" t="s">
        <v>53</v>
      </c>
      <c r="E894" s="3" t="s">
        <v>27</v>
      </c>
      <c r="F894" s="3" t="s">
        <v>15</v>
      </c>
      <c r="G894" s="3" t="s">
        <v>502</v>
      </c>
      <c r="H894" s="3" t="s">
        <v>58</v>
      </c>
      <c r="I894" s="3" t="str">
        <f>IFERROR(__xludf.DUMMYFUNCTION("GOOGLETRANSLATE(C894,""fr"",""en"")"),"Very satisfied with my auto and housing contracts. Reactive online staff, interesting rates, no complaints. I would not hesitate to advise direct insurance to those around me.")</f>
        <v>Very satisfied with my auto and housing contracts. Reactive online staff, interesting rates, no complaints. I would not hesitate to advise direct insurance to those around me.</v>
      </c>
    </row>
    <row r="895" ht="15.75" customHeight="1">
      <c r="A895" s="3">
        <v>1.0</v>
      </c>
      <c r="B895" s="3" t="s">
        <v>2454</v>
      </c>
      <c r="C895" s="3" t="s">
        <v>2455</v>
      </c>
      <c r="D895" s="3" t="s">
        <v>85</v>
      </c>
      <c r="E895" s="3" t="s">
        <v>27</v>
      </c>
      <c r="F895" s="3" t="s">
        <v>15</v>
      </c>
      <c r="G895" s="3" t="s">
        <v>362</v>
      </c>
      <c r="H895" s="3" t="s">
        <v>169</v>
      </c>
      <c r="I895" s="3" t="str">
        <f>IFERROR(__xludf.DUMMYFUNCTION("GOOGLETRANSLATE(C895,""fr"",""en"")"),"Be very careful he takes 60 euros of file plus 1 month of insurance without the appeal of 15 days possible. Never the green card. The worst they do all without anyone doing nothing in France with impunity. A shame")</f>
        <v>Be very careful he takes 60 euros of file plus 1 month of insurance without the appeal of 15 days possible. Never the green card. The worst they do all without anyone doing nothing in France with impunity. A shame</v>
      </c>
    </row>
    <row r="896" ht="15.75" customHeight="1">
      <c r="A896" s="3">
        <v>5.0</v>
      </c>
      <c r="B896" s="3" t="s">
        <v>2456</v>
      </c>
      <c r="C896" s="3" t="s">
        <v>2457</v>
      </c>
      <c r="D896" s="3" t="s">
        <v>653</v>
      </c>
      <c r="E896" s="3" t="s">
        <v>81</v>
      </c>
      <c r="F896" s="3" t="s">
        <v>15</v>
      </c>
      <c r="G896" s="3" t="s">
        <v>2458</v>
      </c>
      <c r="H896" s="3" t="s">
        <v>411</v>
      </c>
      <c r="I896" s="3" t="str">
        <f>IFERROR(__xludf.DUMMYFUNCTION("GOOGLETRANSLATE(C896,""fr"",""en"")"),"No complaints, top insurance.
I have subscribed hyper quickly, with all the explanations requested with a charming advisor.
At the time of my hanging, everything was very simple too. Quick support and refund as planned.")</f>
        <v>No complaints, top insurance.
I have subscribed hyper quickly, with all the explanations requested with a charming advisor.
At the time of my hanging, everything was very simple too. Quick support and refund as planned.</v>
      </c>
    </row>
    <row r="897" ht="15.75" customHeight="1">
      <c r="A897" s="3">
        <v>5.0</v>
      </c>
      <c r="B897" s="3" t="s">
        <v>2459</v>
      </c>
      <c r="C897" s="3" t="s">
        <v>2460</v>
      </c>
      <c r="D897" s="3" t="s">
        <v>53</v>
      </c>
      <c r="E897" s="3" t="s">
        <v>27</v>
      </c>
      <c r="F897" s="3" t="s">
        <v>15</v>
      </c>
      <c r="G897" s="3" t="s">
        <v>407</v>
      </c>
      <c r="H897" s="3" t="s">
        <v>58</v>
      </c>
      <c r="I897" s="3" t="str">
        <f>IFERROR(__xludf.DUMMYFUNCTION("GOOGLETRANSLATE(C897,""fr"",""en"")"),"Perfect
customer service has listened and very nice
no complaints
attractive price
I recommend direct insurance to anyone wishing to make economics")</f>
        <v>Perfect
customer service has listened and very nice
no complaints
attractive price
I recommend direct insurance to anyone wishing to make economics</v>
      </c>
    </row>
    <row r="898" ht="15.75" customHeight="1">
      <c r="A898" s="3">
        <v>4.0</v>
      </c>
      <c r="B898" s="3" t="s">
        <v>2461</v>
      </c>
      <c r="C898" s="3" t="s">
        <v>2462</v>
      </c>
      <c r="D898" s="3" t="s">
        <v>26</v>
      </c>
      <c r="E898" s="3" t="s">
        <v>27</v>
      </c>
      <c r="F898" s="3" t="s">
        <v>15</v>
      </c>
      <c r="G898" s="3" t="s">
        <v>98</v>
      </c>
      <c r="H898" s="3" t="s">
        <v>99</v>
      </c>
      <c r="I898" s="3" t="str">
        <f>IFERROR(__xludf.DUMMYFUNCTION("GOOGLETRANSLATE(C898,""fr"",""en"")"),"I am satisfied with the guarantees, apart from optical which is expensive for the care that corresponds.
I am very satisfied with my agency in Martigues.")</f>
        <v>I am satisfied with the guarantees, apart from optical which is expensive for the care that corresponds.
I am very satisfied with my agency in Martigues.</v>
      </c>
    </row>
    <row r="899" ht="15.75" customHeight="1">
      <c r="A899" s="3">
        <v>2.0</v>
      </c>
      <c r="B899" s="3" t="s">
        <v>2463</v>
      </c>
      <c r="C899" s="3" t="s">
        <v>2464</v>
      </c>
      <c r="D899" s="3" t="s">
        <v>75</v>
      </c>
      <c r="E899" s="3" t="s">
        <v>76</v>
      </c>
      <c r="F899" s="3" t="s">
        <v>15</v>
      </c>
      <c r="G899" s="3" t="s">
        <v>1684</v>
      </c>
      <c r="H899" s="3" t="s">
        <v>50</v>
      </c>
      <c r="I899" s="3" t="str">
        <f>IFERROR(__xludf.DUMMYFUNCTION("GOOGLETRANSLATE(C899,""fr"",""en"")"),"I wanted to make my own opinion on this insurer and I am served.
I declare a sinister: broken ice on my baking sheet which is worth € 300. I indicate that I unfortunately no longer have my purchase invoice. I call several professionals for a quote, who d"&amp;"o not want to move for such an amount.
I call Allianz who offers to set up a company (Darty) for a quote. I waited for 3 weeks to have a call and after calling Allianz 3 times to restart them.
So finally comes the call from Darty who tells me that if I "&amp;"do not have the reference of my hob, a quote is not possible.
It’s totally unacceptable. I know that other insurances can compensate you quickly when necessary !! I can no longer eat but for them, I can always get my monthly payments. We would have a bad"&amp;" ad for Allianz count on us.")</f>
        <v>I wanted to make my own opinion on this insurer and I am served.
I declare a sinister: broken ice on my baking sheet which is worth € 300. I indicate that I unfortunately no longer have my purchase invoice. I call several professionals for a quote, who do not want to move for such an amount.
I call Allianz who offers to set up a company (Darty) for a quote. I waited for 3 weeks to have a call and after calling Allianz 3 times to restart them.
So finally comes the call from Darty who tells me that if I do not have the reference of my hob, a quote is not possible.
It’s totally unacceptable. I know that other insurances can compensate you quickly when necessary !! I can no longer eat but for them, I can always get my monthly payments. We would have a bad ad for Allianz count on us.</v>
      </c>
    </row>
    <row r="900" ht="15.75" customHeight="1">
      <c r="A900" s="3">
        <v>2.0</v>
      </c>
      <c r="B900" s="3" t="s">
        <v>2465</v>
      </c>
      <c r="C900" s="3" t="s">
        <v>2466</v>
      </c>
      <c r="D900" s="3" t="s">
        <v>137</v>
      </c>
      <c r="E900" s="3" t="s">
        <v>27</v>
      </c>
      <c r="F900" s="3" t="s">
        <v>15</v>
      </c>
      <c r="G900" s="3" t="s">
        <v>685</v>
      </c>
      <c r="H900" s="3" t="s">
        <v>17</v>
      </c>
      <c r="I900" s="3" t="str">
        <f>IFERROR(__xludf.DUMMYFUNCTION("GOOGLETRANSLATE(C900,""fr"",""en"")"),"During a car change, Filia-Maif begins by charging costs that are not in the contract. She is OK to fuel them following a complaint on my part but issues her samples without taking into account the discount. I therefore refuse a sample and Filia-Maif has "&amp;"terminated all my contracts. So-called militant insurer to avoid absolutely because in bad faith.")</f>
        <v>During a car change, Filia-Maif begins by charging costs that are not in the contract. She is OK to fuel them following a complaint on my part but issues her samples without taking into account the discount. I therefore refuse a sample and Filia-Maif has terminated all my contracts. So-called militant insurer to avoid absolutely because in bad faith.</v>
      </c>
    </row>
    <row r="901" ht="15.75" customHeight="1">
      <c r="A901" s="3">
        <v>4.0</v>
      </c>
      <c r="B901" s="3" t="s">
        <v>2467</v>
      </c>
      <c r="C901" s="3" t="s">
        <v>2468</v>
      </c>
      <c r="D901" s="3" t="s">
        <v>53</v>
      </c>
      <c r="E901" s="3" t="s">
        <v>27</v>
      </c>
      <c r="F901" s="3" t="s">
        <v>15</v>
      </c>
      <c r="G901" s="3" t="s">
        <v>1182</v>
      </c>
      <c r="H901" s="3" t="s">
        <v>58</v>
      </c>
      <c r="I901" s="3" t="str">
        <f>IFERROR(__xludf.DUMMYFUNCTION("GOOGLETRANSLATE(C901,""fr"",""en"")"),"For the moment, having had no claim during these 3 years of subscription, apart from an impact repair, I cannot give any opinion on the quality of service in the event of a problem.")</f>
        <v>For the moment, having had no claim during these 3 years of subscription, apart from an impact repair, I cannot give any opinion on the quality of service in the event of a problem.</v>
      </c>
    </row>
    <row r="902" ht="15.75" customHeight="1">
      <c r="A902" s="3">
        <v>4.0</v>
      </c>
      <c r="B902" s="3" t="s">
        <v>2469</v>
      </c>
      <c r="C902" s="3" t="s">
        <v>2470</v>
      </c>
      <c r="D902" s="3" t="s">
        <v>13</v>
      </c>
      <c r="E902" s="3" t="s">
        <v>14</v>
      </c>
      <c r="F902" s="3" t="s">
        <v>15</v>
      </c>
      <c r="G902" s="3" t="s">
        <v>404</v>
      </c>
      <c r="H902" s="3" t="s">
        <v>50</v>
      </c>
      <c r="I902" s="3" t="str">
        <f>IFERROR(__xludf.DUMMYFUNCTION("GOOGLETRANSLATE(C902,""fr"",""en"")"),"Satisfied with the mutual
The telephone advisor Ms. Widad is attentive and effective in a word: professional
Otherwise.
")</f>
        <v>Satisfied with the mutual
The telephone advisor Ms. Widad is attentive and effective in a word: professional
Otherwise.
</v>
      </c>
    </row>
    <row r="903" ht="15.75" customHeight="1">
      <c r="A903" s="3">
        <v>3.0</v>
      </c>
      <c r="B903" s="3" t="s">
        <v>2471</v>
      </c>
      <c r="C903" s="3" t="s">
        <v>2472</v>
      </c>
      <c r="D903" s="3" t="s">
        <v>37</v>
      </c>
      <c r="E903" s="3" t="s">
        <v>27</v>
      </c>
      <c r="F903" s="3" t="s">
        <v>15</v>
      </c>
      <c r="G903" s="3" t="s">
        <v>338</v>
      </c>
      <c r="H903" s="3" t="s">
        <v>17</v>
      </c>
      <c r="I903" s="3" t="str">
        <f>IFERROR(__xludf.DUMMYFUNCTION("GOOGLETRANSLATE(C903,""fr"",""en"")"),"I am rather satisfied with the service. On the other hand, I am disappointed with the drastic increase in the price 400 € because I was the main driver of my company's car. But I understand that this is the normal process.")</f>
        <v>I am rather satisfied with the service. On the other hand, I am disappointed with the drastic increase in the price 400 € because I was the main driver of my company's car. But I understand that this is the normal process.</v>
      </c>
    </row>
    <row r="904" ht="15.75" customHeight="1">
      <c r="A904" s="3">
        <v>4.0</v>
      </c>
      <c r="B904" s="3" t="s">
        <v>2473</v>
      </c>
      <c r="C904" s="3" t="s">
        <v>2474</v>
      </c>
      <c r="D904" s="3" t="s">
        <v>80</v>
      </c>
      <c r="E904" s="3" t="s">
        <v>81</v>
      </c>
      <c r="F904" s="3" t="s">
        <v>15</v>
      </c>
      <c r="G904" s="3" t="s">
        <v>252</v>
      </c>
      <c r="H904" s="3" t="s">
        <v>50</v>
      </c>
      <c r="I904" s="3" t="str">
        <f>IFERROR(__xludf.DUMMYFUNCTION("GOOGLETRANSLATE(C904,""fr"",""en"")"),"Easy to establish a quote, speed to ensure a vehicle and response to the quick phone if necessary.
I hope communication will always be as simple.")</f>
        <v>Easy to establish a quote, speed to ensure a vehicle and response to the quick phone if necessary.
I hope communication will always be as simple.</v>
      </c>
    </row>
    <row r="905" ht="15.75" customHeight="1">
      <c r="A905" s="3">
        <v>1.0</v>
      </c>
      <c r="B905" s="3" t="s">
        <v>2475</v>
      </c>
      <c r="C905" s="3" t="s">
        <v>2476</v>
      </c>
      <c r="D905" s="3" t="s">
        <v>32</v>
      </c>
      <c r="E905" s="3" t="s">
        <v>14</v>
      </c>
      <c r="F905" s="3" t="s">
        <v>15</v>
      </c>
      <c r="G905" s="3" t="s">
        <v>1328</v>
      </c>
      <c r="H905" s="3" t="s">
        <v>58</v>
      </c>
      <c r="I905" s="3" t="str">
        <f>IFERROR(__xludf.DUMMYFUNCTION("GOOGLETRANSLATE(C905,""fr"",""en"")"),"A disaster. They consider provisional crowns as full -fledged prosthes and following this, do not reimburse the definitive crowns because it goes above the package of three prostheses per year of contribution. Scandalous")</f>
        <v>A disaster. They consider provisional crowns as full -fledged prosthes and following this, do not reimburse the definitive crowns because it goes above the package of three prostheses per year of contribution. Scandalous</v>
      </c>
    </row>
    <row r="906" ht="15.75" customHeight="1">
      <c r="A906" s="3">
        <v>5.0</v>
      </c>
      <c r="B906" s="3" t="s">
        <v>2477</v>
      </c>
      <c r="C906" s="3" t="s">
        <v>2478</v>
      </c>
      <c r="D906" s="3" t="s">
        <v>123</v>
      </c>
      <c r="E906" s="3" t="s">
        <v>76</v>
      </c>
      <c r="F906" s="3" t="s">
        <v>15</v>
      </c>
      <c r="G906" s="3" t="s">
        <v>2479</v>
      </c>
      <c r="H906" s="3" t="s">
        <v>597</v>
      </c>
      <c r="I906" s="3" t="str">
        <f>IFERROR(__xludf.DUMMYFUNCTION("GOOGLETRANSLATE(C906,""fr"",""en"")"),"Good insurance in contact with its customers, in particular thanks to the agencies located in all cities. I have not yet had a claim but for the moment everything is going for the best while hoping that it lasts.")</f>
        <v>Good insurance in contact with its customers, in particular thanks to the agencies located in all cities. I have not yet had a claim but for the moment everything is going for the best while hoping that it lasts.</v>
      </c>
    </row>
    <row r="907" ht="15.75" customHeight="1">
      <c r="A907" s="3">
        <v>4.0</v>
      </c>
      <c r="B907" s="3" t="s">
        <v>2480</v>
      </c>
      <c r="C907" s="3" t="s">
        <v>2481</v>
      </c>
      <c r="D907" s="3" t="s">
        <v>37</v>
      </c>
      <c r="E907" s="3" t="s">
        <v>27</v>
      </c>
      <c r="F907" s="3" t="s">
        <v>15</v>
      </c>
      <c r="G907" s="3" t="s">
        <v>2482</v>
      </c>
      <c r="H907" s="3" t="s">
        <v>23</v>
      </c>
      <c r="I907" s="3" t="str">
        <f>IFERROR(__xludf.DUMMYFUNCTION("GOOGLETRANSLATE(C907,""fr"",""en"")"),"I am satisfied with customer service and the speed of information processing and service as well as the ease of processing files")</f>
        <v>I am satisfied with customer service and the speed of information processing and service as well as the ease of processing files</v>
      </c>
    </row>
    <row r="908" ht="15.75" customHeight="1">
      <c r="A908" s="3">
        <v>5.0</v>
      </c>
      <c r="B908" s="3" t="s">
        <v>2483</v>
      </c>
      <c r="C908" s="3" t="s">
        <v>2484</v>
      </c>
      <c r="D908" s="3" t="s">
        <v>37</v>
      </c>
      <c r="E908" s="3" t="s">
        <v>27</v>
      </c>
      <c r="F908" s="3" t="s">
        <v>15</v>
      </c>
      <c r="G908" s="3" t="s">
        <v>404</v>
      </c>
      <c r="H908" s="3" t="s">
        <v>50</v>
      </c>
      <c r="I908" s="3" t="str">
        <f>IFERROR(__xludf.DUMMYFUNCTION("GOOGLETRANSLATE(C908,""fr"",""en"")"),"Hello I am very satisfied with the advisor with whom I had on the phone well explained and very correct sorry on my part appealing at the end. Thank you cordially Oliveira")</f>
        <v>Hello I am very satisfied with the advisor with whom I had on the phone well explained and very correct sorry on my part appealing at the end. Thank you cordially Oliveira</v>
      </c>
    </row>
    <row r="909" ht="15.75" customHeight="1">
      <c r="A909" s="3">
        <v>1.0</v>
      </c>
      <c r="B909" s="3" t="s">
        <v>2485</v>
      </c>
      <c r="C909" s="3" t="s">
        <v>2486</v>
      </c>
      <c r="D909" s="3" t="s">
        <v>247</v>
      </c>
      <c r="E909" s="3" t="s">
        <v>76</v>
      </c>
      <c r="F909" s="3" t="s">
        <v>15</v>
      </c>
      <c r="G909" s="3" t="s">
        <v>2487</v>
      </c>
      <c r="H909" s="3" t="s">
        <v>604</v>
      </c>
      <c r="I909" s="3" t="str">
        <f>IFERROR(__xludf.DUMMYFUNCTION("GOOGLETRANSLATE(C909,""fr"",""en"")"),"Macif insurance to avoid, incompetent and very long compensation delays see no compensation ....
Sunday January 14, 2018 at 6:31 pm J ""posted a notice signaling the supplementary disorganization and/or the incompetence of the Macif services.
Francois o"&amp;"f their after -sales service had contacted me to propose to advance my reimbursements !!!
However, since a situation still blocked, Macif has no longer been able to reimburse the victims")</f>
        <v>Macif insurance to avoid, incompetent and very long compensation delays see no compensation ....
Sunday January 14, 2018 at 6:31 pm J "posted a notice signaling the supplementary disorganization and/or the incompetence of the Macif services.
Francois of their after -sales service had contacted me to propose to advance my reimbursements !!!
However, since a situation still blocked, Macif has no longer been able to reimburse the victims</v>
      </c>
    </row>
    <row r="910" ht="15.75" customHeight="1">
      <c r="A910" s="3">
        <v>3.0</v>
      </c>
      <c r="B910" s="3" t="s">
        <v>2488</v>
      </c>
      <c r="C910" s="3" t="s">
        <v>2489</v>
      </c>
      <c r="D910" s="3" t="s">
        <v>53</v>
      </c>
      <c r="E910" s="3" t="s">
        <v>27</v>
      </c>
      <c r="F910" s="3" t="s">
        <v>15</v>
      </c>
      <c r="G910" s="3" t="s">
        <v>353</v>
      </c>
      <c r="H910" s="3" t="s">
        <v>58</v>
      </c>
      <c r="I910" s="3" t="str">
        <f>IFERROR(__xludf.DUMMYFUNCTION("GOOGLETRANSLATE(C910,""fr"",""en"")"),"Satisfied customer service and understanding
Resonable price
Effectiveness in terms of work
Just a problem in terms of the installation of my new window: it was broken at the time of RParation.")</f>
        <v>Satisfied customer service and understanding
Resonable price
Effectiveness in terms of work
Just a problem in terms of the installation of my new window: it was broken at the time of RParation.</v>
      </c>
    </row>
    <row r="911" ht="15.75" customHeight="1">
      <c r="A911" s="3">
        <v>4.0</v>
      </c>
      <c r="B911" s="3" t="s">
        <v>2490</v>
      </c>
      <c r="C911" s="3" t="s">
        <v>2491</v>
      </c>
      <c r="D911" s="3" t="s">
        <v>61</v>
      </c>
      <c r="E911" s="3" t="s">
        <v>14</v>
      </c>
      <c r="F911" s="3" t="s">
        <v>15</v>
      </c>
      <c r="G911" s="3" t="s">
        <v>2492</v>
      </c>
      <c r="H911" s="3" t="s">
        <v>205</v>
      </c>
      <c r="I911" s="3" t="str">
        <f>IFERROR(__xludf.DUMMYFUNCTION("GOOGLETRANSLATE(C911,""fr"",""en"")"),"The advisor ""Fairouz"" accompanied me well she answered all my questions and I am very happy with Santiane good continuation congratulations to you")</f>
        <v>The advisor "Fairouz" accompanied me well she answered all my questions and I am very happy with Santiane good continuation congratulations to you</v>
      </c>
    </row>
    <row r="912" ht="15.75" customHeight="1">
      <c r="A912" s="3">
        <v>5.0</v>
      </c>
      <c r="B912" s="3" t="s">
        <v>2493</v>
      </c>
      <c r="C912" s="3" t="s">
        <v>2494</v>
      </c>
      <c r="D912" s="3" t="s">
        <v>57</v>
      </c>
      <c r="E912" s="3" t="s">
        <v>14</v>
      </c>
      <c r="F912" s="3" t="s">
        <v>15</v>
      </c>
      <c r="G912" s="3" t="s">
        <v>2495</v>
      </c>
      <c r="H912" s="3" t="s">
        <v>382</v>
      </c>
      <c r="I912" s="3" t="str">
        <f>IFERROR(__xludf.DUMMYFUNCTION("GOOGLETRANSLATE(C912,""fr"",""en"")"),"Quick telephone contact, very attractive guarantees price and good support. In a word: top efficiency. I highly recommend MGP in mutual health.")</f>
        <v>Quick telephone contact, very attractive guarantees price and good support. In a word: top efficiency. I highly recommend MGP in mutual health.</v>
      </c>
    </row>
    <row r="913" ht="15.75" customHeight="1">
      <c r="A913" s="3">
        <v>2.0</v>
      </c>
      <c r="B913" s="3" t="s">
        <v>2496</v>
      </c>
      <c r="C913" s="3" t="s">
        <v>2497</v>
      </c>
      <c r="D913" s="3" t="s">
        <v>123</v>
      </c>
      <c r="E913" s="3" t="s">
        <v>27</v>
      </c>
      <c r="F913" s="3" t="s">
        <v>15</v>
      </c>
      <c r="G913" s="3" t="s">
        <v>2498</v>
      </c>
      <c r="H913" s="3" t="s">
        <v>1090</v>
      </c>
      <c r="I913" s="3" t="str">
        <f>IFERROR(__xludf.DUMMYFUNCTION("GOOGLETRANSLATE(C913,""fr"",""en"")"),"Bonus for life: a lure. I have been a customer at the MAAF for many years (car with bonus for life 50 and home) having had 2 body accidents in the last 5 years (no third party in question, total liability) my insurance deductible for all risks is doubled "&amp;"(from 300 to 600). Although my bonus/penalty coefficient is 0.62 the MAAF refuses to secure me in the event of the purchase of a new car. In conclusion ""it is not the maaf that I prefer""")</f>
        <v>Bonus for life: a lure. I have been a customer at the MAAF for many years (car with bonus for life 50 and home) having had 2 body accidents in the last 5 years (no third party in question, total liability) my insurance deductible for all risks is doubled (from 300 to 600). Although my bonus/penalty coefficient is 0.62 the MAAF refuses to secure me in the event of the purchase of a new car. In conclusion "it is not the maaf that I prefer"</v>
      </c>
    </row>
    <row r="914" ht="15.75" customHeight="1">
      <c r="A914" s="3">
        <v>1.0</v>
      </c>
      <c r="B914" s="3" t="s">
        <v>70</v>
      </c>
      <c r="C914" s="3" t="s">
        <v>2499</v>
      </c>
      <c r="D914" s="3" t="s">
        <v>53</v>
      </c>
      <c r="E914" s="3" t="s">
        <v>27</v>
      </c>
      <c r="F914" s="3" t="s">
        <v>15</v>
      </c>
      <c r="G914" s="3" t="s">
        <v>552</v>
      </c>
      <c r="H914" s="3" t="s">
        <v>72</v>
      </c>
      <c r="I914" s="3" t="str">
        <f>IFERROR(__xludf.DUMMYFUNCTION("GOOGLETRANSLATE(C914,""fr"",""en"")"),"The service looks like carpet merchants.
200 euros more expensive than competition ... Once my contract is passed, I am reminded to lower the prices.
I am however a faithful customer ... well I was ....")</f>
        <v>The service looks like carpet merchants.
200 euros more expensive than competition ... Once my contract is passed, I am reminded to lower the prices.
I am however a faithful customer ... well I was ....</v>
      </c>
    </row>
    <row r="915" ht="15.75" customHeight="1">
      <c r="A915" s="3">
        <v>2.0</v>
      </c>
      <c r="B915" s="3" t="s">
        <v>2500</v>
      </c>
      <c r="C915" s="3" t="s">
        <v>2501</v>
      </c>
      <c r="D915" s="3" t="s">
        <v>247</v>
      </c>
      <c r="E915" s="3" t="s">
        <v>27</v>
      </c>
      <c r="F915" s="3" t="s">
        <v>15</v>
      </c>
      <c r="G915" s="3" t="s">
        <v>2502</v>
      </c>
      <c r="H915" s="3" t="s">
        <v>676</v>
      </c>
      <c r="I915" s="3" t="str">
        <f>IFERROR(__xludf.DUMMYFUNCTION("GOOGLETRANSLATE(C915,""fr"",""en"")"),"Insured for over 30 years at the Macif, we had nothing to complain about until now: very competent advisers, fast reimbursements. For one or two years, customer service has deteriorated: advisers give us false information that has disastrous consequences "&amp;"on our bonus. No tolerance in the claims: from 2 responsible claims (small clashes without gravity), the Macif terminated the car contract to us.")</f>
        <v>Insured for over 30 years at the Macif, we had nothing to complain about until now: very competent advisers, fast reimbursements. For one or two years, customer service has deteriorated: advisers give us false information that has disastrous consequences on our bonus. No tolerance in the claims: from 2 responsible claims (small clashes without gravity), the Macif terminated the car contract to us.</v>
      </c>
    </row>
    <row r="916" ht="15.75" customHeight="1">
      <c r="A916" s="3">
        <v>4.0</v>
      </c>
      <c r="B916" s="3" t="s">
        <v>2503</v>
      </c>
      <c r="C916" s="3" t="s">
        <v>2504</v>
      </c>
      <c r="D916" s="3" t="s">
        <v>37</v>
      </c>
      <c r="E916" s="3" t="s">
        <v>27</v>
      </c>
      <c r="F916" s="3" t="s">
        <v>15</v>
      </c>
      <c r="G916" s="3" t="s">
        <v>117</v>
      </c>
      <c r="H916" s="3" t="s">
        <v>99</v>
      </c>
      <c r="I916" s="3" t="str">
        <f>IFERROR(__xludf.DUMMYFUNCTION("GOOGLETRANSLATE(C916,""fr"",""en"")"),"I am satisfied with the service and the information that has been given to me. To see in time if things remain identical or empire. In any case I am happy.")</f>
        <v>I am satisfied with the service and the information that has been given to me. To see in time if things remain identical or empire. In any case I am happy.</v>
      </c>
    </row>
    <row r="917" ht="15.75" customHeight="1">
      <c r="A917" s="3">
        <v>4.0</v>
      </c>
      <c r="B917" s="3" t="s">
        <v>2505</v>
      </c>
      <c r="C917" s="3" t="s">
        <v>2506</v>
      </c>
      <c r="D917" s="3" t="s">
        <v>53</v>
      </c>
      <c r="E917" s="3" t="s">
        <v>27</v>
      </c>
      <c r="F917" s="3" t="s">
        <v>15</v>
      </c>
      <c r="G917" s="3" t="s">
        <v>2035</v>
      </c>
      <c r="H917" s="3" t="s">
        <v>50</v>
      </c>
      <c r="I917" s="3" t="str">
        <f>IFERROR(__xludf.DUMMYFUNCTION("GOOGLETRANSLATE(C917,""fr"",""en"")"),"I'm waiting to see over time. I had trouble connecting to it yesterday because the SMS did not send me a good address, so I failed to validate the file yesterday.")</f>
        <v>I'm waiting to see over time. I had trouble connecting to it yesterday because the SMS did not send me a good address, so I failed to validate the file yesterday.</v>
      </c>
    </row>
    <row r="918" ht="15.75" customHeight="1">
      <c r="A918" s="3">
        <v>5.0</v>
      </c>
      <c r="B918" s="3" t="s">
        <v>2507</v>
      </c>
      <c r="C918" s="3" t="s">
        <v>2508</v>
      </c>
      <c r="D918" s="3" t="s">
        <v>80</v>
      </c>
      <c r="E918" s="3" t="s">
        <v>81</v>
      </c>
      <c r="F918" s="3" t="s">
        <v>15</v>
      </c>
      <c r="G918" s="3" t="s">
        <v>1047</v>
      </c>
      <c r="H918" s="3" t="s">
        <v>50</v>
      </c>
      <c r="I918" s="3" t="str">
        <f>IFERROR(__xludf.DUMMYFUNCTION("GOOGLETRANSLATE(C918,""fr"",""en"")"),"I am satisfied with your prices
I am satisfied with your services
I am satisfied with your speed
I am satisfied with your responsiveness
I am satisfied with the ease of access")</f>
        <v>I am satisfied with your prices
I am satisfied with your services
I am satisfied with your speed
I am satisfied with your responsiveness
I am satisfied with the ease of access</v>
      </c>
    </row>
    <row r="919" ht="15.75" customHeight="1">
      <c r="A919" s="3">
        <v>5.0</v>
      </c>
      <c r="B919" s="3" t="s">
        <v>2509</v>
      </c>
      <c r="C919" s="3" t="s">
        <v>2510</v>
      </c>
      <c r="D919" s="3" t="s">
        <v>53</v>
      </c>
      <c r="E919" s="3" t="s">
        <v>27</v>
      </c>
      <c r="F919" s="3" t="s">
        <v>15</v>
      </c>
      <c r="G919" s="3" t="s">
        <v>2511</v>
      </c>
      <c r="H919" s="3" t="s">
        <v>69</v>
      </c>
      <c r="I919" s="3" t="str">
        <f>IFERROR(__xludf.DUMMYFUNCTION("GOOGLETRANSLATE(C919,""fr"",""en"")"),"I am satisfied, firstly a quote done quickly and in addition to that, the prices are more than correct! I recommend and even regret not having been interested in it earlier.")</f>
        <v>I am satisfied, firstly a quote done quickly and in addition to that, the prices are more than correct! I recommend and even regret not having been interested in it earlier.</v>
      </c>
    </row>
    <row r="920" ht="15.75" customHeight="1">
      <c r="A920" s="3">
        <v>2.0</v>
      </c>
      <c r="B920" s="3" t="s">
        <v>2512</v>
      </c>
      <c r="C920" s="3" t="s">
        <v>2513</v>
      </c>
      <c r="D920" s="3" t="s">
        <v>123</v>
      </c>
      <c r="E920" s="3" t="s">
        <v>76</v>
      </c>
      <c r="F920" s="3" t="s">
        <v>15</v>
      </c>
      <c r="G920" s="3" t="s">
        <v>2216</v>
      </c>
      <c r="H920" s="3" t="s">
        <v>159</v>
      </c>
      <c r="I920" s="3" t="str">
        <f>IFERROR(__xludf.DUMMYFUNCTION("GOOGLETRANSLATE(C920,""fr"",""en"")"),"Everything is done not to pay ... incompetence, no responsiveness, bad faith
Contributions paid in the void ...
Red card in Covea for legal protection, junior interlocutor who does not include the file, bailiff fees for urgent reports undertaken because"&amp;" insurance not reactive at all, loss of time to explain and re -explain and no reimbursement of costs because would be considered as gest Commercial by the insurer in disregard of article 127-2-2 of the insurance code which stipulates that one can incur f"&amp;"ees so justified emergency (justified in my case in the report of bailiff)
")</f>
        <v>Everything is done not to pay ... incompetence, no responsiveness, bad faith
Contributions paid in the void ...
Red card in Covea for legal protection, junior interlocutor who does not include the file, bailiff fees for urgent reports undertaken because insurance not reactive at all, loss of time to explain and re -explain and no reimbursement of costs because would be considered as gest Commercial by the insurer in disregard of article 127-2-2 of the insurance code which stipulates that one can incur fees so justified emergency (justified in my case in the report of bailiff)
</v>
      </c>
    </row>
    <row r="921" ht="15.75" customHeight="1">
      <c r="A921" s="3">
        <v>2.0</v>
      </c>
      <c r="B921" s="3" t="s">
        <v>2514</v>
      </c>
      <c r="C921" s="3" t="s">
        <v>2515</v>
      </c>
      <c r="D921" s="3" t="s">
        <v>131</v>
      </c>
      <c r="E921" s="3" t="s">
        <v>27</v>
      </c>
      <c r="F921" s="3" t="s">
        <v>15</v>
      </c>
      <c r="G921" s="3" t="s">
        <v>2516</v>
      </c>
      <c r="H921" s="3" t="s">
        <v>125</v>
      </c>
      <c r="I921" s="3" t="str">
        <f>IFERROR(__xludf.DUMMYFUNCTION("GOOGLETRANSLATE(C921,""fr"",""en"")"),"Following a breakdown with a used vehicle of less than two less in October 2017, I had to use the legal protection of the Matmut to settle the dispute with the mechanic. Result, expertise made in January 2018, the expert's report denouncing the mechanic ("&amp;"at fault) in early February 2018. Legal protection returned a letter to the mechanic claiming him a refund at the end of June 2018 (not before). In the meantime, no news on the turn of the case, the necessary legal deadlines. In total blur and money that "&amp;"has been sleeping for almost a year. What is the point of paying insurance every month if we find ourselves in difficulty when there is a problem")</f>
        <v>Following a breakdown with a used vehicle of less than two less in October 2017, I had to use the legal protection of the Matmut to settle the dispute with the mechanic. Result, expertise made in January 2018, the expert's report denouncing the mechanic (at fault) in early February 2018. Legal protection returned a letter to the mechanic claiming him a refund at the end of June 2018 (not before). In the meantime, no news on the turn of the case, the necessary legal deadlines. In total blur and money that has been sleeping for almost a year. What is the point of paying insurance every month if we find ourselves in difficulty when there is a problem</v>
      </c>
    </row>
    <row r="922" ht="15.75" customHeight="1">
      <c r="A922" s="3">
        <v>4.0</v>
      </c>
      <c r="B922" s="3" t="s">
        <v>2517</v>
      </c>
      <c r="C922" s="3" t="s">
        <v>2518</v>
      </c>
      <c r="D922" s="3" t="s">
        <v>37</v>
      </c>
      <c r="E922" s="3" t="s">
        <v>27</v>
      </c>
      <c r="F922" s="3" t="s">
        <v>15</v>
      </c>
      <c r="G922" s="3" t="s">
        <v>233</v>
      </c>
      <c r="H922" s="3" t="s">
        <v>17</v>
      </c>
      <c r="I922" s="3" t="str">
        <f>IFERROR(__xludf.DUMMYFUNCTION("GOOGLETRANSLATE(C922,""fr"",""en"")"),"The price suits me but unfortunately the break of ice does not cover the panoramic roof. Otherwise satisfied with the service in general. I recommend.")</f>
        <v>The price suits me but unfortunately the break of ice does not cover the panoramic roof. Otherwise satisfied with the service in general. I recommend.</v>
      </c>
    </row>
    <row r="923" ht="15.75" customHeight="1">
      <c r="A923" s="3">
        <v>5.0</v>
      </c>
      <c r="B923" s="3" t="s">
        <v>2519</v>
      </c>
      <c r="C923" s="3" t="s">
        <v>2520</v>
      </c>
      <c r="D923" s="3" t="s">
        <v>53</v>
      </c>
      <c r="E923" s="3" t="s">
        <v>27</v>
      </c>
      <c r="F923" s="3" t="s">
        <v>15</v>
      </c>
      <c r="G923" s="3" t="s">
        <v>1219</v>
      </c>
      <c r="H923" s="3" t="s">
        <v>99</v>
      </c>
      <c r="I923" s="3" t="str">
        <f>IFERROR(__xludf.DUMMYFUNCTION("GOOGLETRANSLATE(C923,""fr"",""en"")"),"Satisfied with the service. It is fast, simple and efficient. The taken are low. I recommend.
Direct Insurance allows us not to have to go to an agency.")</f>
        <v>Satisfied with the service. It is fast, simple and efficient. The taken are low. I recommend.
Direct Insurance allows us not to have to go to an agency.</v>
      </c>
    </row>
    <row r="924" ht="15.75" customHeight="1">
      <c r="A924" s="3">
        <v>1.0</v>
      </c>
      <c r="B924" s="3" t="s">
        <v>2521</v>
      </c>
      <c r="C924" s="3" t="s">
        <v>2522</v>
      </c>
      <c r="D924" s="3" t="s">
        <v>327</v>
      </c>
      <c r="E924" s="3" t="s">
        <v>76</v>
      </c>
      <c r="F924" s="3" t="s">
        <v>15</v>
      </c>
      <c r="G924" s="3" t="s">
        <v>284</v>
      </c>
      <c r="H924" s="3" t="s">
        <v>29</v>
      </c>
      <c r="I924" s="3" t="str">
        <f>IFERROR(__xludf.DUMMYFUNCTION("GOOGLETRANSLATE(C924,""fr"",""en"")"),"Following the landslide then the collapse of a retaining wall, my house is in danger, I can no longer live it, despite a natural disaster decree, this insurer did nothing ... The bank which I sold this insurance to terminate my contract due for loss and P"&amp;"acifica did not want to take care of, I am on trial .... it's very long. Pacifica insurance to flee absolutely.")</f>
        <v>Following the landslide then the collapse of a retaining wall, my house is in danger, I can no longer live it, despite a natural disaster decree, this insurer did nothing ... The bank which I sold this insurance to terminate my contract due for loss and Pacifica did not want to take care of, I am on trial .... it's very long. Pacifica insurance to flee absolutely.</v>
      </c>
    </row>
    <row r="925" ht="15.75" customHeight="1">
      <c r="A925" s="3">
        <v>4.0</v>
      </c>
      <c r="B925" s="3" t="s">
        <v>2523</v>
      </c>
      <c r="C925" s="3" t="s">
        <v>2524</v>
      </c>
      <c r="D925" s="3" t="s">
        <v>61</v>
      </c>
      <c r="E925" s="3" t="s">
        <v>14</v>
      </c>
      <c r="F925" s="3" t="s">
        <v>15</v>
      </c>
      <c r="G925" s="3" t="s">
        <v>1057</v>
      </c>
      <c r="H925" s="3" t="s">
        <v>72</v>
      </c>
      <c r="I925" s="3" t="str">
        <f>IFERROR(__xludf.DUMMYFUNCTION("GOOGLETRANSLATE(C925,""fr"",""en"")"),"I exchanged with Lamia which was great, and responded to my requests in an effective and professional way, it is a pleasure to have listening interlocutors!")</f>
        <v>I exchanged with Lamia which was great, and responded to my requests in an effective and professional way, it is a pleasure to have listening interlocutors!</v>
      </c>
    </row>
    <row r="926" ht="15.75" customHeight="1">
      <c r="A926" s="3">
        <v>5.0</v>
      </c>
      <c r="B926" s="3" t="s">
        <v>2525</v>
      </c>
      <c r="C926" s="3" t="s">
        <v>2526</v>
      </c>
      <c r="D926" s="3" t="s">
        <v>53</v>
      </c>
      <c r="E926" s="3" t="s">
        <v>27</v>
      </c>
      <c r="F926" s="3" t="s">
        <v>15</v>
      </c>
      <c r="G926" s="3" t="s">
        <v>255</v>
      </c>
      <c r="H926" s="3" t="s">
        <v>29</v>
      </c>
      <c r="I926" s="3" t="str">
        <f>IFERROR(__xludf.DUMMYFUNCTION("GOOGLETRANSLATE(C926,""fr"",""en"")"),"I am satisfied with the service. Thank you so much . Not easy to find insurance, with monthly payments. I will give you recommendations, to my friends.")</f>
        <v>I am satisfied with the service. Thank you so much . Not easy to find insurance, with monthly payments. I will give you recommendations, to my friends.</v>
      </c>
    </row>
    <row r="927" ht="15.75" customHeight="1">
      <c r="A927" s="3">
        <v>4.0</v>
      </c>
      <c r="B927" s="3" t="s">
        <v>2527</v>
      </c>
      <c r="C927" s="3" t="s">
        <v>2528</v>
      </c>
      <c r="D927" s="3" t="s">
        <v>37</v>
      </c>
      <c r="E927" s="3" t="s">
        <v>27</v>
      </c>
      <c r="F927" s="3" t="s">
        <v>15</v>
      </c>
      <c r="G927" s="3" t="s">
        <v>298</v>
      </c>
      <c r="H927" s="3" t="s">
        <v>58</v>
      </c>
      <c r="I927" s="3" t="str">
        <f>IFERROR(__xludf.DUMMYFUNCTION("GOOGLETRANSLATE(C927,""fr"",""en"")"),"It would be welcome to set up prices to retain your customers rather than increase contributions without relevant reason each year.
Your customer service is most efficient and friendly.")</f>
        <v>It would be welcome to set up prices to retain your customers rather than increase contributions without relevant reason each year.
Your customer service is most efficient and friendly.</v>
      </c>
    </row>
    <row r="928" ht="15.75" customHeight="1">
      <c r="A928" s="3">
        <v>5.0</v>
      </c>
      <c r="B928" s="3" t="s">
        <v>2529</v>
      </c>
      <c r="C928" s="3" t="s">
        <v>2530</v>
      </c>
      <c r="D928" s="3" t="s">
        <v>37</v>
      </c>
      <c r="E928" s="3" t="s">
        <v>27</v>
      </c>
      <c r="F928" s="3" t="s">
        <v>15</v>
      </c>
      <c r="G928" s="3" t="s">
        <v>2531</v>
      </c>
      <c r="H928" s="3" t="s">
        <v>99</v>
      </c>
      <c r="I928" s="3" t="str">
        <f>IFERROR(__xludf.DUMMYFUNCTION("GOOGLETRANSLATE(C928,""fr"",""en"")"),"I am satisfied with this service and prices I would recommend this insurance to my friends, I hope that our collaboration will last for a few years.")</f>
        <v>I am satisfied with this service and prices I would recommend this insurance to my friends, I hope that our collaboration will last for a few years.</v>
      </c>
    </row>
    <row r="929" ht="15.75" customHeight="1">
      <c r="A929" s="3">
        <v>5.0</v>
      </c>
      <c r="B929" s="3" t="s">
        <v>2532</v>
      </c>
      <c r="C929" s="3" t="s">
        <v>2533</v>
      </c>
      <c r="D929" s="3" t="s">
        <v>37</v>
      </c>
      <c r="E929" s="3" t="s">
        <v>27</v>
      </c>
      <c r="F929" s="3" t="s">
        <v>15</v>
      </c>
      <c r="G929" s="3" t="s">
        <v>1650</v>
      </c>
      <c r="H929" s="3" t="s">
        <v>23</v>
      </c>
      <c r="I929" s="3" t="str">
        <f>IFERROR(__xludf.DUMMYFUNCTION("GOOGLETRANSLATE(C929,""fr"",""en"")"),"The prices suit me as well as the services offered.
The telephone advisor was very kind.")</f>
        <v>The prices suit me as well as the services offered.
The telephone advisor was very kind.</v>
      </c>
    </row>
    <row r="930" ht="15.75" customHeight="1">
      <c r="A930" s="3">
        <v>3.0</v>
      </c>
      <c r="B930" s="3" t="s">
        <v>2534</v>
      </c>
      <c r="C930" s="3" t="s">
        <v>2535</v>
      </c>
      <c r="D930" s="3" t="s">
        <v>670</v>
      </c>
      <c r="E930" s="3" t="s">
        <v>27</v>
      </c>
      <c r="F930" s="3" t="s">
        <v>15</v>
      </c>
      <c r="G930" s="3" t="s">
        <v>2536</v>
      </c>
      <c r="H930" s="3" t="s">
        <v>39</v>
      </c>
      <c r="I930" s="3" t="str">
        <f>IFERROR(__xludf.DUMMYFUNCTION("GOOGLETRANSLATE(C930,""fr"",""en"")"),"Intervention deleted at the request of the Internet user.")</f>
        <v>Intervention deleted at the request of the Internet user.</v>
      </c>
    </row>
    <row r="931" ht="15.75" customHeight="1">
      <c r="A931" s="3">
        <v>3.0</v>
      </c>
      <c r="B931" s="3" t="s">
        <v>2537</v>
      </c>
      <c r="C931" s="3" t="s">
        <v>2538</v>
      </c>
      <c r="D931" s="3" t="s">
        <v>373</v>
      </c>
      <c r="E931" s="3" t="s">
        <v>14</v>
      </c>
      <c r="F931" s="3" t="s">
        <v>15</v>
      </c>
      <c r="G931" s="3" t="s">
        <v>1068</v>
      </c>
      <c r="H931" s="3" t="s">
        <v>111</v>
      </c>
      <c r="I931" s="3" t="str">
        <f>IFERROR(__xludf.DUMMYFUNCTION("GOOGLETRANSLATE(C931,""fr"",""en"")"),"Do not reimburse without invoice but never to request an invoice, 2 without being completely reimbursed and since my dentist and in retirement impossible to have the invoices. Responds with disdain on the phone. Mandatory mutual too expensive for minimal "&amp;"reimbursements and lack of seriousness")</f>
        <v>Do not reimburse without invoice but never to request an invoice, 2 without being completely reimbursed and since my dentist and in retirement impossible to have the invoices. Responds with disdain on the phone. Mandatory mutual too expensive for minimal reimbursements and lack of seriousness</v>
      </c>
    </row>
    <row r="932" ht="15.75" customHeight="1">
      <c r="A932" s="3">
        <v>1.0</v>
      </c>
      <c r="B932" s="3" t="s">
        <v>2539</v>
      </c>
      <c r="C932" s="3" t="s">
        <v>2540</v>
      </c>
      <c r="D932" s="3" t="s">
        <v>53</v>
      </c>
      <c r="E932" s="3" t="s">
        <v>27</v>
      </c>
      <c r="F932" s="3" t="s">
        <v>15</v>
      </c>
      <c r="G932" s="3" t="s">
        <v>571</v>
      </c>
      <c r="H932" s="3" t="s">
        <v>58</v>
      </c>
      <c r="I932" s="3" t="str">
        <f>IFERROR(__xludf.DUMMYFUNCTION("GOOGLETRANSLATE(C932,""fr"",""en"")"),"Unjustified increases despite the growing bonus.
Obligation to use the phone for the situation, customers are taken for fools!")</f>
        <v>Unjustified increases despite the growing bonus.
Obligation to use the phone for the situation, customers are taken for fools!</v>
      </c>
    </row>
    <row r="933" ht="15.75" customHeight="1">
      <c r="A933" s="3">
        <v>2.0</v>
      </c>
      <c r="B933" s="3" t="s">
        <v>2541</v>
      </c>
      <c r="C933" s="3" t="s">
        <v>2542</v>
      </c>
      <c r="D933" s="3" t="s">
        <v>131</v>
      </c>
      <c r="E933" s="3" t="s">
        <v>27</v>
      </c>
      <c r="F933" s="3" t="s">
        <v>15</v>
      </c>
      <c r="G933" s="3" t="s">
        <v>2543</v>
      </c>
      <c r="H933" s="3" t="s">
        <v>69</v>
      </c>
      <c r="I933" s="3" t="str">
        <f>IFERROR(__xludf.DUMMYFUNCTION("GOOGLETRANSLATE(C933,""fr"",""en"")"),"Help bad faith !!!!
We have always been customers: cars, motorcycle. It only takes a hassle to question everything. As we often say, it is in adversity that we recognize his real friends.
The Matmut is clearly not a friend.
Our vehicle was voluntaril"&amp;"y burnt down by an unidentifiable person on the surveillance camera of a neighbor and we are treated as if that were our fault when we are the victims.
The car is dead, we no longer have a vehicle, we continue to pay the credit, we are always levied from"&amp;" the amount of the insurance, and we must go on vacation in three weeks. We will also have to buy a car that goes from either ... No effort is made !!!
First report, the expert validates an amount of reimbursement.
Then more news.
Worried we call reg"&amp;"ularly so that we are told that he returns to his expertise because of a misinterpretation of your neighbor's declaration.
No one has contacted us, we had to go fishing for information like asking our neighbors to copy their declaration to try to underst"&amp;"and and they themselves remain in the total misunderstanding of this reversal of situation.
We are asked to send the surveillance video by USB key:
1/ Insurance is not entitled to make this request, it was provided to the police but we are cooperative"&amp;"
2/ I had to get angry to be able to send a wetransfert link to avoid unnecessary costs as well as the loss during the transport of the USB support
On the one hand we want to get things done, on the other, we are still looking for excuses.
Our neig"&amp;"hbor indicated in his deposition ""My neighbor informed me that the driver's door of his vehicle was not closed because it had been forced before""
Explanation :
When I was awakened by the explosion of the horn, I saw out of the window that our car was "&amp;"on fire and that the driver's door was wide open and the window did not seem broken, my husband is quick to wake up Our neighbors so that they move their car parked next to it.
So yes the car door was open, that does not mean that it had not been locked "&amp;"the day before.
The incendiary A:
- be hooked the door to enter the car
-or maybe he had an electronic closure car tag,
- Or maybe I have seen the window badly, it was 4:20, the alarm clock was not the most pleasant, we know nothing about it.
If the "&amp;"car had already been forced before that night, as the expert wants to believe, we would have already filed a complaint and make the repairs. We don't leave a car open in the street !!!!!
In addition, we are very perplexed on the qualities of expertise be"&amp;"cause as indicated in the Matmut, the car closes automatically when we move away from it, the retros fall back the lights flash and a sound beep is heard, impossible that The car stayed open !!!
In the same way, it is impossible that a door is unlocked i"&amp;"n isolation since the opening is centralized.
If the door was already damaged, we could not close the other doors when they were, the expert confirmed it.
In three weeks, there was a car burnt down per week on the night of Saturday a Sunday still bet"&amp;"ween 4 a.m. and 5 a.m.….
The expert can also ask our 5 -year -old son who is completely traumatized, to explain the scene to him because in the rush, he was awake.
In short, the Matmut is very attentive when it comes to taking out insurance, in the"&amp;" event of a claim, provide prozac for nerve crises
Matmut, my sure value they say m d r
A lot of courage to operators")</f>
        <v>Help bad faith !!!!
We have always been customers: cars, motorcycle. It only takes a hassle to question everything. As we often say, it is in adversity that we recognize his real friends.
The Matmut is clearly not a friend.
Our vehicle was voluntarily burnt down by an unidentifiable person on the surveillance camera of a neighbor and we are treated as if that were our fault when we are the victims.
The car is dead, we no longer have a vehicle, we continue to pay the credit, we are always levied from the amount of the insurance, and we must go on vacation in three weeks. We will also have to buy a car that goes from either ... No effort is made !!!
First report, the expert validates an amount of reimbursement.
Then more news.
Worried we call regularly so that we are told that he returns to his expertise because of a misinterpretation of your neighbor's declaration.
No one has contacted us, we had to go fishing for information like asking our neighbors to copy their declaration to try to understand and they themselves remain in the total misunderstanding of this reversal of situation.
We are asked to send the surveillance video by USB key:
1/ Insurance is not entitled to make this request, it was provided to the police but we are cooperative
2/ I had to get angry to be able to send a wetransfert link to avoid unnecessary costs as well as the loss during the transport of the USB support
On the one hand we want to get things done, on the other, we are still looking for excuses.
Our neighbor indicated in his deposition "My neighbor informed me that the driver's door of his vehicle was not closed because it had been forced before"
Explanation :
When I was awakened by the explosion of the horn, I saw out of the window that our car was on fire and that the driver's door was wide open and the window did not seem broken, my husband is quick to wake up Our neighbors so that they move their car parked next to it.
So yes the car door was open, that does not mean that it had not been locked the day before.
The incendiary A:
- be hooked the door to enter the car
-or maybe he had an electronic closure car tag,
- Or maybe I have seen the window badly, it was 4:20, the alarm clock was not the most pleasant, we know nothing about it.
If the car had already been forced before that night, as the expert wants to believe, we would have already filed a complaint and make the repairs. We don't leave a car open in the street !!!!!
In addition, we are very perplexed on the qualities of expertise because as indicated in the Matmut, the car closes automatically when we move away from it, the retros fall back the lights flash and a sound beep is heard, impossible that The car stayed open !!!
In the same way, it is impossible that a door is unlocked in isolation since the opening is centralized.
If the door was already damaged, we could not close the other doors when they were, the expert confirmed it.
In three weeks, there was a car burnt down per week on the night of Saturday a Sunday still between 4 a.m. and 5 a.m.….
The expert can also ask our 5 -year -old son who is completely traumatized, to explain the scene to him because in the rush, he was awake.
In short, the Matmut is very attentive when it comes to taking out insurance, in the event of a claim, provide prozac for nerve crises
Matmut, my sure value they say m d r
A lot of courage to operators</v>
      </c>
    </row>
    <row r="934" ht="15.75" customHeight="1">
      <c r="A934" s="3">
        <v>5.0</v>
      </c>
      <c r="B934" s="3" t="s">
        <v>2544</v>
      </c>
      <c r="C934" s="3" t="s">
        <v>2545</v>
      </c>
      <c r="D934" s="3" t="s">
        <v>37</v>
      </c>
      <c r="E934" s="3" t="s">
        <v>27</v>
      </c>
      <c r="F934" s="3" t="s">
        <v>15</v>
      </c>
      <c r="G934" s="3" t="s">
        <v>1642</v>
      </c>
      <c r="H934" s="3" t="s">
        <v>72</v>
      </c>
      <c r="I934" s="3" t="str">
        <f>IFERROR(__xludf.DUMMYFUNCTION("GOOGLETRANSLATE(C934,""fr"",""en"")"),"I am very satisfied with customer service for the opening of my contract, listening, simple, very good advice and interesting prices. I recommend")</f>
        <v>I am very satisfied with customer service for the opening of my contract, listening, simple, very good advice and interesting prices. I recommend</v>
      </c>
    </row>
    <row r="935" ht="15.75" customHeight="1">
      <c r="A935" s="3">
        <v>2.0</v>
      </c>
      <c r="B935" s="3" t="s">
        <v>2546</v>
      </c>
      <c r="C935" s="3" t="s">
        <v>2547</v>
      </c>
      <c r="D935" s="3" t="s">
        <v>123</v>
      </c>
      <c r="E935" s="3" t="s">
        <v>27</v>
      </c>
      <c r="F935" s="3" t="s">
        <v>15</v>
      </c>
      <c r="G935" s="3" t="s">
        <v>2548</v>
      </c>
      <c r="H935" s="3" t="s">
        <v>733</v>
      </c>
      <c r="I935" s="3" t="str">
        <f>IFERROR(__xludf.DUMMYFUNCTION("GOOGLETRANSLATE(C935,""fr"",""en"")"),"Hello,
I would like to know why customers are responsible for the errors made by employees. A simple error in the file issue and more life bonuses")</f>
        <v>Hello,
I would like to know why customers are responsible for the errors made by employees. A simple error in the file issue and more life bonuses</v>
      </c>
    </row>
    <row r="936" ht="15.75" customHeight="1">
      <c r="A936" s="3">
        <v>3.0</v>
      </c>
      <c r="B936" s="3" t="s">
        <v>2549</v>
      </c>
      <c r="C936" s="3" t="s">
        <v>2550</v>
      </c>
      <c r="D936" s="3" t="s">
        <v>37</v>
      </c>
      <c r="E936" s="3" t="s">
        <v>27</v>
      </c>
      <c r="F936" s="3" t="s">
        <v>15</v>
      </c>
      <c r="G936" s="3" t="s">
        <v>721</v>
      </c>
      <c r="H936" s="3" t="s">
        <v>50</v>
      </c>
      <c r="I936" s="3" t="str">
        <f>IFERROR(__xludf.DUMMYFUNCTION("GOOGLETRANSLATE(C936,""fr"",""en"")"),"Very satisfied for all the services, thank you.
I will not fail to talk about it about me of your services.
Always continue in these procedures for better.")</f>
        <v>Very satisfied for all the services, thank you.
I will not fail to talk about it about me of your services.
Always continue in these procedures for better.</v>
      </c>
    </row>
    <row r="937" ht="15.75" customHeight="1">
      <c r="A937" s="3">
        <v>4.0</v>
      </c>
      <c r="B937" s="3" t="s">
        <v>2551</v>
      </c>
      <c r="C937" s="3" t="s">
        <v>2552</v>
      </c>
      <c r="D937" s="3" t="s">
        <v>327</v>
      </c>
      <c r="E937" s="3" t="s">
        <v>76</v>
      </c>
      <c r="F937" s="3" t="s">
        <v>15</v>
      </c>
      <c r="G937" s="3" t="s">
        <v>258</v>
      </c>
      <c r="H937" s="3" t="s">
        <v>50</v>
      </c>
      <c r="I937" s="3" t="str">
        <f>IFERROR(__xludf.DUMMYFUNCTION("GOOGLETRANSLATE(C937,""fr"",""en"")"),"This multi -risk Pacifica home is a little more expensive than other insurers but the guarantees are by far very superior.
I had two claims in a slippery year and I can only say perfect: welcome, after -sales service, care ... etc ...")</f>
        <v>This multi -risk Pacifica home is a little more expensive than other insurers but the guarantees are by far very superior.
I had two claims in a slippery year and I can only say perfect: welcome, after -sales service, care ... etc ...</v>
      </c>
    </row>
    <row r="938" ht="15.75" customHeight="1">
      <c r="A938" s="3">
        <v>5.0</v>
      </c>
      <c r="B938" s="3" t="s">
        <v>2553</v>
      </c>
      <c r="C938" s="3" t="s">
        <v>2554</v>
      </c>
      <c r="D938" s="3" t="s">
        <v>53</v>
      </c>
      <c r="E938" s="3" t="s">
        <v>27</v>
      </c>
      <c r="F938" s="3" t="s">
        <v>15</v>
      </c>
      <c r="G938" s="3" t="s">
        <v>1279</v>
      </c>
      <c r="H938" s="3" t="s">
        <v>23</v>
      </c>
      <c r="I938" s="3" t="str">
        <f>IFERROR(__xludf.DUMMYFUNCTION("GOOGLETRANSLATE(C938,""fr"",""en"")"),"I am very happy with the speed of taking charge of the requests and the reception.
I am very happy with the prices that have been offered to us
I would recommend those around me with great pleasure.
Thank you very much and well done
")</f>
        <v>I am very happy with the speed of taking charge of the requests and the reception.
I am very happy with the prices that have been offered to us
I would recommend those around me with great pleasure.
Thank you very much and well done
</v>
      </c>
    </row>
    <row r="939" ht="15.75" customHeight="1">
      <c r="A939" s="3">
        <v>2.0</v>
      </c>
      <c r="B939" s="3" t="s">
        <v>2555</v>
      </c>
      <c r="C939" s="3" t="s">
        <v>2556</v>
      </c>
      <c r="D939" s="3" t="s">
        <v>670</v>
      </c>
      <c r="E939" s="3" t="s">
        <v>27</v>
      </c>
      <c r="F939" s="3" t="s">
        <v>15</v>
      </c>
      <c r="G939" s="3" t="s">
        <v>824</v>
      </c>
      <c r="H939" s="3" t="s">
        <v>205</v>
      </c>
      <c r="I939" s="3" t="str">
        <f>IFERROR(__xludf.DUMMYFUNCTION("GOOGLETRANSLATE(C939,""fr"",""en"")"),"After several years spent at Eurofil, 2 non -responsible claims, I recently communicated to them a change of address in the same city and the surprise! 40% increase, just incomprehensible!
At Eurofil, we mutualize losses and take people for idiots!
What"&amp;" is the point of having 50% bonuses?
To flee!")</f>
        <v>After several years spent at Eurofil, 2 non -responsible claims, I recently communicated to them a change of address in the same city and the surprise! 40% increase, just incomprehensible!
At Eurofil, we mutualize losses and take people for idiots!
What is the point of having 50% bonuses?
To flee!</v>
      </c>
    </row>
    <row r="940" ht="15.75" customHeight="1">
      <c r="A940" s="3">
        <v>1.0</v>
      </c>
      <c r="B940" s="3" t="s">
        <v>2557</v>
      </c>
      <c r="C940" s="3" t="s">
        <v>2558</v>
      </c>
      <c r="D940" s="3" t="s">
        <v>53</v>
      </c>
      <c r="E940" s="3" t="s">
        <v>27</v>
      </c>
      <c r="F940" s="3" t="s">
        <v>15</v>
      </c>
      <c r="G940" s="3" t="s">
        <v>1191</v>
      </c>
      <c r="H940" s="3" t="s">
        <v>72</v>
      </c>
      <c r="I940" s="3" t="str">
        <f>IFERROR(__xludf.DUMMYFUNCTION("GOOGLETRANSLATE(C940,""fr"",""en"")"),"Insurance of worse in worse, quality of mediocre service, prices up one year to another, in short, I would no longer take out a direct insurance")</f>
        <v>Insurance of worse in worse, quality of mediocre service, prices up one year to another, in short, I would no longer take out a direct insurance</v>
      </c>
    </row>
    <row r="941" ht="15.75" customHeight="1">
      <c r="A941" s="3">
        <v>2.0</v>
      </c>
      <c r="B941" s="3" t="s">
        <v>2559</v>
      </c>
      <c r="C941" s="3" t="s">
        <v>2560</v>
      </c>
      <c r="D941" s="3" t="s">
        <v>26</v>
      </c>
      <c r="E941" s="3" t="s">
        <v>76</v>
      </c>
      <c r="F941" s="3" t="s">
        <v>15</v>
      </c>
      <c r="G941" s="3" t="s">
        <v>2561</v>
      </c>
      <c r="H941" s="3" t="s">
        <v>322</v>
      </c>
      <c r="I941" s="3" t="str">
        <f>IFERROR(__xludf.DUMMYFUNCTION("GOOGLETRANSLATE(C941,""fr"",""en"")"),"Insurance can be reliable 1 sinister for water damage following a pipe which has jumped 3 months to pass an ECT expert and 2 weeks later I receive a letter which tells us which puts an end to the anniversary contract.")</f>
        <v>Insurance can be reliable 1 sinister for water damage following a pipe which has jumped 3 months to pass an ECT expert and 2 weeks later I receive a letter which tells us which puts an end to the anniversary contract.</v>
      </c>
    </row>
    <row r="942" ht="15.75" customHeight="1">
      <c r="A942" s="3">
        <v>5.0</v>
      </c>
      <c r="B942" s="3" t="s">
        <v>2562</v>
      </c>
      <c r="C942" s="3" t="s">
        <v>2563</v>
      </c>
      <c r="D942" s="3" t="s">
        <v>37</v>
      </c>
      <c r="E942" s="3" t="s">
        <v>27</v>
      </c>
      <c r="F942" s="3" t="s">
        <v>15</v>
      </c>
      <c r="G942" s="3" t="s">
        <v>992</v>
      </c>
      <c r="H942" s="3" t="s">
        <v>23</v>
      </c>
      <c r="I942" s="3" t="str">
        <f>IFERROR(__xludf.DUMMYFUNCTION("GOOGLETRANSLATE(C942,""fr"",""en"")"),"I am delighted at the moment of your services. Staff listening to my requests and patients to answer me.
Thank you for that.
Cordially,
MADAME PATTÉ")</f>
        <v>I am delighted at the moment of your services. Staff listening to my requests and patients to answer me.
Thank you for that.
Cordially,
MADAME PATTÉ</v>
      </c>
    </row>
    <row r="943" ht="15.75" customHeight="1">
      <c r="A943" s="3">
        <v>5.0</v>
      </c>
      <c r="B943" s="3" t="s">
        <v>2564</v>
      </c>
      <c r="C943" s="3" t="s">
        <v>2565</v>
      </c>
      <c r="D943" s="3" t="s">
        <v>53</v>
      </c>
      <c r="E943" s="3" t="s">
        <v>27</v>
      </c>
      <c r="F943" s="3" t="s">
        <v>15</v>
      </c>
      <c r="G943" s="3" t="s">
        <v>1631</v>
      </c>
      <c r="H943" s="3" t="s">
        <v>29</v>
      </c>
      <c r="I943" s="3" t="str">
        <f>IFERROR(__xludf.DUMMYFUNCTION("GOOGLETRANSLATE(C943,""fr"",""en"")"),"Simple and effective, it was the only insurance that knew how to offer me inexpensive insurance as a young license. I recommend direct insurance without worries")</f>
        <v>Simple and effective, it was the only insurance that knew how to offer me inexpensive insurance as a young license. I recommend direct insurance without worries</v>
      </c>
    </row>
    <row r="944" ht="15.75" customHeight="1">
      <c r="A944" s="3">
        <v>2.0</v>
      </c>
      <c r="B944" s="3" t="s">
        <v>2566</v>
      </c>
      <c r="C944" s="3" t="s">
        <v>2567</v>
      </c>
      <c r="D944" s="3" t="s">
        <v>37</v>
      </c>
      <c r="E944" s="3" t="s">
        <v>27</v>
      </c>
      <c r="F944" s="3" t="s">
        <v>15</v>
      </c>
      <c r="G944" s="3" t="s">
        <v>2568</v>
      </c>
      <c r="H944" s="3" t="s">
        <v>604</v>
      </c>
      <c r="I944" s="3" t="str">
        <f>IFERROR(__xludf.DUMMYFUNCTION("GOOGLETRANSLATE(C944,""fr"",""en"")"),"Insured for 2 years for my secondary vehicle, I sold the vehicle in November 2017, and terminated the insurance contract in stride, termination confirmed by email. But the olive tree has not stopped the samples, and today turns deaf ear, whether by email "&amp;"or by phone. I fear having to launch prosecution to obtain termination and reimbursements.
Extremely a shame that it ends thus, I was rather satisfied before this story of termination.")</f>
        <v>Insured for 2 years for my secondary vehicle, I sold the vehicle in November 2017, and terminated the insurance contract in stride, termination confirmed by email. But the olive tree has not stopped the samples, and today turns deaf ear, whether by email or by phone. I fear having to launch prosecution to obtain termination and reimbursements.
Extremely a shame that it ends thus, I was rather satisfied before this story of termination.</v>
      </c>
    </row>
    <row r="945" ht="15.75" customHeight="1">
      <c r="A945" s="3">
        <v>5.0</v>
      </c>
      <c r="B945" s="3" t="s">
        <v>2569</v>
      </c>
      <c r="C945" s="3" t="s">
        <v>2570</v>
      </c>
      <c r="D945" s="3" t="s">
        <v>13</v>
      </c>
      <c r="E945" s="3" t="s">
        <v>14</v>
      </c>
      <c r="F945" s="3" t="s">
        <v>15</v>
      </c>
      <c r="G945" s="3" t="s">
        <v>1167</v>
      </c>
      <c r="H945" s="3" t="s">
        <v>23</v>
      </c>
      <c r="I945" s="3" t="str">
        <f>IFERROR(__xludf.DUMMYFUNCTION("GOOGLETRANSLATE(C945,""fr"",""en"")"),"Very good interlocutor, to quote it, Dora, very clear and operational explanations. This person helps me connect to my customer area when I couldn't, thank you Dora")</f>
        <v>Very good interlocutor, to quote it, Dora, very clear and operational explanations. This person helps me connect to my customer area when I couldn't, thank you Dora</v>
      </c>
    </row>
    <row r="946" ht="15.75" customHeight="1">
      <c r="A946" s="3">
        <v>2.0</v>
      </c>
      <c r="B946" s="3" t="s">
        <v>2571</v>
      </c>
      <c r="C946" s="3" t="s">
        <v>2572</v>
      </c>
      <c r="D946" s="3" t="s">
        <v>628</v>
      </c>
      <c r="E946" s="3" t="s">
        <v>21</v>
      </c>
      <c r="F946" s="3" t="s">
        <v>15</v>
      </c>
      <c r="G946" s="3" t="s">
        <v>2573</v>
      </c>
      <c r="H946" s="3" t="s">
        <v>486</v>
      </c>
      <c r="I946" s="3" t="str">
        <f>IFERROR(__xludf.DUMMYFUNCTION("GOOGLETRANSLATE(C946,""fr"",""en"")"),"In his times of coronavirus, confined to the house with 2 children in charge therefore in sick leave for social security to keep them my 2 children (my wife is one of the people care about these patients). Swisslife tells me that this type of sick leave, "&amp;"is not covered by my provident insurance that I have subscribed in the event of sick leave! We walk on the head at Swisslife! Only one thing to say you are wind seller!")</f>
        <v>In his times of coronavirus, confined to the house with 2 children in charge therefore in sick leave for social security to keep them my 2 children (my wife is one of the people care about these patients). Swisslife tells me that this type of sick leave, is not covered by my provident insurance that I have subscribed in the event of sick leave! We walk on the head at Swisslife! Only one thing to say you are wind seller!</v>
      </c>
    </row>
    <row r="947" ht="15.75" customHeight="1">
      <c r="A947" s="3">
        <v>5.0</v>
      </c>
      <c r="B947" s="3" t="s">
        <v>2574</v>
      </c>
      <c r="C947" s="3" t="s">
        <v>2575</v>
      </c>
      <c r="D947" s="3" t="s">
        <v>61</v>
      </c>
      <c r="E947" s="3" t="s">
        <v>14</v>
      </c>
      <c r="F947" s="3" t="s">
        <v>15</v>
      </c>
      <c r="G947" s="3" t="s">
        <v>1973</v>
      </c>
      <c r="H947" s="3" t="s">
        <v>316</v>
      </c>
      <c r="I947" s="3" t="str">
        <f>IFERROR(__xludf.DUMMYFUNCTION("GOOGLETRANSLATE(C947,""fr"",""en"")"),"My interlocutor was very clear and respectful. He was precise. Mutual seems suitable for me and customer service has a response to each request.")</f>
        <v>My interlocutor was very clear and respectful. He was precise. Mutual seems suitable for me and customer service has a response to each request.</v>
      </c>
    </row>
    <row r="948" ht="15.75" customHeight="1">
      <c r="A948" s="3">
        <v>1.0</v>
      </c>
      <c r="B948" s="3" t="s">
        <v>2576</v>
      </c>
      <c r="C948" s="3" t="s">
        <v>2577</v>
      </c>
      <c r="D948" s="3" t="s">
        <v>123</v>
      </c>
      <c r="E948" s="3" t="s">
        <v>27</v>
      </c>
      <c r="F948" s="3" t="s">
        <v>15</v>
      </c>
      <c r="G948" s="3" t="s">
        <v>833</v>
      </c>
      <c r="H948" s="3" t="s">
        <v>382</v>
      </c>
      <c r="I948" s="3" t="str">
        <f>IFERROR(__xludf.DUMMYFUNCTION("GOOGLETRANSLATE(C948,""fr"",""en"")"),"Hello assured at home following a change of vehicle I ask for a quote for a Seat Ibiza 150 CV new this one suits me so I do not care anymore knowing that I work at night the very afternoon of the purchase of the purchase He does not tell me being able to "&amp;"ensure this type of vehicle when I received the quote by email and mail and in addition they have the cul to tell me that if I take a second insurance it could unlock the extraordinary thing !!!! MAFF insurance count on me to advertise you on your blackma"&amp;"il methods")</f>
        <v>Hello assured at home following a change of vehicle I ask for a quote for a Seat Ibiza 150 CV new this one suits me so I do not care anymore knowing that I work at night the very afternoon of the purchase of the purchase He does not tell me being able to ensure this type of vehicle when I received the quote by email and mail and in addition they have the cul to tell me that if I take a second insurance it could unlock the extraordinary thing !!!! MAFF insurance count on me to advertise you on your blackmail methods</v>
      </c>
    </row>
    <row r="949" ht="15.75" customHeight="1">
      <c r="A949" s="3">
        <v>4.0</v>
      </c>
      <c r="B949" s="3" t="s">
        <v>2578</v>
      </c>
      <c r="C949" s="3" t="s">
        <v>2579</v>
      </c>
      <c r="D949" s="3" t="s">
        <v>53</v>
      </c>
      <c r="E949" s="3" t="s">
        <v>27</v>
      </c>
      <c r="F949" s="3" t="s">
        <v>15</v>
      </c>
      <c r="G949" s="3" t="s">
        <v>926</v>
      </c>
      <c r="H949" s="3" t="s">
        <v>58</v>
      </c>
      <c r="I949" s="3" t="str">
        <f>IFERROR(__xludf.DUMMYFUNCTION("GOOGLETRANSLATE(C949,""fr"",""en"")"),"Overall satisfied. On the other hand I cannot access the special conditions on the website, in particular on the conditions for assistance; They are not there")</f>
        <v>Overall satisfied. On the other hand I cannot access the special conditions on the website, in particular on the conditions for assistance; They are not there</v>
      </c>
    </row>
    <row r="950" ht="15.75" customHeight="1">
      <c r="A950" s="3">
        <v>1.0</v>
      </c>
      <c r="B950" s="3" t="s">
        <v>2580</v>
      </c>
      <c r="C950" s="3" t="s">
        <v>2581</v>
      </c>
      <c r="D950" s="3" t="s">
        <v>373</v>
      </c>
      <c r="E950" s="3" t="s">
        <v>14</v>
      </c>
      <c r="F950" s="3" t="s">
        <v>15</v>
      </c>
      <c r="G950" s="3" t="s">
        <v>1803</v>
      </c>
      <c r="H950" s="3" t="s">
        <v>23</v>
      </c>
      <c r="I950" s="3" t="str">
        <f>IFERROR(__xludf.DUMMYFUNCTION("GOOGLETRANSLATE(C950,""fr"",""en"")"),"Horrible!! I work at Lidl and I have no refund but it has levied 100 but still no refund in 4 months of waiting and I cannot leave the bah unless I leave my work")</f>
        <v>Horrible!! I work at Lidl and I have no refund but it has levied 100 but still no refund in 4 months of waiting and I cannot leave the bah unless I leave my work</v>
      </c>
    </row>
    <row r="951" ht="15.75" customHeight="1">
      <c r="A951" s="3">
        <v>3.0</v>
      </c>
      <c r="B951" s="3" t="s">
        <v>2582</v>
      </c>
      <c r="C951" s="3" t="s">
        <v>2583</v>
      </c>
      <c r="D951" s="3" t="s">
        <v>157</v>
      </c>
      <c r="E951" s="3" t="s">
        <v>14</v>
      </c>
      <c r="F951" s="3" t="s">
        <v>15</v>
      </c>
      <c r="G951" s="3" t="s">
        <v>1811</v>
      </c>
      <c r="H951" s="3" t="s">
        <v>17</v>
      </c>
      <c r="I951" s="3" t="str">
        <f>IFERROR(__xludf.DUMMYFUNCTION("GOOGLETRANSLATE(C951,""fr"",""en"")"),"Good alternative medicine package but it should be able to increase it because the expenses are increasingly important in alternative medicine.
Insufficient optical package: very very important correction = excluding ""grids"" for glasses in opticians")</f>
        <v>Good alternative medicine package but it should be able to increase it because the expenses are increasingly important in alternative medicine.
Insufficient optical package: very very important correction = excluding "grids" for glasses in opticians</v>
      </c>
    </row>
    <row r="952" ht="15.75" customHeight="1">
      <c r="A952" s="3">
        <v>1.0</v>
      </c>
      <c r="B952" s="3" t="s">
        <v>2584</v>
      </c>
      <c r="C952" s="3" t="s">
        <v>2585</v>
      </c>
      <c r="D952" s="3" t="s">
        <v>75</v>
      </c>
      <c r="E952" s="3" t="s">
        <v>27</v>
      </c>
      <c r="F952" s="3" t="s">
        <v>15</v>
      </c>
      <c r="G952" s="3" t="s">
        <v>2586</v>
      </c>
      <c r="H952" s="3" t="s">
        <v>159</v>
      </c>
      <c r="I952" s="3" t="str">
        <f>IFERROR(__xludf.DUMMYFUNCTION("GOOGLETRANSLATE(C952,""fr"",""en"")"),"Beware, incompetent, sends email they never answer, or on the phone, when I managed to have someone after a week (I am not exaggerating) and after several minutes 'I am answered, the advisor puts me on hold for 20 min and what had to happen happened, all "&amp;"our advisers are online and paf we hang up on the nose, pity flee until there is time.")</f>
        <v>Beware, incompetent, sends email they never answer, or on the phone, when I managed to have someone after a week (I am not exaggerating) and after several minutes 'I am answered, the advisor puts me on hold for 20 min and what had to happen happened, all our advisers are online and paf we hang up on the nose, pity flee until there is time.</v>
      </c>
    </row>
    <row r="953" ht="15.75" customHeight="1">
      <c r="A953" s="3">
        <v>1.0</v>
      </c>
      <c r="B953" s="3" t="s">
        <v>2587</v>
      </c>
      <c r="C953" s="3" t="s">
        <v>2588</v>
      </c>
      <c r="D953" s="3" t="s">
        <v>108</v>
      </c>
      <c r="E953" s="3" t="s">
        <v>27</v>
      </c>
      <c r="F953" s="3" t="s">
        <v>15</v>
      </c>
      <c r="G953" s="3" t="s">
        <v>2589</v>
      </c>
      <c r="H953" s="3" t="s">
        <v>655</v>
      </c>
      <c r="I953" s="3" t="str">
        <f>IFERROR(__xludf.DUMMYFUNCTION("GOOGLETRANSLATE(C953,""fr"",""en"")"),"The broker transferred my file to another broker without my sign with him no commitment and in addition he decreased the bonus and continued to take samples despite that I protested at the start but after I was obliged to terminate the contract and oppose"&amp;" the monthly samples.
Before, there was automatic renewal. Then the Chatel law, a real blessing for the insured, forced insurers to warn them of their annual right to the termination of a contract.
The Hamon law will bring even more freedom for the insu"&amp;"red: after a year of subscription of auto, motorcycle or home insurance, it will be free to terminate his contract when he wishes.")</f>
        <v>The broker transferred my file to another broker without my sign with him no commitment and in addition he decreased the bonus and continued to take samples despite that I protested at the start but after I was obliged to terminate the contract and oppose the monthly samples.
Before, there was automatic renewal. Then the Chatel law, a real blessing for the insured, forced insurers to warn them of their annual right to the termination of a contract.
The Hamon law will bring even more freedom for the insured: after a year of subscription of auto, motorcycle or home insurance, it will be free to terminate his contract when he wishes.</v>
      </c>
    </row>
    <row r="954" ht="15.75" customHeight="1">
      <c r="A954" s="3">
        <v>1.0</v>
      </c>
      <c r="B954" s="3" t="s">
        <v>2590</v>
      </c>
      <c r="C954" s="3" t="s">
        <v>2591</v>
      </c>
      <c r="D954" s="3" t="s">
        <v>228</v>
      </c>
      <c r="E954" s="3" t="s">
        <v>14</v>
      </c>
      <c r="F954" s="3" t="s">
        <v>15</v>
      </c>
      <c r="G954" s="3" t="s">
        <v>158</v>
      </c>
      <c r="H954" s="3" t="s">
        <v>159</v>
      </c>
      <c r="I954" s="3" t="str">
        <f>IFERROR(__xludf.DUMMYFUNCTION("GOOGLETRANSLATE(C954,""fr"",""en"")"),"I gave birth on July 27, we are on October 21 and my child is still not covered by harmony ... I pay the rest for the current care and pray so that it is not a problem of health requiring hospitalization. The person who takes care of my file no longer giv"&amp;"es me a sign of life and no longer reminds me ... I strongly advise against! As long as you don't ask for anything too complicated it will go.")</f>
        <v>I gave birth on July 27, we are on October 21 and my child is still not covered by harmony ... I pay the rest for the current care and pray so that it is not a problem of health requiring hospitalization. The person who takes care of my file no longer gives me a sign of life and no longer reminds me ... I strongly advise against! As long as you don't ask for anything too complicated it will go.</v>
      </c>
    </row>
    <row r="955" ht="15.75" customHeight="1">
      <c r="A955" s="3">
        <v>4.0</v>
      </c>
      <c r="B955" s="3" t="s">
        <v>2592</v>
      </c>
      <c r="C955" s="3" t="s">
        <v>2593</v>
      </c>
      <c r="D955" s="3" t="s">
        <v>13</v>
      </c>
      <c r="E955" s="3" t="s">
        <v>14</v>
      </c>
      <c r="F955" s="3" t="s">
        <v>15</v>
      </c>
      <c r="G955" s="3" t="s">
        <v>2594</v>
      </c>
      <c r="H955" s="3" t="s">
        <v>1854</v>
      </c>
      <c r="I955" s="3" t="str">
        <f>IFERROR(__xludf.DUMMYFUNCTION("GOOGLETRANSLATE(C955,""fr"",""en"")"),"I have long been client Neoliane and very satisfied for a long time I would not change and I have always been well received and I had an answer to my requests")</f>
        <v>I have long been client Neoliane and very satisfied for a long time I would not change and I have always been well received and I had an answer to my requests</v>
      </c>
    </row>
    <row r="956" ht="15.75" customHeight="1">
      <c r="A956" s="3">
        <v>1.0</v>
      </c>
      <c r="B956" s="3" t="s">
        <v>2595</v>
      </c>
      <c r="C956" s="3" t="s">
        <v>2596</v>
      </c>
      <c r="D956" s="3" t="s">
        <v>85</v>
      </c>
      <c r="E956" s="3" t="s">
        <v>27</v>
      </c>
      <c r="F956" s="3" t="s">
        <v>15</v>
      </c>
      <c r="G956" s="3" t="s">
        <v>261</v>
      </c>
      <c r="H956" s="3" t="s">
        <v>262</v>
      </c>
      <c r="I956" s="3" t="str">
        <f>IFERROR(__xludf.DUMMYFUNCTION("GOOGLETRANSLATE(C956,""fr"",""en"")"),"Contract made on 09/18/2018 Payment 2 months ahead of September in September early October to July that makes 10 sets or a total of 12 months normally it must not have a set to August but you make the ear New contract which normally must be in September, "&amp;"at this JPUR you owe me the sum of 53.10, without response from you I transmit all the documents to 50 million consumers of which I am a member.
Deplus I was made to you an email on July 22 and August 08 always without response")</f>
        <v>Contract made on 09/18/2018 Payment 2 months ahead of September in September early October to July that makes 10 sets or a total of 12 months normally it must not have a set to August but you make the ear New contract which normally must be in September, at this JPUR you owe me the sum of 53.10, without response from you I transmit all the documents to 50 million consumers of which I am a member.
Deplus I was made to you an email on July 22 and August 08 always without response</v>
      </c>
    </row>
    <row r="957" ht="15.75" customHeight="1">
      <c r="A957" s="3">
        <v>5.0</v>
      </c>
      <c r="B957" s="3" t="s">
        <v>2597</v>
      </c>
      <c r="C957" s="3" t="s">
        <v>2598</v>
      </c>
      <c r="D957" s="3" t="s">
        <v>53</v>
      </c>
      <c r="E957" s="3" t="s">
        <v>27</v>
      </c>
      <c r="F957" s="3" t="s">
        <v>15</v>
      </c>
      <c r="G957" s="3" t="s">
        <v>1289</v>
      </c>
      <c r="H957" s="3" t="s">
        <v>50</v>
      </c>
      <c r="I957" s="3" t="str">
        <f>IFERROR(__xludf.DUMMYFUNCTION("GOOGLETRANSLATE(C957,""fr"",""en"")"),"Perfect I am very satisfied with the services of Direct Insurance The people we have on the phone are always very responsive and effective thank you")</f>
        <v>Perfect I am very satisfied with the services of Direct Insurance The people we have on the phone are always very responsive and effective thank you</v>
      </c>
    </row>
    <row r="958" ht="15.75" customHeight="1">
      <c r="A958" s="3">
        <v>1.0</v>
      </c>
      <c r="B958" s="3" t="s">
        <v>2599</v>
      </c>
      <c r="C958" s="3" t="s">
        <v>2600</v>
      </c>
      <c r="D958" s="3" t="s">
        <v>247</v>
      </c>
      <c r="E958" s="3" t="s">
        <v>109</v>
      </c>
      <c r="F958" s="3" t="s">
        <v>15</v>
      </c>
      <c r="G958" s="3" t="s">
        <v>1243</v>
      </c>
      <c r="H958" s="3" t="s">
        <v>58</v>
      </c>
      <c r="I958" s="3" t="str">
        <f>IFERROR(__xludf.DUMMYFUNCTION("GOOGLETRANSLATE(C958,""fr"",""en"")"),"If I could put O star !!!!
I made a partial withdrawal request on evening March 16 - under treatment only on March 18, and still in progress on March 22 !!!! It is not only my cash but also an emergency !!! FYI, my active contract is in Euro support, so "&amp;"no pretext for ""resale"" of shares. Once the treatment is done, you will still have to wait for the transfer !!!!!!!! No possibility to reach them (whether by phone or chat). I therefore plan to make a partial withdrawal each year up to a balance at 0 € "&amp;".......
")</f>
        <v>If I could put O star !!!!
I made a partial withdrawal request on evening March 16 - under treatment only on March 18, and still in progress on March 22 !!!! It is not only my cash but also an emergency !!! FYI, my active contract is in Euro support, so no pretext for "resale" of shares. Once the treatment is done, you will still have to wait for the transfer !!!!!!!! No possibility to reach them (whether by phone or chat). I therefore plan to make a partial withdrawal each year up to a balance at 0 € .......
</v>
      </c>
    </row>
    <row r="959" ht="15.75" customHeight="1">
      <c r="A959" s="3">
        <v>2.0</v>
      </c>
      <c r="B959" s="3" t="s">
        <v>2601</v>
      </c>
      <c r="C959" s="3" t="s">
        <v>2602</v>
      </c>
      <c r="D959" s="3" t="s">
        <v>53</v>
      </c>
      <c r="E959" s="3" t="s">
        <v>27</v>
      </c>
      <c r="F959" s="3" t="s">
        <v>15</v>
      </c>
      <c r="G959" s="3" t="s">
        <v>1251</v>
      </c>
      <c r="H959" s="3" t="s">
        <v>1252</v>
      </c>
      <c r="I959" s="3" t="str">
        <f>IFERROR(__xludf.DUMMYFUNCTION("GOOGLETRANSLATE(C959,""fr"",""en"")"),"Very unhappy
4 numbers of 4 services, never the same person. Not serious. Tell you having done when it is not done. So I have to pay security fees for my vehicle when I called the day after the loss.
Say recalled on Saturday but don't do it (obviously. "&amp;"They don't work on Saturday)
And if you want to know the passage of the expert, I thought that I would be informed and well no, it's up to me to call and to the right number of course ....
So insurance that is useless.
I will only stay there for")</f>
        <v>Very unhappy
4 numbers of 4 services, never the same person. Not serious. Tell you having done when it is not done. So I have to pay security fees for my vehicle when I called the day after the loss.
Say recalled on Saturday but don't do it (obviously. They don't work on Saturday)
And if you want to know the passage of the expert, I thought that I would be informed and well no, it's up to me to call and to the right number of course ....
So insurance that is useless.
I will only stay there for</v>
      </c>
    </row>
    <row r="960" ht="15.75" customHeight="1">
      <c r="A960" s="3">
        <v>2.0</v>
      </c>
      <c r="B960" s="3" t="s">
        <v>2603</v>
      </c>
      <c r="C960" s="3" t="s">
        <v>2604</v>
      </c>
      <c r="D960" s="3" t="s">
        <v>26</v>
      </c>
      <c r="E960" s="3" t="s">
        <v>27</v>
      </c>
      <c r="F960" s="3" t="s">
        <v>15</v>
      </c>
      <c r="G960" s="3" t="s">
        <v>2605</v>
      </c>
      <c r="H960" s="3" t="s">
        <v>401</v>
      </c>
      <c r="I960" s="3" t="str">
        <f>IFERROR(__xludf.DUMMYFUNCTION("GOOGLETRANSLATE(C960,""fr"",""en"")"),"The GMF will terminate my automatic contract. I am criticized for having declared too many claims: 3 in total since I was a member (2016), of which only one manager !!! It is to die of laughter.")</f>
        <v>The GMF will terminate my automatic contract. I am criticized for having declared too many claims: 3 in total since I was a member (2016), of which only one manager !!! It is to die of laughter.</v>
      </c>
    </row>
    <row r="961" ht="15.75" customHeight="1">
      <c r="A961" s="3">
        <v>5.0</v>
      </c>
      <c r="B961" s="3" t="s">
        <v>2606</v>
      </c>
      <c r="C961" s="3" t="s">
        <v>2607</v>
      </c>
      <c r="D961" s="3" t="s">
        <v>57</v>
      </c>
      <c r="E961" s="3" t="s">
        <v>14</v>
      </c>
      <c r="F961" s="3" t="s">
        <v>15</v>
      </c>
      <c r="G961" s="3" t="s">
        <v>2608</v>
      </c>
      <c r="H961" s="3" t="s">
        <v>1252</v>
      </c>
      <c r="I961" s="3" t="str">
        <f>IFERROR(__xludf.DUMMYFUNCTION("GOOGLETRANSLATE(C961,""fr"",""en"")"),"Very good agent who knew how to answer my questions and wait very responsive and listening thank you for your kindness
Cordially
Ms. Simoens Esther")</f>
        <v>Very good agent who knew how to answer my questions and wait very responsive and listening thank you for your kindness
Cordially
Ms. Simoens Esther</v>
      </c>
    </row>
    <row r="962" ht="15.75" customHeight="1">
      <c r="A962" s="3">
        <v>5.0</v>
      </c>
      <c r="B962" s="3" t="s">
        <v>2609</v>
      </c>
      <c r="C962" s="3" t="s">
        <v>2610</v>
      </c>
      <c r="D962" s="3" t="s">
        <v>53</v>
      </c>
      <c r="E962" s="3" t="s">
        <v>27</v>
      </c>
      <c r="F962" s="3" t="s">
        <v>15</v>
      </c>
      <c r="G962" s="3" t="s">
        <v>1402</v>
      </c>
      <c r="H962" s="3" t="s">
        <v>29</v>
      </c>
      <c r="I962" s="3" t="str">
        <f>IFERROR(__xludf.DUMMYFUNCTION("GOOGLETRANSLATE(C962,""fr"",""en"")"),"Very well. Very competitive rates, a well -made and very clear customer interface. I remain a customer attached to your company and I hope you have planned advantages for good customers!")</f>
        <v>Very well. Very competitive rates, a well -made and very clear customer interface. I remain a customer attached to your company and I hope you have planned advantages for good customers!</v>
      </c>
    </row>
    <row r="963" ht="15.75" customHeight="1">
      <c r="A963" s="3">
        <v>1.0</v>
      </c>
      <c r="B963" s="3" t="s">
        <v>2611</v>
      </c>
      <c r="C963" s="3" t="s">
        <v>2612</v>
      </c>
      <c r="D963" s="3" t="s">
        <v>37</v>
      </c>
      <c r="E963" s="3" t="s">
        <v>27</v>
      </c>
      <c r="F963" s="3" t="s">
        <v>15</v>
      </c>
      <c r="G963" s="3" t="s">
        <v>855</v>
      </c>
      <c r="H963" s="3" t="s">
        <v>50</v>
      </c>
      <c r="I963" s="3" t="str">
        <f>IFERROR(__xludf.DUMMYFUNCTION("GOOGLETRANSLATE(C963,""fr"",""en"")"),"Greeting with confidence with any risk.
We have been waiting for the reimbursement of our ice in ice for almost a month. The olive tree still does not reimburse because Porsche does not communicate a windshield delivery voucher, it is true that it is the"&amp;" responsibility of the customer. They were warned of the claim in the rules, they have the paid invoice, the credit card payment ticket (compulsory for them in addition to the paid invoice otherwise no refund). You request unnecessary documents and that a"&amp;"ny other car insurance never asks to discourage the refund be. I spend more than 5,000 euros in car insurance at home each year through two contracts. The subscription is easy but for reimbursement, we feel that this insurance does not seem very inclined "&amp;"to compensate you for your disaster, all the pretexts are good anyway ... It's not serious.")</f>
        <v>Greeting with confidence with any risk.
We have been waiting for the reimbursement of our ice in ice for almost a month. The olive tree still does not reimburse because Porsche does not communicate a windshield delivery voucher, it is true that it is the responsibility of the customer. They were warned of the claim in the rules, they have the paid invoice, the credit card payment ticket (compulsory for them in addition to the paid invoice otherwise no refund). You request unnecessary documents and that any other car insurance never asks to discourage the refund be. I spend more than 5,000 euros in car insurance at home each year through two contracts. The subscription is easy but for reimbursement, we feel that this insurance does not seem very inclined to compensate you for your disaster, all the pretexts are good anyway ... It's not serious.</v>
      </c>
    </row>
    <row r="964" ht="15.75" customHeight="1">
      <c r="A964" s="3">
        <v>3.0</v>
      </c>
      <c r="B964" s="3" t="s">
        <v>2613</v>
      </c>
      <c r="C964" s="3" t="s">
        <v>2614</v>
      </c>
      <c r="D964" s="3" t="s">
        <v>53</v>
      </c>
      <c r="E964" s="3" t="s">
        <v>27</v>
      </c>
      <c r="F964" s="3" t="s">
        <v>15</v>
      </c>
      <c r="G964" s="3" t="s">
        <v>2615</v>
      </c>
      <c r="H964" s="3" t="s">
        <v>23</v>
      </c>
      <c r="I964" s="3" t="str">
        <f>IFERROR(__xludf.DUMMYFUNCTION("GOOGLETRANSLATE(C964,""fr"",""en"")"),"Too bad this has been bought by Direct Insurance, customer service has been much less easily reachable since. The prices remain very correct, however, however the deductible in case of ice breaking is exorbitant.")</f>
        <v>Too bad this has been bought by Direct Insurance, customer service has been much less easily reachable since. The prices remain very correct, however, however the deductible in case of ice breaking is exorbitant.</v>
      </c>
    </row>
    <row r="965" ht="15.75" customHeight="1">
      <c r="A965" s="3">
        <v>1.0</v>
      </c>
      <c r="B965" s="3" t="s">
        <v>2616</v>
      </c>
      <c r="C965" s="3" t="s">
        <v>2617</v>
      </c>
      <c r="D965" s="3" t="s">
        <v>228</v>
      </c>
      <c r="E965" s="3" t="s">
        <v>14</v>
      </c>
      <c r="F965" s="3" t="s">
        <v>15</v>
      </c>
      <c r="G965" s="3" t="s">
        <v>1302</v>
      </c>
      <c r="H965" s="3" t="s">
        <v>99</v>
      </c>
      <c r="I965" s="3" t="str">
        <f>IFERROR(__xludf.DUMMYFUNCTION("GOOGLETRANSLATE(C965,""fr"",""en"")"),"Catastrophic of my registration for my attempts at termination. Whether it is to record my postal address (which they have squarely invented), has my attempt to affiliate my child (many email, zeros answers) until my attempts at departures. Ghost company."&amp;" No one is there to ensure any follow -up or answer your questions. And always the endless ""answer"": an advisor will quickly contact you. What advisor? There is no one at Harmonie. On the other hand, it is the only mutual that left me systematically wit"&amp;"h a ""rest to pay"" to the pharmacy. Run away !")</f>
        <v>Catastrophic of my registration for my attempts at termination. Whether it is to record my postal address (which they have squarely invented), has my attempt to affiliate my child (many email, zeros answers) until my attempts at departures. Ghost company. No one is there to ensure any follow -up or answer your questions. And always the endless "answer": an advisor will quickly contact you. What advisor? There is no one at Harmonie. On the other hand, it is the only mutual that left me systematically with a "rest to pay" to the pharmacy. Run away !</v>
      </c>
    </row>
    <row r="966" ht="15.75" customHeight="1">
      <c r="A966" s="3">
        <v>2.0</v>
      </c>
      <c r="B966" s="3" t="s">
        <v>2618</v>
      </c>
      <c r="C966" s="3" t="s">
        <v>2619</v>
      </c>
      <c r="D966" s="3" t="s">
        <v>327</v>
      </c>
      <c r="E966" s="3" t="s">
        <v>27</v>
      </c>
      <c r="F966" s="3" t="s">
        <v>15</v>
      </c>
      <c r="G966" s="3" t="s">
        <v>2620</v>
      </c>
      <c r="H966" s="3" t="s">
        <v>655</v>
      </c>
      <c r="I966" s="3" t="str">
        <f>IFERROR(__xludf.DUMMYFUNCTION("GOOGLETRANSLATE(C966,""fr"",""en"")"),"Very bad consideration of the customer! it is shameful !")</f>
        <v>Very bad consideration of the customer! it is shameful !</v>
      </c>
    </row>
    <row r="967" ht="15.75" customHeight="1">
      <c r="A967" s="3">
        <v>3.0</v>
      </c>
      <c r="B967" s="3" t="s">
        <v>2621</v>
      </c>
      <c r="C967" s="3" t="s">
        <v>2622</v>
      </c>
      <c r="D967" s="3" t="s">
        <v>1151</v>
      </c>
      <c r="E967" s="3" t="s">
        <v>48</v>
      </c>
      <c r="F967" s="3" t="s">
        <v>15</v>
      </c>
      <c r="G967" s="3" t="s">
        <v>1551</v>
      </c>
      <c r="H967" s="3" t="s">
        <v>17</v>
      </c>
      <c r="I967" s="3" t="str">
        <f>IFERROR(__xludf.DUMMYFUNCTION("GOOGLETRANSLATE(C967,""fr"",""en"")"),"First membership we will see the rest .................. No other opinions for the moment! We will see in a year if a new negotiation is possible")</f>
        <v>First membership we will see the rest .................. No other opinions for the moment! We will see in a year if a new negotiation is possible</v>
      </c>
    </row>
    <row r="968" ht="15.75" customHeight="1">
      <c r="A968" s="3">
        <v>1.0</v>
      </c>
      <c r="B968" s="3" t="s">
        <v>2623</v>
      </c>
      <c r="C968" s="3" t="s">
        <v>2624</v>
      </c>
      <c r="D968" s="3" t="s">
        <v>327</v>
      </c>
      <c r="E968" s="3" t="s">
        <v>27</v>
      </c>
      <c r="F968" s="3" t="s">
        <v>15</v>
      </c>
      <c r="G968" s="3" t="s">
        <v>2625</v>
      </c>
      <c r="H968" s="3" t="s">
        <v>672</v>
      </c>
      <c r="I968" s="3" t="str">
        <f>IFERROR(__xludf.DUMMYFUNCTION("GOOGLETRANSLATE(C968,""fr"",""en"")"),"I will be very clear it is zero insurance because I see that by asking for legal aid following a summons to the court by a third party they are looking for the little beast or the flaw to say that you are wrong that is to say that 'They judge before the j"&amp;"udicial decision this so as not to ensure protection. It is absurd and shameful, if we gain their case in court we should be able to attack them for incompetence and lack of help which was provided and paid for contributions")</f>
        <v>I will be very clear it is zero insurance because I see that by asking for legal aid following a summons to the court by a third party they are looking for the little beast or the flaw to say that you are wrong that is to say that 'They judge before the judicial decision this so as not to ensure protection. It is absurd and shameful, if we gain their case in court we should be able to attack them for incompetence and lack of help which was provided and paid for contributions</v>
      </c>
    </row>
    <row r="969" ht="15.75" customHeight="1">
      <c r="A969" s="3">
        <v>4.0</v>
      </c>
      <c r="B969" s="3" t="s">
        <v>2626</v>
      </c>
      <c r="C969" s="3" t="s">
        <v>2627</v>
      </c>
      <c r="D969" s="3" t="s">
        <v>80</v>
      </c>
      <c r="E969" s="3" t="s">
        <v>81</v>
      </c>
      <c r="F969" s="3" t="s">
        <v>15</v>
      </c>
      <c r="G969" s="3" t="s">
        <v>1786</v>
      </c>
      <c r="H969" s="3" t="s">
        <v>50</v>
      </c>
      <c r="I969" s="3" t="str">
        <f>IFERROR(__xludf.DUMMYFUNCTION("GOOGLETRANSLATE(C969,""fr"",""en"")"),"Perfect exchange with top customer service.
Quote rebuilded several times, with customer service and always listening to our requests I recommend price just at the market price")</f>
        <v>Perfect exchange with top customer service.
Quote rebuilded several times, with customer service and always listening to our requests I recommend price just at the market price</v>
      </c>
    </row>
    <row r="970" ht="15.75" customHeight="1">
      <c r="A970" s="3">
        <v>2.0</v>
      </c>
      <c r="B970" s="3" t="s">
        <v>2628</v>
      </c>
      <c r="C970" s="3" t="s">
        <v>2629</v>
      </c>
      <c r="D970" s="3" t="s">
        <v>670</v>
      </c>
      <c r="E970" s="3" t="s">
        <v>27</v>
      </c>
      <c r="F970" s="3" t="s">
        <v>15</v>
      </c>
      <c r="G970" s="3" t="s">
        <v>2630</v>
      </c>
      <c r="H970" s="3" t="s">
        <v>347</v>
      </c>
      <c r="I970" s="3" t="str">
        <f>IFERROR(__xludf.DUMMYFUNCTION("GOOGLETRANSLATE(C970,""fr"",""en"")"),"For a non -responsible disaster it is enough that the party responsible for the accident denies the facts and you will not be compensated. However, I had sent a bunch of photo but customer service made me understand that without witnesses I could do nothi"&amp;"ng. I just understood that they wanted to close the file. (1906989)
Second claim. A car fits me in it, as an amicable observation made. The manager is identified and recognizes the facts. Insurance response? No compensation (1918973).
Low cost but also "&amp;"low service. To flee")</f>
        <v>For a non -responsible disaster it is enough that the party responsible for the accident denies the facts and you will not be compensated. However, I had sent a bunch of photo but customer service made me understand that without witnesses I could do nothing. I just understood that they wanted to close the file. (1906989)
Second claim. A car fits me in it, as an amicable observation made. The manager is identified and recognizes the facts. Insurance response? No compensation (1918973).
Low cost but also low service. To flee</v>
      </c>
    </row>
    <row r="971" ht="15.75" customHeight="1">
      <c r="A971" s="3">
        <v>5.0</v>
      </c>
      <c r="B971" s="3" t="s">
        <v>2631</v>
      </c>
      <c r="C971" s="3" t="s">
        <v>2632</v>
      </c>
      <c r="D971" s="3" t="s">
        <v>97</v>
      </c>
      <c r="E971" s="3" t="s">
        <v>81</v>
      </c>
      <c r="F971" s="3" t="s">
        <v>15</v>
      </c>
      <c r="G971" s="3" t="s">
        <v>1317</v>
      </c>
      <c r="H971" s="3" t="s">
        <v>99</v>
      </c>
      <c r="I971" s="3" t="str">
        <f>IFERROR(__xludf.DUMMYFUNCTION("GOOGLETRANSLATE(C971,""fr"",""en"")"),"I did not find better level level, the franchises are almost identical than those of the competitors.
Registration is quick and easy.
The only apprehension will be to check customer service in the event of a claim (which I do not wish myself)")</f>
        <v>I did not find better level level, the franchises are almost identical than those of the competitors.
Registration is quick and easy.
The only apprehension will be to check customer service in the event of a claim (which I do not wish myself)</v>
      </c>
    </row>
    <row r="972" ht="15.75" customHeight="1">
      <c r="A972" s="3">
        <v>5.0</v>
      </c>
      <c r="B972" s="3" t="s">
        <v>2633</v>
      </c>
      <c r="C972" s="3" t="s">
        <v>2634</v>
      </c>
      <c r="D972" s="3" t="s">
        <v>37</v>
      </c>
      <c r="E972" s="3" t="s">
        <v>27</v>
      </c>
      <c r="F972" s="3" t="s">
        <v>15</v>
      </c>
      <c r="G972" s="3" t="s">
        <v>2635</v>
      </c>
      <c r="H972" s="3" t="s">
        <v>237</v>
      </c>
      <c r="I972" s="3" t="str">
        <f>IFERROR(__xludf.DUMMYFUNCTION("GOOGLETRANSLATE(C972,""fr"",""en"")"),"The efficiency and kindness of advisers. If you cannot reach them they remind you as soon as possible.")</f>
        <v>The efficiency and kindness of advisers. If you cannot reach them they remind you as soon as possible.</v>
      </c>
    </row>
    <row r="973" ht="15.75" customHeight="1">
      <c r="A973" s="3">
        <v>4.0</v>
      </c>
      <c r="B973" s="3" t="s">
        <v>2636</v>
      </c>
      <c r="C973" s="3" t="s">
        <v>2637</v>
      </c>
      <c r="D973" s="3" t="s">
        <v>53</v>
      </c>
      <c r="E973" s="3" t="s">
        <v>27</v>
      </c>
      <c r="F973" s="3" t="s">
        <v>15</v>
      </c>
      <c r="G973" s="3" t="s">
        <v>727</v>
      </c>
      <c r="H973" s="3" t="s">
        <v>29</v>
      </c>
      <c r="I973" s="3" t="str">
        <f>IFERROR(__xludf.DUMMYFUNCTION("GOOGLETRANSLATE(C973,""fr"",""en"")"),"Much more reasonable price than my previous insurance. Price almost 2 times cheaper for the same guarantees, simple online subscription. Pleasant and clear site.")</f>
        <v>Much more reasonable price than my previous insurance. Price almost 2 times cheaper for the same guarantees, simple online subscription. Pleasant and clear site.</v>
      </c>
    </row>
    <row r="974" ht="15.75" customHeight="1">
      <c r="A974" s="3">
        <v>5.0</v>
      </c>
      <c r="B974" s="3" t="s">
        <v>2638</v>
      </c>
      <c r="C974" s="3" t="s">
        <v>2639</v>
      </c>
      <c r="D974" s="3" t="s">
        <v>53</v>
      </c>
      <c r="E974" s="3" t="s">
        <v>27</v>
      </c>
      <c r="F974" s="3" t="s">
        <v>15</v>
      </c>
      <c r="G974" s="3" t="s">
        <v>1473</v>
      </c>
      <c r="H974" s="3" t="s">
        <v>23</v>
      </c>
      <c r="I974" s="3" t="str">
        <f>IFERROR(__xludf.DUMMYFUNCTION("GOOGLETRANSLATE(C974,""fr"",""en"")"),"I have been at Direct Insurance for more than 3 years and I can say that I am very satisfied with customer service, clear and fast responses, listening advisers.")</f>
        <v>I have been at Direct Insurance for more than 3 years and I can say that I am very satisfied with customer service, clear and fast responses, listening advisers.</v>
      </c>
    </row>
    <row r="975" ht="15.75" customHeight="1">
      <c r="A975" s="3">
        <v>4.0</v>
      </c>
      <c r="B975" s="3" t="s">
        <v>2640</v>
      </c>
      <c r="C975" s="3" t="s">
        <v>2641</v>
      </c>
      <c r="D975" s="3" t="s">
        <v>53</v>
      </c>
      <c r="E975" s="3" t="s">
        <v>27</v>
      </c>
      <c r="F975" s="3" t="s">
        <v>15</v>
      </c>
      <c r="G975" s="3" t="s">
        <v>1243</v>
      </c>
      <c r="H975" s="3" t="s">
        <v>58</v>
      </c>
      <c r="I975" s="3" t="str">
        <f>IFERROR(__xludf.DUMMYFUNCTION("GOOGLETRANSLATE(C975,""fr"",""en"")"),"I am satisfied the prices suit me the Hamon law is very good
We have 2 vehicles insured at Direct Insurance
We will see how it goes in the event of a disaster")</f>
        <v>I am satisfied the prices suit me the Hamon law is very good
We have 2 vehicles insured at Direct Insurance
We will see how it goes in the event of a disaster</v>
      </c>
    </row>
    <row r="976" ht="15.75" customHeight="1">
      <c r="A976" s="3">
        <v>4.0</v>
      </c>
      <c r="B976" s="3" t="s">
        <v>2642</v>
      </c>
      <c r="C976" s="3" t="s">
        <v>2643</v>
      </c>
      <c r="D976" s="3" t="s">
        <v>53</v>
      </c>
      <c r="E976" s="3" t="s">
        <v>27</v>
      </c>
      <c r="F976" s="3" t="s">
        <v>15</v>
      </c>
      <c r="G976" s="3" t="s">
        <v>1426</v>
      </c>
      <c r="H976" s="3" t="s">
        <v>99</v>
      </c>
      <c r="I976" s="3" t="str">
        <f>IFERROR(__xludf.DUMMYFUNCTION("GOOGLETRANSLATE(C976,""fr"",""en"")"),"I am satisfied with direct insurance ... the prices agree. Customer service is impeccable .... I recommend direct insurance for its insurer qualities")</f>
        <v>I am satisfied with direct insurance ... the prices agree. Customer service is impeccable .... I recommend direct insurance for its insurer qualities</v>
      </c>
    </row>
    <row r="977" ht="15.75" customHeight="1">
      <c r="A977" s="3">
        <v>5.0</v>
      </c>
      <c r="B977" s="3" t="s">
        <v>2644</v>
      </c>
      <c r="C977" s="3" t="s">
        <v>2645</v>
      </c>
      <c r="D977" s="3" t="s">
        <v>26</v>
      </c>
      <c r="E977" s="3" t="s">
        <v>27</v>
      </c>
      <c r="F977" s="3" t="s">
        <v>15</v>
      </c>
      <c r="G977" s="3" t="s">
        <v>1167</v>
      </c>
      <c r="H977" s="3" t="s">
        <v>23</v>
      </c>
      <c r="I977" s="3" t="str">
        <f>IFERROR(__xludf.DUMMYFUNCTION("GOOGLETRANSLATE(C977,""fr"",""en"")"),"If, innerly we are not in fullness, eternal dissatisfied
Always demanding more, how to imagine being happy?
He will always miss a stone at the building.
Happiness cannot be subject to material vagaries.
He must be free from any desire.")</f>
        <v>If, innerly we are not in fullness, eternal dissatisfied
Always demanding more, how to imagine being happy?
He will always miss a stone at the building.
Happiness cannot be subject to material vagaries.
He must be free from any desire.</v>
      </c>
    </row>
    <row r="978" ht="15.75" customHeight="1">
      <c r="A978" s="3">
        <v>2.0</v>
      </c>
      <c r="B978" s="3" t="s">
        <v>2646</v>
      </c>
      <c r="C978" s="3" t="s">
        <v>2647</v>
      </c>
      <c r="D978" s="3" t="s">
        <v>53</v>
      </c>
      <c r="E978" s="3" t="s">
        <v>27</v>
      </c>
      <c r="F978" s="3" t="s">
        <v>15</v>
      </c>
      <c r="G978" s="3" t="s">
        <v>1191</v>
      </c>
      <c r="H978" s="3" t="s">
        <v>72</v>
      </c>
      <c r="I978" s="3" t="str">
        <f>IFERROR(__xludf.DUMMYFUNCTION("GOOGLETRANSLATE(C978,""fr"",""en"")"),"I find franchises too large but overall the price is suitable. I don't see anything else to say except the fact that the sinister management is good.")</f>
        <v>I find franchises too large but overall the price is suitable. I don't see anything else to say except the fact that the sinister management is good.</v>
      </c>
    </row>
    <row r="979" ht="15.75" customHeight="1">
      <c r="A979" s="3">
        <v>4.0</v>
      </c>
      <c r="B979" s="3" t="s">
        <v>2648</v>
      </c>
      <c r="C979" s="3" t="s">
        <v>2649</v>
      </c>
      <c r="D979" s="3" t="s">
        <v>57</v>
      </c>
      <c r="E979" s="3" t="s">
        <v>14</v>
      </c>
      <c r="F979" s="3" t="s">
        <v>15</v>
      </c>
      <c r="G979" s="3" t="s">
        <v>2418</v>
      </c>
      <c r="H979" s="3" t="s">
        <v>1252</v>
      </c>
      <c r="I979" s="3" t="str">
        <f>IFERROR(__xludf.DUMMYFUNCTION("GOOGLETRANSLATE(C979,""fr"",""en"")"),"Very good mutual, I have been loyal since 1991. The telephone contacts are always perfect and the answers to the questions are fluid. The advisers are always very kind and professional. I recommend this mutual.")</f>
        <v>Very good mutual, I have been loyal since 1991. The telephone contacts are always perfect and the answers to the questions are fluid. The advisers are always very kind and professional. I recommend this mutual.</v>
      </c>
    </row>
    <row r="980" ht="15.75" customHeight="1">
      <c r="A980" s="3">
        <v>2.0</v>
      </c>
      <c r="B980" s="3" t="s">
        <v>2650</v>
      </c>
      <c r="C980" s="3" t="s">
        <v>2651</v>
      </c>
      <c r="D980" s="3" t="s">
        <v>137</v>
      </c>
      <c r="E980" s="3" t="s">
        <v>27</v>
      </c>
      <c r="F980" s="3" t="s">
        <v>15</v>
      </c>
      <c r="G980" s="3" t="s">
        <v>2652</v>
      </c>
      <c r="H980" s="3" t="s">
        <v>183</v>
      </c>
      <c r="I980" s="3" t="str">
        <f>IFERROR(__xludf.DUMMYFUNCTION("GOOGLETRANSLATE(C980,""fr"",""en"")"),"I have been returned to the vehicle, an impact and a claw: compensation 15 euros
I changed the guarantee and payment formula ... the necessary has not been done. Terminated for payment default of 667.35. With the termination letter a too perceived check "&amp;"of 633.84. So I had left on May 2, 34 euros to pay for the period from May 2 to 12/31/2019. The advisor, who had forgotten to cut the handset, told her colleague I quote ""We have nothing to do with 20 or 400 euros. For us it's the same. And after in a so"&amp;"ft and understanding voice, you Understand Madame, ... Blablabla. I told her not to get tired, that I had heard his conversation with her colleague. After 30 years of loyalty ... Bravo!")</f>
        <v>I have been returned to the vehicle, an impact and a claw: compensation 15 euros
I changed the guarantee and payment formula ... the necessary has not been done. Terminated for payment default of 667.35. With the termination letter a too perceived check of 633.84. So I had left on May 2, 34 euros to pay for the period from May 2 to 12/31/2019. The advisor, who had forgotten to cut the handset, told her colleague I quote "We have nothing to do with 20 or 400 euros. For us it's the same. And after in a soft and understanding voice, you Understand Madame, ... Blablabla. I told her not to get tired, that I had heard his conversation with her colleague. After 30 years of loyalty ... Bravo!</v>
      </c>
    </row>
    <row r="981" ht="15.75" customHeight="1">
      <c r="A981" s="3">
        <v>5.0</v>
      </c>
      <c r="B981" s="3" t="s">
        <v>2653</v>
      </c>
      <c r="C981" s="3" t="s">
        <v>2654</v>
      </c>
      <c r="D981" s="3" t="s">
        <v>53</v>
      </c>
      <c r="E981" s="3" t="s">
        <v>27</v>
      </c>
      <c r="F981" s="3" t="s">
        <v>15</v>
      </c>
      <c r="G981" s="3" t="s">
        <v>58</v>
      </c>
      <c r="H981" s="3" t="s">
        <v>58</v>
      </c>
      <c r="I981" s="3" t="str">
        <f>IFERROR(__xludf.DUMMYFUNCTION("GOOGLETRANSLATE(C981,""fr"",""en"")"),"Hello
Continue like this for me it's perfect.
 Good responsiveness. Very well done internet support. Very fast contact by TPH.
Contact on the phone, friendly and competent staff.
Cordially")</f>
        <v>Hello
Continue like this for me it's perfect.
 Good responsiveness. Very well done internet support. Very fast contact by TPH.
Contact on the phone, friendly and competent staff.
Cordially</v>
      </c>
    </row>
    <row r="982" ht="15.75" customHeight="1">
      <c r="A982" s="3">
        <v>3.0</v>
      </c>
      <c r="B982" s="3" t="s">
        <v>2655</v>
      </c>
      <c r="C982" s="3" t="s">
        <v>2656</v>
      </c>
      <c r="D982" s="3" t="s">
        <v>53</v>
      </c>
      <c r="E982" s="3" t="s">
        <v>27</v>
      </c>
      <c r="F982" s="3" t="s">
        <v>15</v>
      </c>
      <c r="G982" s="3" t="s">
        <v>622</v>
      </c>
      <c r="H982" s="3" t="s">
        <v>72</v>
      </c>
      <c r="I982" s="3" t="str">
        <f>IFERROR(__xludf.DUMMYFUNCTION("GOOGLETRANSLATE(C982,""fr"",""en"")"),"The prices are no longer interesting for former customers. Only prices for new customers are competitive! But beware you lose ground compared to your competitors who have more attractive guarantees!")</f>
        <v>The prices are no longer interesting for former customers. Only prices for new customers are competitive! But beware you lose ground compared to your competitors who have more attractive guarantees!</v>
      </c>
    </row>
    <row r="983" ht="15.75" customHeight="1">
      <c r="A983" s="3">
        <v>3.0</v>
      </c>
      <c r="B983" s="3" t="s">
        <v>2657</v>
      </c>
      <c r="C983" s="3" t="s">
        <v>2658</v>
      </c>
      <c r="D983" s="3" t="s">
        <v>426</v>
      </c>
      <c r="E983" s="3" t="s">
        <v>48</v>
      </c>
      <c r="F983" s="3" t="s">
        <v>15</v>
      </c>
      <c r="G983" s="3" t="s">
        <v>1334</v>
      </c>
      <c r="H983" s="3" t="s">
        <v>262</v>
      </c>
      <c r="I983" s="3" t="str">
        <f>IFERROR(__xludf.DUMMYFUNCTION("GOOGLETRANSLATE(C983,""fr"",""en"")"),"To avoid !!! Need help !!!!
For almost 3 years, I had a serious road accident. Since that date, no payment, despite my numerous sending of document. The Generalie Manager who is multi impact announces the treatment of 2 to 3 months. To tell me that I mis"&amp;"s documents. I am always asked for other documents! But never any payment. I am in financial distress and I need the insurance to do work.
It is a shame of treaty his insured as well.
If I stop paying my contributions, we will let me know! But on the ot"&amp;"her side of the side.
Can you tell me how to advance my file ?????? Very urgently")</f>
        <v>To avoid !!! Need help !!!!
For almost 3 years, I had a serious road accident. Since that date, no payment, despite my numerous sending of document. The Generalie Manager who is multi impact announces the treatment of 2 to 3 months. To tell me that I miss documents. I am always asked for other documents! But never any payment. I am in financial distress and I need the insurance to do work.
It is a shame of treaty his insured as well.
If I stop paying my contributions, we will let me know! But on the other side of the side.
Can you tell me how to advance my file ?????? Very urgently</v>
      </c>
    </row>
    <row r="984" ht="15.75" customHeight="1">
      <c r="A984" s="3">
        <v>1.0</v>
      </c>
      <c r="B984" s="3" t="s">
        <v>2659</v>
      </c>
      <c r="C984" s="3" t="s">
        <v>2660</v>
      </c>
      <c r="D984" s="3" t="s">
        <v>108</v>
      </c>
      <c r="E984" s="3" t="s">
        <v>27</v>
      </c>
      <c r="F984" s="3" t="s">
        <v>15</v>
      </c>
      <c r="G984" s="3" t="s">
        <v>2661</v>
      </c>
      <c r="H984" s="3" t="s">
        <v>378</v>
      </c>
      <c r="I984" s="3" t="str">
        <f>IFERROR(__xludf.DUMMYFUNCTION("GOOGLETRANSLATE(C984,""fr"",""en"")"),"Interlocutors who speak French badly, who understand the questions once in two ...
A levy was not presented to my bank, they certify the opposite and claim that this levy was rejected: recovery costs 18 euros?!?!?!?!
Axa Insurance Online, it is to be "&amp;"avoided at all costs !!!
An AXA insured who will not remain so long.")</f>
        <v>Interlocutors who speak French badly, who understand the questions once in two ...
A levy was not presented to my bank, they certify the opposite and claim that this levy was rejected: recovery costs 18 euros?!?!?!?!
Axa Insurance Online, it is to be avoided at all costs !!!
An AXA insured who will not remain so long.</v>
      </c>
    </row>
    <row r="985" ht="15.75" customHeight="1">
      <c r="A985" s="3">
        <v>5.0</v>
      </c>
      <c r="B985" s="3" t="s">
        <v>2662</v>
      </c>
      <c r="C985" s="3" t="s">
        <v>2663</v>
      </c>
      <c r="D985" s="3" t="s">
        <v>53</v>
      </c>
      <c r="E985" s="3" t="s">
        <v>27</v>
      </c>
      <c r="F985" s="3" t="s">
        <v>15</v>
      </c>
      <c r="G985" s="3" t="s">
        <v>98</v>
      </c>
      <c r="H985" s="3" t="s">
        <v>99</v>
      </c>
      <c r="I985" s="3" t="str">
        <f>IFERROR(__xludf.DUMMYFUNCTION("GOOGLETRANSLATE(C985,""fr"",""en"")"),"Hello being new customer for the moment I am satisfied with the prices for customer service I will then see all my best regards good day goodbye and character")</f>
        <v>Hello being new customer for the moment I am satisfied with the prices for customer service I will then see all my best regards good day goodbye and character</v>
      </c>
    </row>
    <row r="986" ht="15.75" customHeight="1">
      <c r="A986" s="3">
        <v>2.0</v>
      </c>
      <c r="B986" s="3" t="s">
        <v>2664</v>
      </c>
      <c r="C986" s="3" t="s">
        <v>2665</v>
      </c>
      <c r="D986" s="3" t="s">
        <v>80</v>
      </c>
      <c r="E986" s="3" t="s">
        <v>81</v>
      </c>
      <c r="F986" s="3" t="s">
        <v>15</v>
      </c>
      <c r="G986" s="3" t="s">
        <v>50</v>
      </c>
      <c r="H986" s="3" t="s">
        <v>50</v>
      </c>
      <c r="I986" s="3" t="str">
        <f>IFERROR(__xludf.DUMMYFUNCTION("GOOGLETRANSLATE(C986,""fr"",""en"")"),"I am satisfied at the moment and the price is not too expensive if after its will always be like that without problem and that we can contact you without problem
Thank you Best regards
")</f>
        <v>I am satisfied at the moment and the price is not too expensive if after its will always be like that without problem and that we can contact you without problem
Thank you Best regards
</v>
      </c>
    </row>
    <row r="987" ht="15.75" customHeight="1">
      <c r="A987" s="3">
        <v>1.0</v>
      </c>
      <c r="B987" s="3" t="s">
        <v>2666</v>
      </c>
      <c r="C987" s="3" t="s">
        <v>2667</v>
      </c>
      <c r="D987" s="3" t="s">
        <v>327</v>
      </c>
      <c r="E987" s="3" t="s">
        <v>76</v>
      </c>
      <c r="F987" s="3" t="s">
        <v>15</v>
      </c>
      <c r="G987" s="3" t="s">
        <v>2668</v>
      </c>
      <c r="H987" s="3" t="s">
        <v>506</v>
      </c>
      <c r="I987" s="3" t="str">
        <f>IFERROR(__xludf.DUMMYFUNCTION("GOOGLETRANSLATE(C987,""fr"",""en"")"),"especially not to have more than one claim !!!!!!! because at the end of the second the reception is no longer the same")</f>
        <v>especially not to have more than one claim !!!!!!! because at the end of the second the reception is no longer the same</v>
      </c>
    </row>
    <row r="988" ht="15.75" customHeight="1">
      <c r="A988" s="3">
        <v>1.0</v>
      </c>
      <c r="B988" s="3" t="s">
        <v>2669</v>
      </c>
      <c r="C988" s="3" t="s">
        <v>2670</v>
      </c>
      <c r="D988" s="3" t="s">
        <v>373</v>
      </c>
      <c r="E988" s="3" t="s">
        <v>14</v>
      </c>
      <c r="F988" s="3" t="s">
        <v>15</v>
      </c>
      <c r="G988" s="3" t="s">
        <v>1255</v>
      </c>
      <c r="H988" s="3" t="s">
        <v>58</v>
      </c>
      <c r="I988" s="3" t="str">
        <f>IFERROR(__xludf.DUMMYFUNCTION("GOOGLETRANSLATE(C988,""fr"",""en"")"),"When to undergo the choice of a mutual health imposed by his employer turns out to be a hassle!
Mercer is to flee! They do not deal with the reimbursements of health costs despite the Noémie transmissions of the CPAM. You have to send them messages with "&amp;"copies of invoices.
You wait for a crazy time on the phone before you have an advisor. You show him the problem, he says he's going to deal with but nothing is happening weeks after the call.
I have subscribed to an over-composition with Mercer. They se"&amp;"nd you a schedule with debtor balance without explanation. In truth, the debtor balance corresponds to an increase in their prices which they decided with retroactive effect over 14 months! And to understand it you have to have them on the phone because t"&amp;"he schedule does not specify anything!
Mercer is apparently part of the GAN. If the Gan treats his legs over the leg above the leg as well as his health subsidiary does then it is the group that is to be flee. For my part I will never take out a insuranc"&amp;"e contract with this group! And if my employer could choose another mutual one it would only be happiness because worse than Mercer I hope there is not!")</f>
        <v>When to undergo the choice of a mutual health imposed by his employer turns out to be a hassle!
Mercer is to flee! They do not deal with the reimbursements of health costs despite the Noémie transmissions of the CPAM. You have to send them messages with copies of invoices.
You wait for a crazy time on the phone before you have an advisor. You show him the problem, he says he's going to deal with but nothing is happening weeks after the call.
I have subscribed to an over-composition with Mercer. They send you a schedule with debtor balance without explanation. In truth, the debtor balance corresponds to an increase in their prices which they decided with retroactive effect over 14 months! And to understand it you have to have them on the phone because the schedule does not specify anything!
Mercer is apparently part of the GAN. If the Gan treats his legs over the leg above the leg as well as his health subsidiary does then it is the group that is to be flee. For my part I will never take out a insurance contract with this group! And if my employer could choose another mutual one it would only be happiness because worse than Mercer I hope there is not!</v>
      </c>
    </row>
    <row r="989" ht="15.75" customHeight="1">
      <c r="A989" s="3">
        <v>3.0</v>
      </c>
      <c r="B989" s="3" t="s">
        <v>2671</v>
      </c>
      <c r="C989" s="3" t="s">
        <v>2672</v>
      </c>
      <c r="D989" s="3" t="s">
        <v>26</v>
      </c>
      <c r="E989" s="3" t="s">
        <v>27</v>
      </c>
      <c r="F989" s="3" t="s">
        <v>15</v>
      </c>
      <c r="G989" s="3" t="s">
        <v>799</v>
      </c>
      <c r="H989" s="3" t="s">
        <v>99</v>
      </c>
      <c r="I989" s="3" t="str">
        <f>IFERROR(__xludf.DUMMYFUNCTION("GOOGLETRANSLATE(C989,""fr"",""en"")"),"I have a car contract that I could not terminate because I returned it to its owner. I have never been the holder of the gray card and yet, I had to ensure this vehicle until the anniversary of the contract. It is very average from my point of view.")</f>
        <v>I have a car contract that I could not terminate because I returned it to its owner. I have never been the holder of the gray card and yet, I had to ensure this vehicle until the anniversary of the contract. It is very average from my point of view.</v>
      </c>
    </row>
    <row r="990" ht="15.75" customHeight="1">
      <c r="A990" s="3">
        <v>2.0</v>
      </c>
      <c r="B990" s="3" t="s">
        <v>2673</v>
      </c>
      <c r="C990" s="3" t="s">
        <v>2674</v>
      </c>
      <c r="D990" s="3" t="s">
        <v>247</v>
      </c>
      <c r="E990" s="3" t="s">
        <v>27</v>
      </c>
      <c r="F990" s="3" t="s">
        <v>15</v>
      </c>
      <c r="G990" s="3" t="s">
        <v>2675</v>
      </c>
      <c r="H990" s="3" t="s">
        <v>44</v>
      </c>
      <c r="I990" s="3" t="str">
        <f>IFERROR(__xludf.DUMMYFUNCTION("GOOGLETRANSLATE(C990,""fr"",""en"")"),"My mother's vehicle insured all risks was struck overnight parking in the street. Deposit of complaints at the district police station and contact with the expert in the Macif. Response from this one: Following my visit I believe that your vehicle was rol"&amp;"ling to receive such a shock. We cannot follow up on your request, making a false statement can lead you to justice. So given the price of repair, my mother cannot have it repaired. In summary, Macif insurance inexpensive, but you should not have a claim.")</f>
        <v>My mother's vehicle insured all risks was struck overnight parking in the street. Deposit of complaints at the district police station and contact with the expert in the Macif. Response from this one: Following my visit I believe that your vehicle was rolling to receive such a shock. We cannot follow up on your request, making a false statement can lead you to justice. So given the price of repair, my mother cannot have it repaired. In summary, Macif insurance inexpensive, but you should not have a claim.</v>
      </c>
    </row>
    <row r="991" ht="15.75" customHeight="1">
      <c r="A991" s="3">
        <v>1.0</v>
      </c>
      <c r="B991" s="3" t="s">
        <v>2676</v>
      </c>
      <c r="C991" s="3" t="s">
        <v>2677</v>
      </c>
      <c r="D991" s="3" t="s">
        <v>53</v>
      </c>
      <c r="E991" s="3" t="s">
        <v>27</v>
      </c>
      <c r="F991" s="3" t="s">
        <v>15</v>
      </c>
      <c r="G991" s="3" t="s">
        <v>2678</v>
      </c>
      <c r="H991" s="3" t="s">
        <v>1639</v>
      </c>
      <c r="I991" s="3" t="str">
        <f>IFERROR(__xludf.DUMMYFUNCTION("GOOGLETRANSLATE(C991,""fr"",""en"")"),"Insured for 4 years at Direct Insurance and realize that it is not the right vehicle! ! Thank you direct insurance")</f>
        <v>Insured for 4 years at Direct Insurance and realize that it is not the right vehicle! ! Thank you direct insurance</v>
      </c>
    </row>
    <row r="992" ht="15.75" customHeight="1">
      <c r="A992" s="3">
        <v>5.0</v>
      </c>
      <c r="B992" s="3" t="s">
        <v>2679</v>
      </c>
      <c r="C992" s="3" t="s">
        <v>2680</v>
      </c>
      <c r="D992" s="3" t="s">
        <v>26</v>
      </c>
      <c r="E992" s="3" t="s">
        <v>27</v>
      </c>
      <c r="F992" s="3" t="s">
        <v>15</v>
      </c>
      <c r="G992" s="3" t="s">
        <v>2681</v>
      </c>
      <c r="H992" s="3" t="s">
        <v>1109</v>
      </c>
      <c r="I992" s="3" t="str">
        <f>IFERROR(__xludf.DUMMYFUNCTION("GOOGLETRANSLATE(C992,""fr"",""en"")"),"Very good insurer, friendly staff, fast reimbursement ', very correct cost. So no reason to change for the moment. All our insurances are at GMF")</f>
        <v>Very good insurer, friendly staff, fast reimbursement ', very correct cost. So no reason to change for the moment. All our insurances are at GMF</v>
      </c>
    </row>
    <row r="993" ht="15.75" customHeight="1">
      <c r="A993" s="3">
        <v>2.0</v>
      </c>
      <c r="B993" s="3" t="s">
        <v>2682</v>
      </c>
      <c r="C993" s="3" t="s">
        <v>2683</v>
      </c>
      <c r="D993" s="3" t="s">
        <v>306</v>
      </c>
      <c r="E993" s="3" t="s">
        <v>109</v>
      </c>
      <c r="F993" s="3" t="s">
        <v>15</v>
      </c>
      <c r="G993" s="3" t="s">
        <v>2684</v>
      </c>
      <c r="H993" s="3" t="s">
        <v>733</v>
      </c>
      <c r="I993" s="3" t="str">
        <f>IFERROR(__xludf.DUMMYFUNCTION("GOOGLETRANSLATE(C993,""fr"",""en"")"),"Unable to connect with my identifiers. The correspondent's phone always busy. Zero communication. 200 characters obliged? The software should display the number of characteristics, it is anything.")</f>
        <v>Unable to connect with my identifiers. The correspondent's phone always busy. Zero communication. 200 characters obliged? The software should display the number of characteristics, it is anything.</v>
      </c>
    </row>
    <row r="994" ht="15.75" customHeight="1">
      <c r="A994" s="3">
        <v>1.0</v>
      </c>
      <c r="B994" s="3" t="s">
        <v>2685</v>
      </c>
      <c r="C994" s="3" t="s">
        <v>2686</v>
      </c>
      <c r="D994" s="3" t="s">
        <v>42</v>
      </c>
      <c r="E994" s="3" t="s">
        <v>14</v>
      </c>
      <c r="F994" s="3" t="s">
        <v>15</v>
      </c>
      <c r="G994" s="3" t="s">
        <v>2687</v>
      </c>
      <c r="H994" s="3" t="s">
        <v>676</v>
      </c>
      <c r="I994" s="3" t="str">
        <f>IFERROR(__xludf.DUMMYFUNCTION("GOOGLETRANSLATE(C994,""fr"",""en"")"),"Very disappointed with this mutual insurance company No communication except to claim supporting documents and other documents to delay reimbursements. Zero customer service and unlike other paying mutual")</f>
        <v>Very disappointed with this mutual insurance company No communication except to claim supporting documents and other documents to delay reimbursements. Zero customer service and unlike other paying mutual</v>
      </c>
    </row>
    <row r="995" ht="15.75" customHeight="1">
      <c r="A995" s="3">
        <v>5.0</v>
      </c>
      <c r="B995" s="3" t="s">
        <v>2688</v>
      </c>
      <c r="C995" s="3" t="s">
        <v>2689</v>
      </c>
      <c r="D995" s="3" t="s">
        <v>37</v>
      </c>
      <c r="E995" s="3" t="s">
        <v>27</v>
      </c>
      <c r="F995" s="3" t="s">
        <v>15</v>
      </c>
      <c r="G995" s="3" t="s">
        <v>743</v>
      </c>
      <c r="H995" s="3" t="s">
        <v>34</v>
      </c>
      <c r="I995" s="3" t="str">
        <f>IFERROR(__xludf.DUMMYFUNCTION("GOOGLETRANSLATE(C995,""fr"",""en"")"),"Everything is correct for commissioning.
The person on the phone was very kind and rensigned me well.
J, hope that the rest will also be professional.")</f>
        <v>Everything is correct for commissioning.
The person on the phone was very kind and rensigned me well.
J, hope that the rest will also be professional.</v>
      </c>
    </row>
    <row r="996" ht="15.75" customHeight="1">
      <c r="A996" s="3">
        <v>1.0</v>
      </c>
      <c r="B996" s="3" t="s">
        <v>2690</v>
      </c>
      <c r="C996" s="3" t="s">
        <v>2691</v>
      </c>
      <c r="D996" s="3" t="s">
        <v>13</v>
      </c>
      <c r="E996" s="3" t="s">
        <v>14</v>
      </c>
      <c r="F996" s="3" t="s">
        <v>15</v>
      </c>
      <c r="G996" s="3" t="s">
        <v>2692</v>
      </c>
      <c r="H996" s="3" t="s">
        <v>1968</v>
      </c>
      <c r="I996" s="3" t="str">
        <f>IFERROR(__xludf.DUMMYFUNCTION("GOOGLETRANSLATE(C996,""fr"",""en"")"),"A word of advice flee the brokers and read the small lines carefully !!
I hope therefore a termination and the cancellation of my mutual ... In any case I will go to the end, I do not let go
")</f>
        <v>A word of advice flee the brokers and read the small lines carefully !!
I hope therefore a termination and the cancellation of my mutual ... In any case I will go to the end, I do not let go
</v>
      </c>
    </row>
    <row r="997" ht="15.75" customHeight="1">
      <c r="A997" s="3">
        <v>3.0</v>
      </c>
      <c r="B997" s="3" t="s">
        <v>2693</v>
      </c>
      <c r="C997" s="3" t="s">
        <v>2694</v>
      </c>
      <c r="D997" s="3" t="s">
        <v>61</v>
      </c>
      <c r="E997" s="3" t="s">
        <v>14</v>
      </c>
      <c r="F997" s="3" t="s">
        <v>15</v>
      </c>
      <c r="G997" s="3" t="s">
        <v>2695</v>
      </c>
      <c r="H997" s="3" t="s">
        <v>230</v>
      </c>
      <c r="I997" s="3" t="str">
        <f>IFERROR(__xludf.DUMMYFUNCTION("GOOGLETRANSLATE(C997,""fr"",""en"")"),"For the moment I am satisfied with this mutual")</f>
        <v>For the moment I am satisfied with this mutual</v>
      </c>
    </row>
    <row r="998" ht="15.75" customHeight="1">
      <c r="A998" s="3">
        <v>5.0</v>
      </c>
      <c r="B998" s="3" t="s">
        <v>2696</v>
      </c>
      <c r="C998" s="3" t="s">
        <v>2697</v>
      </c>
      <c r="D998" s="3" t="s">
        <v>1151</v>
      </c>
      <c r="E998" s="3" t="s">
        <v>48</v>
      </c>
      <c r="F998" s="3" t="s">
        <v>15</v>
      </c>
      <c r="G998" s="3" t="s">
        <v>165</v>
      </c>
      <c r="H998" s="3" t="s">
        <v>17</v>
      </c>
      <c r="I998" s="3" t="str">
        <f>IFERROR(__xludf.DUMMYFUNCTION("GOOGLETRANSLATE(C998,""fr"",""en"")"),"The service and support are of very good quality: simple, efficient and clear. The guarantees proposed are in accordance with the equivalences imposed by banking organizations")</f>
        <v>The service and support are of very good quality: simple, efficient and clear. The guarantees proposed are in accordance with the equivalences imposed by banking organizations</v>
      </c>
    </row>
    <row r="999" ht="15.75" customHeight="1">
      <c r="A999" s="3">
        <v>1.0</v>
      </c>
      <c r="B999" s="3" t="s">
        <v>2698</v>
      </c>
      <c r="C999" s="3" t="s">
        <v>2699</v>
      </c>
      <c r="D999" s="3" t="s">
        <v>85</v>
      </c>
      <c r="E999" s="3" t="s">
        <v>27</v>
      </c>
      <c r="F999" s="3" t="s">
        <v>15</v>
      </c>
      <c r="G999" s="3" t="s">
        <v>2700</v>
      </c>
      <c r="H999" s="3" t="s">
        <v>34</v>
      </c>
      <c r="I999" s="3" t="str">
        <f>IFERROR(__xludf.DUMMYFUNCTION("GOOGLETRANSLATE(C999,""fr"",""en"")"),"The worst insurance in which I was.
Doubly of the price after a year notice and without reason.
Not taking into account the termination documents to make pay longer.
Pitinable telephone service, you have to explain 40 times to people on the phone the p"&amp;"roblem so that in the end they understand nothing.
One advice, run away from this insurance !!!")</f>
        <v>The worst insurance in which I was.
Doubly of the price after a year notice and without reason.
Not taking into account the termination documents to make pay longer.
Pitinable telephone service, you have to explain 40 times to people on the phone the problem so that in the end they understand nothing.
One advice, run away from this insurance !!!</v>
      </c>
    </row>
    <row r="1000" ht="15.75" customHeight="1">
      <c r="A1000" s="3">
        <v>3.0</v>
      </c>
      <c r="B1000" s="3" t="s">
        <v>2701</v>
      </c>
      <c r="C1000" s="3" t="s">
        <v>2702</v>
      </c>
      <c r="D1000" s="3" t="s">
        <v>37</v>
      </c>
      <c r="E1000" s="3" t="s">
        <v>27</v>
      </c>
      <c r="F1000" s="3" t="s">
        <v>15</v>
      </c>
      <c r="G1000" s="3" t="s">
        <v>390</v>
      </c>
      <c r="H1000" s="3" t="s">
        <v>58</v>
      </c>
      <c r="I1000" s="3" t="str">
        <f>IFERROR(__xludf.DUMMYFUNCTION("GOOGLETRANSLATE(C1000,""fr"",""en"")"),"I am satisfied. The price suits me. Cheap. The sisteme he and trez good. I hope continues here with this TRIF and see for home insurance.")</f>
        <v>I am satisfied. The price suits me. Cheap. The sisteme he and trez good. I hope continues here with this TRIF and see for home insurance.</v>
      </c>
    </row>
    <row r="1001" ht="15.75" customHeight="1">
      <c r="A1001" s="3">
        <v>5.0</v>
      </c>
      <c r="B1001" s="3" t="s">
        <v>2703</v>
      </c>
      <c r="C1001" s="3" t="s">
        <v>2704</v>
      </c>
      <c r="D1001" s="3" t="s">
        <v>80</v>
      </c>
      <c r="E1001" s="3" t="s">
        <v>81</v>
      </c>
      <c r="F1001" s="3" t="s">
        <v>15</v>
      </c>
      <c r="G1001" s="3" t="s">
        <v>1302</v>
      </c>
      <c r="H1001" s="3" t="s">
        <v>34</v>
      </c>
      <c r="I1001" s="3" t="str">
        <f>IFERROR(__xludf.DUMMYFUNCTION("GOOGLETRANSLATE(C1001,""fr"",""en"")"),"Very well, good speed I highly recommend, efficient and very good responsiveness very easy to use for non -seasoned users thank you to you")</f>
        <v>Very well, good speed I highly recommend, efficient and very good responsiveness very easy to use for non -seasoned users thank you to you</v>
      </c>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2022-12-16T15:48:23Z</dcterms:created>
</cp:coreProperties>
</file>