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0711bc3e527fac/Documentos/Tareas_dirigidas/Giselle/"/>
    </mc:Choice>
  </mc:AlternateContent>
  <xr:revisionPtr revIDLastSave="8" documentId="8_{DCB434D5-888F-4DF3-8E09-FE5DB2C972BC}" xr6:coauthVersionLast="47" xr6:coauthVersionMax="47" xr10:uidLastSave="{03C5918B-774F-4F1B-9A9C-744B4CF6E03C}"/>
  <bookViews>
    <workbookView xWindow="8160" yWindow="975" windowWidth="14400" windowHeight="7590" xr2:uid="{BF04C9C0-0145-4E47-A124-4F1258C2E837}"/>
  </bookViews>
  <sheets>
    <sheet name="ECP-VIN-P-MBC-FT-038" sheetId="2" r:id="rId1"/>
    <sheet name="Hoja1" sheetId="1" r:id="rId2"/>
  </sheets>
  <definedNames>
    <definedName name="API">'ECP-VIN-P-MBC-FT-038'!$AC$13</definedName>
    <definedName name="_xlnm.Print_Area" localSheetId="0">'ECP-VIN-P-MBC-FT-038'!$B$2:$AG$126</definedName>
    <definedName name="CL">'ECP-VIN-P-MBC-FT-038'!$BE$278</definedName>
    <definedName name="COLOR">'ECP-VIN-P-MBC-FT-038'!$M$17</definedName>
    <definedName name="D">'ECP-VIN-P-MBC-FT-038'!$M$13</definedName>
    <definedName name="HL">'ECP-VIN-P-MBC-FT-038'!$M$15</definedName>
    <definedName name="HLX">'ECP-VIN-P-MBC-FT-038'!$M$16</definedName>
    <definedName name="HS">'ECP-VIN-P-MBC-FT-038'!$M$14</definedName>
    <definedName name="I">'ECP-VIN-P-MBC-FT-038'!$M$30</definedName>
    <definedName name="Mv">'ECP-VIN-P-MBC-FT-038'!$AC$18</definedName>
    <definedName name="Pa">'ECP-VIN-P-MBC-FT-038'!$M$29</definedName>
    <definedName name="PER">'ECP-VIN-P-MBC-FT-038'!$AE$9</definedName>
    <definedName name="Producto">'ECP-VIN-P-MBC-FT-038'!$O$7</definedName>
    <definedName name="Q">'ECP-VIN-P-MBC-FT-038'!$AC$19</definedName>
    <definedName name="RHO">'ECP-VIN-P-MBC-FT-038'!$AJ$14</definedName>
    <definedName name="RVP">'ECP-VIN-P-MBC-FT-038'!$AC$17</definedName>
    <definedName name="S">'ECP-VIN-P-MBC-FT-038'!$AC$16</definedName>
    <definedName name="SR">'ECP-VIN-P-MBC-FT-038'!$M$22</definedName>
    <definedName name="Ta">'ECP-VIN-P-MBC-FT-038'!$M$28</definedName>
    <definedName name="_xlnm.Print_Titles" localSheetId="0">'ECP-VIN-P-MBC-FT-038'!$2:$9</definedName>
    <definedName name="TMAX">'ECP-VIN-P-MBC-FT-038'!$M$26</definedName>
    <definedName name="TMIN">'ECP-VIN-P-MBC-FT-038'!$M$27</definedName>
    <definedName name="Ts">'ECP-VIN-P-MBC-FT-038'!$AC$15</definedName>
    <definedName name="V">'ECP-VIN-P-MBC-FT-038'!$M$31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4" i="2" l="1"/>
  <c r="BA6" i="2"/>
  <c r="BA7" i="2" s="1"/>
  <c r="BA9" i="2" s="1"/>
  <c r="AL7" i="2"/>
  <c r="BA11" i="2"/>
  <c r="BA13" i="2" s="1"/>
  <c r="BA14" i="2" s="1"/>
  <c r="BA15" i="2" s="1"/>
  <c r="AJ13" i="2"/>
  <c r="AJ14" i="2" s="1"/>
  <c r="BA16" i="2"/>
  <c r="BA24" i="2" s="1"/>
  <c r="BA27" i="2" s="1"/>
  <c r="BA17" i="2"/>
  <c r="BA18" i="2"/>
  <c r="BA19" i="2"/>
  <c r="BA23" i="2"/>
  <c r="BA28" i="2"/>
  <c r="BA29" i="2" s="1"/>
  <c r="BA32" i="2" s="1"/>
  <c r="BA35" i="2"/>
  <c r="AJ37" i="2"/>
  <c r="AJ38" i="2"/>
  <c r="AJ39" i="2"/>
  <c r="AJ40" i="2"/>
  <c r="AJ41" i="2"/>
  <c r="AJ42" i="2"/>
  <c r="AJ43" i="2"/>
  <c r="AJ44" i="2"/>
  <c r="AJ45" i="2"/>
  <c r="BA45" i="2"/>
  <c r="BA48" i="2" s="1"/>
  <c r="AJ46" i="2"/>
  <c r="AJ47" i="2"/>
  <c r="AJ48" i="2"/>
  <c r="BA50" i="2"/>
  <c r="AJ52" i="2"/>
  <c r="AN52" i="2"/>
  <c r="AO52" i="2"/>
  <c r="AS52" i="2"/>
  <c r="AJ53" i="2"/>
  <c r="AN53" i="2"/>
  <c r="AO53" i="2"/>
  <c r="AS53" i="2"/>
  <c r="AJ54" i="2"/>
  <c r="AN54" i="2"/>
  <c r="AO54" i="2"/>
  <c r="AS54" i="2"/>
  <c r="BF56" i="2"/>
  <c r="BA64" i="2" s="1"/>
  <c r="T104" i="2" s="1"/>
  <c r="AJ58" i="2"/>
  <c r="AN58" i="2"/>
  <c r="AO58" i="2"/>
  <c r="AS58" i="2"/>
  <c r="AJ59" i="2"/>
  <c r="BE237" i="2" s="1"/>
  <c r="AN59" i="2"/>
  <c r="AO59" i="2"/>
  <c r="BE133" i="2" s="1"/>
  <c r="AS59" i="2"/>
  <c r="AJ60" i="2"/>
  <c r="AN60" i="2"/>
  <c r="AO60" i="2"/>
  <c r="AS60" i="2"/>
  <c r="AY60" i="2"/>
  <c r="BA60" i="2"/>
  <c r="AJ64" i="2"/>
  <c r="BE159" i="2" s="1"/>
  <c r="AN64" i="2"/>
  <c r="AO64" i="2"/>
  <c r="AS64" i="2"/>
  <c r="AJ65" i="2"/>
  <c r="AN65" i="2"/>
  <c r="AO65" i="2"/>
  <c r="BE172" i="2" s="1"/>
  <c r="AS65" i="2"/>
  <c r="AJ69" i="2"/>
  <c r="BE125" i="2" s="1"/>
  <c r="AN69" i="2"/>
  <c r="AJ70" i="2"/>
  <c r="AN70" i="2"/>
  <c r="AJ71" i="2"/>
  <c r="AN71" i="2"/>
  <c r="AJ72" i="2"/>
  <c r="AN72" i="2"/>
  <c r="AJ73" i="2"/>
  <c r="AN73" i="2"/>
  <c r="AJ74" i="2"/>
  <c r="AN74" i="2"/>
  <c r="AJ75" i="2"/>
  <c r="AN75" i="2"/>
  <c r="AJ79" i="2"/>
  <c r="AN79" i="2"/>
  <c r="AJ80" i="2"/>
  <c r="BE197" i="2" s="1"/>
  <c r="BE203" i="2" s="1"/>
  <c r="AN80" i="2"/>
  <c r="AJ81" i="2"/>
  <c r="AN81" i="2"/>
  <c r="AJ82" i="2"/>
  <c r="AN82" i="2"/>
  <c r="AJ83" i="2"/>
  <c r="AN83" i="2"/>
  <c r="AJ85" i="2"/>
  <c r="AN85" i="2"/>
  <c r="BE86" i="2"/>
  <c r="BE89" i="2" s="1"/>
  <c r="AJ87" i="2"/>
  <c r="AN87" i="2"/>
  <c r="AJ88" i="2"/>
  <c r="AN88" i="2"/>
  <c r="BE88" i="2"/>
  <c r="AJ89" i="2"/>
  <c r="AN89" i="2"/>
  <c r="AJ91" i="2"/>
  <c r="BE112" i="2" s="1"/>
  <c r="AN91" i="2"/>
  <c r="AJ92" i="2"/>
  <c r="AN92" i="2"/>
  <c r="AJ93" i="2"/>
  <c r="AN93" i="2"/>
  <c r="AJ94" i="2"/>
  <c r="AN94" i="2"/>
  <c r="BE101" i="2"/>
  <c r="BE103" i="2"/>
  <c r="BE113" i="2"/>
  <c r="BE114" i="2"/>
  <c r="BE123" i="2"/>
  <c r="BE124" i="2"/>
  <c r="BE126" i="2"/>
  <c r="BE128" i="2"/>
  <c r="BE135" i="2"/>
  <c r="BE136" i="2"/>
  <c r="BE145" i="2"/>
  <c r="BE151" i="2" s="1"/>
  <c r="BE154" i="2" s="1"/>
  <c r="BE146" i="2"/>
  <c r="BE147" i="2"/>
  <c r="BE148" i="2"/>
  <c r="BE149" i="2"/>
  <c r="BE152" i="2"/>
  <c r="BE161" i="2"/>
  <c r="BE162" i="2"/>
  <c r="BE174" i="2"/>
  <c r="BE175" i="2"/>
  <c r="BE184" i="2"/>
  <c r="BE190" i="2" s="1"/>
  <c r="BE187" i="2"/>
  <c r="BE188" i="2"/>
  <c r="BE191" i="2"/>
  <c r="BE200" i="2"/>
  <c r="BE201" i="2"/>
  <c r="BE204" i="2"/>
  <c r="BE206" i="2"/>
  <c r="BE210" i="2"/>
  <c r="BE216" i="2" s="1"/>
  <c r="BE213" i="2"/>
  <c r="BE217" i="2"/>
  <c r="BE223" i="2"/>
  <c r="BE229" i="2" s="1"/>
  <c r="BE232" i="2" s="1"/>
  <c r="BE225" i="2"/>
  <c r="BE226" i="2"/>
  <c r="BE227" i="2"/>
  <c r="BE236" i="2"/>
  <c r="BE242" i="2" s="1"/>
  <c r="BE245" i="2" s="1"/>
  <c r="BE238" i="2"/>
  <c r="BE239" i="2"/>
  <c r="BE240" i="2"/>
  <c r="BE243" i="2"/>
  <c r="BE251" i="2"/>
  <c r="BE253" i="2" s="1"/>
  <c r="BE259" i="2"/>
  <c r="BE258" i="2" s="1"/>
  <c r="BE260" i="2"/>
  <c r="BE262" i="2"/>
  <c r="BE263" i="2"/>
  <c r="BE261" i="2" s="1"/>
  <c r="BE264" i="2"/>
  <c r="BE266" i="2"/>
  <c r="BE269" i="2" s="1"/>
  <c r="BE267" i="2"/>
  <c r="BE271" i="2"/>
  <c r="O112" i="2" s="1"/>
  <c r="BE277" i="2"/>
  <c r="BE278" i="2"/>
  <c r="BE280" i="2"/>
  <c r="BE284" i="2"/>
  <c r="O113" i="2" s="1"/>
  <c r="BA21" i="2" l="1"/>
  <c r="BE110" i="2"/>
  <c r="BE116" i="2" s="1"/>
  <c r="BE119" i="2" s="1"/>
  <c r="BE198" i="2"/>
  <c r="BE224" i="2"/>
  <c r="BA71" i="2"/>
  <c r="O105" i="2" s="1"/>
  <c r="BE100" i="2"/>
  <c r="BE274" i="2"/>
  <c r="BE290" i="2" s="1"/>
  <c r="Y114" i="2" s="1"/>
  <c r="BE288" i="2"/>
  <c r="O114" i="2" s="1"/>
  <c r="BA67" i="2"/>
  <c r="BA72" i="2"/>
  <c r="T105" i="2" s="1"/>
  <c r="BA38" i="2"/>
  <c r="O103" i="2"/>
  <c r="BE279" i="2"/>
  <c r="AC14" i="2"/>
  <c r="BE171" i="2"/>
  <c r="BE177" i="2" s="1"/>
  <c r="BE180" i="2" s="1"/>
  <c r="BE99" i="2"/>
  <c r="BE286" i="2"/>
  <c r="Y113" i="2" s="1"/>
  <c r="BE273" i="2"/>
  <c r="BE230" i="2"/>
  <c r="BE199" i="2"/>
  <c r="BE117" i="2"/>
  <c r="BE98" i="2"/>
  <c r="BE104" i="2" s="1"/>
  <c r="BE106" i="2" s="1"/>
  <c r="BE87" i="2"/>
  <c r="BA20" i="2"/>
  <c r="BA22" i="2" s="1"/>
  <c r="BE158" i="2"/>
  <c r="BE164" i="2" s="1"/>
  <c r="BE167" i="2" s="1"/>
  <c r="BE132" i="2"/>
  <c r="BE138" i="2" s="1"/>
  <c r="BE141" i="2" s="1"/>
  <c r="BE285" i="2"/>
  <c r="T113" i="2" s="1"/>
  <c r="BE178" i="2"/>
  <c r="BE165" i="2"/>
  <c r="BE139" i="2"/>
  <c r="BE105" i="2"/>
  <c r="BE90" i="2"/>
  <c r="BE173" i="2"/>
  <c r="BE160" i="2"/>
  <c r="BE134" i="2"/>
  <c r="BE111" i="2"/>
  <c r="BF119" i="2" l="1"/>
  <c r="Y112" i="2"/>
  <c r="BE289" i="2"/>
  <c r="T114" i="2" s="1"/>
  <c r="T112" i="2"/>
  <c r="T103" i="2"/>
  <c r="BA41" i="2"/>
  <c r="Y103" i="2" s="1"/>
  <c r="Y104" i="2"/>
  <c r="BA73" i="2"/>
  <c r="Y105" i="2" s="1"/>
  <c r="BG119" i="2"/>
  <c r="BE270" i="2"/>
</calcChain>
</file>

<file path=xl/sharedStrings.xml><?xml version="1.0" encoding="utf-8"?>
<sst xmlns="http://schemas.openxmlformats.org/spreadsheetml/2006/main" count="593" uniqueCount="404">
  <si>
    <t>bls/período</t>
  </si>
  <si>
    <t>bls/año</t>
  </si>
  <si>
    <t>lbs/año</t>
  </si>
  <si>
    <t>PÉRDIDAS TOTALES (Ls+Lw)</t>
  </si>
  <si>
    <t>withdrawal loss, bbls/periodo</t>
  </si>
  <si>
    <t>Lw</t>
  </si>
  <si>
    <t>withdrawal loss, bbls/yr</t>
  </si>
  <si>
    <t>withdrawal loss, lb/yr</t>
  </si>
  <si>
    <t>effective column diameter, ft</t>
  </si>
  <si>
    <t>Fc</t>
  </si>
  <si>
    <t>EFRT=0</t>
  </si>
  <si>
    <t>number of fixed-roof support columns</t>
  </si>
  <si>
    <t>Nfc</t>
  </si>
  <si>
    <t>tank diameter, ft</t>
  </si>
  <si>
    <t>D</t>
  </si>
  <si>
    <t>average stock liquid density at the avge stock temperature</t>
  </si>
  <si>
    <t>Wl</t>
  </si>
  <si>
    <t>acording to shell condition and product stored</t>
  </si>
  <si>
    <t>(table 17)</t>
  </si>
  <si>
    <t>clingage factor</t>
  </si>
  <si>
    <t>C</t>
  </si>
  <si>
    <t>annual net throughput (associated with lowering the stock liquid level in the tank)</t>
  </si>
  <si>
    <t>Q</t>
  </si>
  <si>
    <t>WITHDRAWL LOSS (Lw)</t>
  </si>
  <si>
    <t>STANDING STORAGE LOSS, bls/periodo</t>
  </si>
  <si>
    <t>STANDING STORAGE LOSS, [bbls/yr]</t>
  </si>
  <si>
    <t>STANDING STORAGE LOSS, lb/yr</t>
  </si>
  <si>
    <t>Total deck-fitting loss factor, in pound-moles per year</t>
  </si>
  <si>
    <r>
      <t>CÁLCULO DE F</t>
    </r>
    <r>
      <rPr>
        <b/>
        <vertAlign val="subscript"/>
        <sz val="9.5"/>
        <color theme="1"/>
        <rFont val="Verdana"/>
        <family val="2"/>
      </rPr>
      <t>f</t>
    </r>
  </si>
  <si>
    <t>DENSITY OF CONDENSED VAPOR Wv, lb/gal</t>
  </si>
  <si>
    <t>5.3.3</t>
  </si>
  <si>
    <t>PRODUCT FACTOR, Kc</t>
  </si>
  <si>
    <t>5.3.2</t>
  </si>
  <si>
    <t>VAPOR MOLECULAR WEIGHT</t>
  </si>
  <si>
    <t>(check Table 16)</t>
  </si>
  <si>
    <r>
      <t xml:space="preserve">Avge annual stock storage temperature as a function of </t>
    </r>
    <r>
      <rPr>
        <sz val="9.5"/>
        <color rgb="FFFF0000"/>
        <rFont val="Verdana"/>
        <family val="2"/>
      </rPr>
      <t>tank paint color</t>
    </r>
  </si>
  <si>
    <t>Ts</t>
  </si>
  <si>
    <t>REFINADOS</t>
  </si>
  <si>
    <t>CRUDOS</t>
  </si>
  <si>
    <t>constant in the vapor pressure equation, deg Rankine</t>
  </si>
  <si>
    <t>B</t>
  </si>
  <si>
    <t>constant in the vapor pressure equation (dimensionless)</t>
  </si>
  <si>
    <t>A</t>
  </si>
  <si>
    <t>Stock true vapor pressure at the avge stock temperature, psia</t>
  </si>
  <si>
    <t>P</t>
  </si>
  <si>
    <t>Atmospheric pressure</t>
  </si>
  <si>
    <t>Pa</t>
  </si>
  <si>
    <t>Equation 19</t>
  </si>
  <si>
    <t>Función de presión de vapor</t>
  </si>
  <si>
    <t>P*</t>
  </si>
  <si>
    <t>VAPOR PRESSURE FUNCTION</t>
  </si>
  <si>
    <t>Total deck-seam loss factor</t>
  </si>
  <si>
    <t>Fd</t>
  </si>
  <si>
    <t>tank diameter</t>
  </si>
  <si>
    <t>Sd</t>
  </si>
  <si>
    <t>deck-seam loss per unith length seam in pound-moles per year</t>
  </si>
  <si>
    <t>Kd</t>
  </si>
  <si>
    <t>only for IFRT bolted construction</t>
  </si>
  <si>
    <t>total deck-seam loss factor</t>
  </si>
  <si>
    <t>CÁLCULO DE Fd</t>
  </si>
  <si>
    <t>sample ports</t>
  </si>
  <si>
    <t>Nfsp*Kf fitting</t>
  </si>
  <si>
    <t>number of fittings</t>
  </si>
  <si>
    <t>Nfsp</t>
  </si>
  <si>
    <t>loss factor for a particular type of deck ﬁtting, in pound-moles per year</t>
  </si>
  <si>
    <t>Kf</t>
  </si>
  <si>
    <t>average ambient wind speed at the tank site, in mph</t>
  </si>
  <si>
    <t>V</t>
  </si>
  <si>
    <t>ﬁtting wind-speed correction factor (dimension-
less)</t>
  </si>
  <si>
    <t>Kv</t>
  </si>
  <si>
    <t>wind-dependent loss exponent for a particular type of deck ﬁtting (dimensionless)</t>
  </si>
  <si>
    <t>m</t>
  </si>
  <si>
    <t>wind-dependent loss factor for a particular type of deck ﬁtting, in pound-moles per (miles per hour)m•year</t>
  </si>
  <si>
    <t>Kfb</t>
  </si>
  <si>
    <t>zero-wind-speed loss factor for a particular type of deck ﬁtting, in pound-moles per year</t>
  </si>
  <si>
    <t>Kfa</t>
  </si>
  <si>
    <t>Sample ports</t>
  </si>
  <si>
    <t>sp: Gauge hatch/sample ports</t>
  </si>
  <si>
    <t>Fitting 11</t>
  </si>
  <si>
    <t>Nffg*Kf fitting</t>
  </si>
  <si>
    <t>Nfgf</t>
  </si>
  <si>
    <t>g:  gauge floats</t>
  </si>
  <si>
    <t>Gauge floats</t>
  </si>
  <si>
    <t>Gauge floats (automatic gauge)</t>
  </si>
  <si>
    <t>Fitting 10</t>
  </si>
  <si>
    <t>Nfc*Kf fitting</t>
  </si>
  <si>
    <t>zero-wind-speed loss factor for a particular type of deck ﬁtting, in pound-moles per year (Ec. 16)</t>
  </si>
  <si>
    <t>c: fixed-roof support columns</t>
  </si>
  <si>
    <t>Columns</t>
  </si>
  <si>
    <t>not typical for EFRTs</t>
  </si>
  <si>
    <t>Support columns</t>
  </si>
  <si>
    <t>Fitting 9</t>
  </si>
  <si>
    <t>ugp: unslotted guide pole</t>
  </si>
  <si>
    <t>Nfugp*Kf fitting</t>
  </si>
  <si>
    <t>Nfugp</t>
  </si>
  <si>
    <t xml:space="preserve">ugp: unslotted guide pole </t>
  </si>
  <si>
    <t>Guide pole</t>
  </si>
  <si>
    <t>Unslotted guide pole</t>
  </si>
  <si>
    <t>Fitting 8</t>
  </si>
  <si>
    <t>vertical ladders</t>
  </si>
  <si>
    <t>Nfl*Kf fitting</t>
  </si>
  <si>
    <t>Nfl</t>
  </si>
  <si>
    <t>IFRT=0</t>
  </si>
  <si>
    <t>(l: ladders)</t>
  </si>
  <si>
    <t>Vertical ladders</t>
  </si>
  <si>
    <t>typical on IFRTs</t>
  </si>
  <si>
    <t>(not typically used on EFRTs)</t>
  </si>
  <si>
    <t>vertical/sliding ladders</t>
  </si>
  <si>
    <t>Fitting 7</t>
  </si>
  <si>
    <t>Rim vents</t>
  </si>
  <si>
    <t>Nfrv*Kf fitting</t>
  </si>
  <si>
    <t>Nfrv</t>
  </si>
  <si>
    <t>rv: rim vents</t>
  </si>
  <si>
    <t>Fitting 6</t>
  </si>
  <si>
    <t>Vacuum breakers</t>
  </si>
  <si>
    <t>Nfvb*Kf fitting</t>
  </si>
  <si>
    <t>(vacuum breakers)</t>
  </si>
  <si>
    <t>Nfvb</t>
  </si>
  <si>
    <t>vb: vacuum breaker</t>
  </si>
  <si>
    <t>Weighted mechanical actuation, gasketed</t>
  </si>
  <si>
    <t>Fitting 5</t>
  </si>
  <si>
    <t>Access hatches - bolted cover, gasketed</t>
  </si>
  <si>
    <t xml:space="preserve">Nfah*Kf fitting </t>
  </si>
  <si>
    <t>access hatches</t>
  </si>
  <si>
    <t>Nfah</t>
  </si>
  <si>
    <t>ah: access hatches</t>
  </si>
  <si>
    <t>Access hatches</t>
  </si>
  <si>
    <t>Access hatches - Bolted cover, gasketed</t>
  </si>
  <si>
    <t>Fitting 4</t>
  </si>
  <si>
    <t xml:space="preserve"> (deck drain)</t>
  </si>
  <si>
    <t xml:space="preserve">Nfdd*Kf fitting </t>
  </si>
  <si>
    <t>(deck drains)</t>
  </si>
  <si>
    <t>Nfdd</t>
  </si>
  <si>
    <t>dd: deck drain</t>
  </si>
  <si>
    <t>Deck drain</t>
  </si>
  <si>
    <t>(typical)</t>
  </si>
  <si>
    <t>3-in. diameter (10% open área)</t>
  </si>
  <si>
    <t>Fitting 3</t>
  </si>
  <si>
    <t>(slotted guide pole)</t>
  </si>
  <si>
    <t xml:space="preserve">Nfsgp*Kf fitting </t>
  </si>
  <si>
    <t>ﬁtting wind-speed correction factor (dimensión-
less)</t>
  </si>
  <si>
    <t>Firma - Registro</t>
  </si>
  <si>
    <t>Nombre</t>
  </si>
  <si>
    <t>not typically used when an unslotted guide pole is present</t>
  </si>
  <si>
    <t>sgp: slotted perforated guidepole</t>
  </si>
  <si>
    <t>Table 6B Ch. 19.2</t>
  </si>
  <si>
    <t>Float w/wiper (Y) - Pole wiper (N) - Pole sleeve (N)</t>
  </si>
  <si>
    <t>Fitting 2</t>
  </si>
  <si>
    <t>Diligenciado por:</t>
  </si>
  <si>
    <t xml:space="preserve"> (deck legs gasketed - pontoon área)</t>
  </si>
  <si>
    <t>Nfdl*Kf fitting 1.a</t>
  </si>
  <si>
    <t>(deck legs gasketed no-sock)</t>
  </si>
  <si>
    <t>number of deck legs</t>
  </si>
  <si>
    <t>Nfdl (1.a)</t>
  </si>
  <si>
    <t>Pérdidas totales, (Ls +Lw)</t>
  </si>
  <si>
    <t>Pérdidas por retiros, Lw</t>
  </si>
  <si>
    <t>Pérdidas por almacenamiento, Ls</t>
  </si>
  <si>
    <t>(ver tabla 6 API MPMS Ch. 19.2 nota g)</t>
  </si>
  <si>
    <t>dl: Gasketed, no sock - pontoon área</t>
  </si>
  <si>
    <t>Deck Legs</t>
  </si>
  <si>
    <t>EMISIONES TANQUE DE TECHO FLOTANTE</t>
  </si>
  <si>
    <t>Adjustable (API Std 650, Appendix C type, pontoon área of pontoon roofs)</t>
  </si>
  <si>
    <t>Fitting 1.a</t>
  </si>
  <si>
    <t xml:space="preserve"> (deck legs ungasketed, no sock)</t>
  </si>
  <si>
    <t>Nf*Kf fitting 1</t>
  </si>
  <si>
    <t>(for typical values see Table 9 API MPMS Ch. 19.2)</t>
  </si>
  <si>
    <t>(deck legs ungasketed no-sock)</t>
  </si>
  <si>
    <t>Nfdl</t>
  </si>
  <si>
    <t>Pérdidas por trabajo, Lw</t>
  </si>
  <si>
    <t>EMISIONES TANQUE DE TECHO FIJO</t>
  </si>
  <si>
    <t>dl: ungasketed, no sock (b)</t>
  </si>
  <si>
    <t>Adjustable (API Std 650, Appendix C type, double deck roofs and center área of pontoon roofs)</t>
  </si>
  <si>
    <t>Fitting 1</t>
  </si>
  <si>
    <t>Soportes de la cubierta fijos</t>
  </si>
  <si>
    <t>47.-</t>
  </si>
  <si>
    <t>Embonado y sin empaque</t>
  </si>
  <si>
    <t>46.-</t>
  </si>
  <si>
    <t>Con empaque, no embonado</t>
  </si>
  <si>
    <t>45.-</t>
  </si>
  <si>
    <t>Sin empaque, no embonado (típicos para EFRT y CFRT)</t>
  </si>
  <si>
    <t>44.-</t>
  </si>
  <si>
    <t>Factor total de pérdida por sello [lbmol/año]</t>
  </si>
  <si>
    <t>Fr</t>
  </si>
  <si>
    <t>Soportes de la cubierta Ajustables (según API 650, tipo apéndice C, área del pontón, en techos con pontón)</t>
  </si>
  <si>
    <t>wind-dependent rim-seal loss exponent (dimensionless)</t>
  </si>
  <si>
    <t>n</t>
  </si>
  <si>
    <t>43.-</t>
  </si>
  <si>
    <t>average ambient wind speed at the tank site, in miles per hour</t>
  </si>
  <si>
    <t>42.-</t>
  </si>
  <si>
    <t>wind-dependent rim-seal loss factor, in pound-moles per (miles per hour)n•ft•year</t>
  </si>
  <si>
    <t>Krb</t>
  </si>
  <si>
    <t>41.-</t>
  </si>
  <si>
    <t>zero-wind-speed rim-seal loss factor, in pound-moles per ft•year</t>
  </si>
  <si>
    <t>Kra</t>
  </si>
  <si>
    <t>Ajustables (según API 650, tipo apéndice C, techos de doble cubierta, área central de techos con pontón)</t>
  </si>
  <si>
    <t>total rim-seal loss factor, in pound-moles per year</t>
  </si>
  <si>
    <t>CÁLCULO DE Fr</t>
  </si>
  <si>
    <t>Soportes de la cubierta</t>
  </si>
  <si>
    <t>Con empaque, sin flotador con limpiador, con limpiador de tubo, sin camisa</t>
  </si>
  <si>
    <t>40.-</t>
  </si>
  <si>
    <t>Con empaque, sin flotador con limpiador, sin limpiador de tubo, con camisa</t>
  </si>
  <si>
    <t>39.-</t>
  </si>
  <si>
    <t>Sin empaque, sin flotador con limpiador, sin limpiador de tubo, con camisa</t>
  </si>
  <si>
    <t>38.-</t>
  </si>
  <si>
    <t>Con empaque, sin flotador con limpiador, sin limpiador de tubo, sin camisa</t>
  </si>
  <si>
    <t>37.-</t>
  </si>
  <si>
    <t>Evaporative Loss from Flotaing-roof Tanks</t>
  </si>
  <si>
    <t>API MPMS Chapter 19.2</t>
  </si>
  <si>
    <t>STANDING STORAGE LOSS CALCULATION</t>
  </si>
  <si>
    <t>Sin empaque, sin flotador con limpiador, sin limpiador de tubo, sin camisa</t>
  </si>
  <si>
    <t>36.-</t>
  </si>
  <si>
    <t>Tubo antirotacional - no perforado</t>
  </si>
  <si>
    <t>Con empaque, con flotador con limpiador, con limpiador de tubo, con camisa</t>
  </si>
  <si>
    <t>35.-</t>
  </si>
  <si>
    <t>Con empaque, sin flotador con limpiador, con limpiador de tubo, con camisa</t>
  </si>
  <si>
    <t>34.-</t>
  </si>
  <si>
    <t>Con empaque, con flotador con limpiador, con limpiador de tubo, sin camisa</t>
  </si>
  <si>
    <t>33.-</t>
  </si>
  <si>
    <t>32.-</t>
  </si>
  <si>
    <t>31.-</t>
  </si>
  <si>
    <t>Con o sin empaque, con flotador con limpiador, sin limpiador de tubo, sin camisa</t>
  </si>
  <si>
    <t>30.-</t>
  </si>
  <si>
    <t>Con o sin empaque, sin flotador con limpiador, sin limpiador de tubo, sin camisa</t>
  </si>
  <si>
    <t>29.-</t>
  </si>
  <si>
    <t>Tubo antirotacional - perforado</t>
  </si>
  <si>
    <t>Pérdidas por trabajo</t>
  </si>
  <si>
    <t>Actuador mecánico por peso,  con empaque</t>
  </si>
  <si>
    <t>28.-</t>
  </si>
  <si>
    <t>Accionado mecánicamente por peso, con empaque</t>
  </si>
  <si>
    <t>26.-</t>
  </si>
  <si>
    <t>Actuador mecánico por peso,  sin empaque</t>
  </si>
  <si>
    <t>27.-</t>
  </si>
  <si>
    <t>Accionado mecánicamente por peso, sin empaque</t>
  </si>
  <si>
    <t>25.-</t>
  </si>
  <si>
    <t>Venteos de cubierta</t>
  </si>
  <si>
    <t>Interruptores de vacío</t>
  </si>
  <si>
    <t>Diámetro 1 pulgada</t>
  </si>
  <si>
    <t>24.-</t>
  </si>
  <si>
    <t>Tipo hendidura con sello estopa</t>
  </si>
  <si>
    <t>21.-</t>
  </si>
  <si>
    <t>Working Loss Calculation</t>
  </si>
  <si>
    <t>Diámetro 3 pulgadas; abierto 10% del área</t>
  </si>
  <si>
    <t>23.-</t>
  </si>
  <si>
    <t>Con actuador mecánico por peso con empaque</t>
  </si>
  <si>
    <t>20.-</t>
  </si>
  <si>
    <t>Abierto, 3 pulgadas de diámetro</t>
  </si>
  <si>
    <t>22.-</t>
  </si>
  <si>
    <t>Con actuador mecánico por peso sin empaque</t>
  </si>
  <si>
    <t>19.-</t>
  </si>
  <si>
    <t>Drenajes de la cubierta</t>
  </si>
  <si>
    <t>Escotilla de medición y muestreo</t>
  </si>
  <si>
    <t>Tipo cubierta con tornillos y con empaque</t>
  </si>
  <si>
    <t>18.-</t>
  </si>
  <si>
    <t>Tapa atornillada y con empaque</t>
  </si>
  <si>
    <t>15.-</t>
  </si>
  <si>
    <t>PB=±0,03</t>
  </si>
  <si>
    <t>Vent setting correction factor, dimensionless</t>
  </si>
  <si>
    <t>KB</t>
  </si>
  <si>
    <t>Con cubierta sin tornillos y con empaque</t>
  </si>
  <si>
    <t>17.-</t>
  </si>
  <si>
    <t>Tapa no atornillada y con empaque</t>
  </si>
  <si>
    <t>14.-</t>
  </si>
  <si>
    <t>Con cubierta sin tornillos ni empaque</t>
  </si>
  <si>
    <t>16.-</t>
  </si>
  <si>
    <t>Tapa no atornillada y sin empaque</t>
  </si>
  <si>
    <t>13.-</t>
  </si>
  <si>
    <t>(table 3)</t>
  </si>
  <si>
    <t>Working loss product factor, dimensionless</t>
  </si>
  <si>
    <t>KP</t>
  </si>
  <si>
    <t>Flotadores de medición</t>
  </si>
  <si>
    <t>Escotillas de acceso</t>
  </si>
  <si>
    <t>Working loss turnover factor, dimensionless</t>
  </si>
  <si>
    <t>KN</t>
  </si>
  <si>
    <t>Zapato mecánico con sello secundario montado sobre el borde del techo en tanque remachado</t>
  </si>
  <si>
    <t>12.-</t>
  </si>
  <si>
    <t>Zapato mecánico con sello secundario sobre el zapato en tanque remachado</t>
  </si>
  <si>
    <t>11.-</t>
  </si>
  <si>
    <t>Zapato mecánico primario en tanque remachado</t>
  </si>
  <si>
    <t>10.-</t>
  </si>
  <si>
    <t>Stock turnover rate [turnover/yr]</t>
  </si>
  <si>
    <t>N</t>
  </si>
  <si>
    <t>Elástico sobre vapor con sello secundario montado en el borde del techo</t>
  </si>
  <si>
    <t>9.-</t>
  </si>
  <si>
    <t>Elástico primario sobre vapor con protector a la intemperie</t>
  </si>
  <si>
    <t>8.-</t>
  </si>
  <si>
    <t>WORKING LOSS, Lw</t>
  </si>
  <si>
    <t>Elástico primario sobre vapor</t>
  </si>
  <si>
    <t>7.-</t>
  </si>
  <si>
    <t>Elástico sobre líquido con sello secundario montado en el borde del techo (bolsa en PVC llena de líquido)</t>
  </si>
  <si>
    <t>6.-</t>
  </si>
  <si>
    <t>Ls</t>
  </si>
  <si>
    <t>Elástico primario sobre líquido con protector a la intemperie (bolsa en PVC llena de líquido)</t>
  </si>
  <si>
    <t>5.-</t>
  </si>
  <si>
    <t>Standing Storage Loss</t>
  </si>
  <si>
    <t>Elástico primario sobre líquido (bolsa en PVC llena de líquido)</t>
  </si>
  <si>
    <t>4.-</t>
  </si>
  <si>
    <t>Zapato mecánico con sello secundario montado en el borde del techo</t>
  </si>
  <si>
    <t>3.-</t>
  </si>
  <si>
    <t>Zapato mecánico con sello secundario montado en el zapato (wiper type)</t>
  </si>
  <si>
    <t>2.-</t>
  </si>
  <si>
    <t>Zapato mecánico primario solamente</t>
  </si>
  <si>
    <t>1.-</t>
  </si>
  <si>
    <t>lb/gal</t>
  </si>
  <si>
    <t>Wvc</t>
  </si>
  <si>
    <r>
      <t>Kr</t>
    </r>
    <r>
      <rPr>
        <b/>
        <vertAlign val="subscript"/>
        <sz val="9.5"/>
        <rFont val="Verdana"/>
        <family val="2"/>
      </rPr>
      <t>b</t>
    </r>
  </si>
  <si>
    <r>
      <t>Kr</t>
    </r>
    <r>
      <rPr>
        <b/>
        <vertAlign val="subscript"/>
        <sz val="9.5"/>
        <rFont val="Verdana"/>
        <family val="2"/>
      </rPr>
      <t>a</t>
    </r>
  </si>
  <si>
    <t>Seleccionar tipo</t>
  </si>
  <si>
    <t xml:space="preserve">Sellos de la cubierta </t>
  </si>
  <si>
    <t>Stock condensed vapor density at 60°F, lb/gal</t>
  </si>
  <si>
    <t>ACCESORIOS EN TANQUES DE TECHO FLOTANTE</t>
  </si>
  <si>
    <t>pounds/year</t>
  </si>
  <si>
    <t>Standing Storage Loss Calculation</t>
  </si>
  <si>
    <r>
      <t xml:space="preserve">Velocidad promedio del viento, </t>
    </r>
    <r>
      <rPr>
        <i/>
        <sz val="9.5"/>
        <rFont val="Verdana"/>
        <family val="2"/>
      </rPr>
      <t>m/s</t>
    </r>
  </si>
  <si>
    <r>
      <t xml:space="preserve">Radiación solar diaria, </t>
    </r>
    <r>
      <rPr>
        <i/>
        <sz val="9.5"/>
        <rFont val="Verdana"/>
        <family val="2"/>
      </rPr>
      <t>cal/cm</t>
    </r>
    <r>
      <rPr>
        <i/>
        <vertAlign val="superscript"/>
        <sz val="9.5"/>
        <rFont val="Verdana"/>
        <family val="2"/>
      </rPr>
      <t>2</t>
    </r>
    <r>
      <rPr>
        <i/>
        <sz val="9.5"/>
        <rFont val="Verdana"/>
        <family val="2"/>
      </rPr>
      <t>día</t>
    </r>
  </si>
  <si>
    <t>lb/ft3</t>
  </si>
  <si>
    <t>Wv</t>
  </si>
  <si>
    <t>API MPMS Chapter 19.2 "Evaporative Loss from Floating-Roof Tanks"</t>
  </si>
  <si>
    <r>
      <t xml:space="preserve">Presión atmosférica local, </t>
    </r>
    <r>
      <rPr>
        <i/>
        <sz val="9.5"/>
        <rFont val="Verdana"/>
        <family val="2"/>
      </rPr>
      <t>mbar</t>
    </r>
  </si>
  <si>
    <t>Stock vapor density</t>
  </si>
  <si>
    <r>
      <t xml:space="preserve">Temperatura ambiente promedio anual, </t>
    </r>
    <r>
      <rPr>
        <i/>
        <sz val="9.5"/>
        <rFont val="Verdana"/>
        <family val="2"/>
      </rPr>
      <t>°C</t>
    </r>
  </si>
  <si>
    <t xml:space="preserve"> [dimensionless]</t>
  </si>
  <si>
    <t>KS</t>
  </si>
  <si>
    <t>API MPMS Chapter 19.1 "Evaporative Loss from Fixed-Roof Tanks"</t>
  </si>
  <si>
    <r>
      <t>Temperatura ambiente mínima diaria,</t>
    </r>
    <r>
      <rPr>
        <i/>
        <sz val="9.5"/>
        <rFont val="Verdana"/>
        <family val="2"/>
      </rPr>
      <t xml:space="preserve"> °C</t>
    </r>
  </si>
  <si>
    <r>
      <t xml:space="preserve">Temperatura ambiente máxima diaria, </t>
    </r>
    <r>
      <rPr>
        <i/>
        <sz val="9.5"/>
        <rFont val="Verdana"/>
        <family val="2"/>
      </rPr>
      <t>°C</t>
    </r>
  </si>
  <si>
    <t>Stock vapor pressure at the daily avge liquid surface temp.</t>
  </si>
  <si>
    <t>PVA [psia]</t>
  </si>
  <si>
    <t>NORMATIVA APLICABLE</t>
  </si>
  <si>
    <t>CONDICIONES AMBIENTALES EN EL ÁREA</t>
  </si>
  <si>
    <t>Daily average liquid surface Temperature</t>
  </si>
  <si>
    <t>TLA [°R]</t>
  </si>
  <si>
    <t>Liquid bulk Temperature</t>
  </si>
  <si>
    <t>TB [°R]</t>
  </si>
  <si>
    <r>
      <t xml:space="preserve">Pendiente del techo cónico, </t>
    </r>
    <r>
      <rPr>
        <i/>
        <sz val="9.5"/>
        <rFont val="Verdana"/>
        <family val="2"/>
      </rPr>
      <t>m/m</t>
    </r>
  </si>
  <si>
    <t>Daily ambient Temperature range</t>
  </si>
  <si>
    <t>ΔTA [°R]</t>
  </si>
  <si>
    <t>TECHO DEL TANQUE</t>
  </si>
  <si>
    <r>
      <t xml:space="preserve">Ajuste de vacío válvula, </t>
    </r>
    <r>
      <rPr>
        <i/>
        <sz val="9.5"/>
        <rFont val="Verdana"/>
        <family val="2"/>
      </rPr>
      <t>psig</t>
    </r>
  </si>
  <si>
    <t>Daily average ambient Temperature</t>
  </si>
  <si>
    <t>TAA [°R]</t>
  </si>
  <si>
    <r>
      <t xml:space="preserve">Ajuste de presión válvula, </t>
    </r>
    <r>
      <rPr>
        <i/>
        <sz val="9.5"/>
        <rFont val="Verdana"/>
        <family val="2"/>
      </rPr>
      <t>psig</t>
    </r>
  </si>
  <si>
    <t>Daily minimum ambient Temperature</t>
  </si>
  <si>
    <t>TAN [°R]</t>
  </si>
  <si>
    <t>Mala</t>
  </si>
  <si>
    <r>
      <t xml:space="preserve">Movimiento neto promedio de producto, </t>
    </r>
    <r>
      <rPr>
        <i/>
        <sz val="9.5"/>
        <rFont val="Verdana"/>
        <family val="2"/>
      </rPr>
      <t>bls/año</t>
    </r>
  </si>
  <si>
    <t>Condición interna del cuerpo del tanque</t>
  </si>
  <si>
    <t>Daily maximum ambient Temperature</t>
  </si>
  <si>
    <t>TAX [°R]</t>
  </si>
  <si>
    <t>Buena</t>
  </si>
  <si>
    <r>
      <t>Peso molecular promedio del vapor,</t>
    </r>
    <r>
      <rPr>
        <i/>
        <sz val="9.5"/>
        <rFont val="Verdana"/>
        <family val="2"/>
      </rPr>
      <t xml:space="preserve"> lbs/lb-mol</t>
    </r>
  </si>
  <si>
    <t>Condición de la pintura del tanque</t>
  </si>
  <si>
    <t>Constant in the vapor pressure eq.</t>
  </si>
  <si>
    <t>B [°R]</t>
  </si>
  <si>
    <t>Negro</t>
  </si>
  <si>
    <r>
      <t xml:space="preserve">Presión de vapor REID, </t>
    </r>
    <r>
      <rPr>
        <i/>
        <sz val="9.5"/>
        <rFont val="Verdana"/>
        <family val="2"/>
      </rPr>
      <t>psig</t>
    </r>
  </si>
  <si>
    <t>Color del tanque</t>
  </si>
  <si>
    <t>A [adm]</t>
  </si>
  <si>
    <t>Blanco</t>
  </si>
  <si>
    <r>
      <t>Pendiente de destilación, °</t>
    </r>
    <r>
      <rPr>
        <i/>
        <sz val="9.5"/>
        <rFont val="Verdana"/>
        <family val="2"/>
      </rPr>
      <t>F/%vol</t>
    </r>
  </si>
  <si>
    <r>
      <t xml:space="preserve">Nivel máximo de líquido, </t>
    </r>
    <r>
      <rPr>
        <i/>
        <sz val="9.5"/>
        <rFont val="Verdana"/>
        <family val="2"/>
      </rPr>
      <t>m</t>
    </r>
  </si>
  <si>
    <t>Vapor space outage (or height), [ft]</t>
  </si>
  <si>
    <t>HVO</t>
  </si>
  <si>
    <t>Revestimiento</t>
  </si>
  <si>
    <r>
      <t xml:space="preserve">Temperatura promedio del líquido, </t>
    </r>
    <r>
      <rPr>
        <i/>
        <sz val="9.5"/>
        <rFont val="Verdana"/>
        <family val="2"/>
      </rPr>
      <t>°F</t>
    </r>
  </si>
  <si>
    <r>
      <t xml:space="preserve">Nivel promedio de líquido, </t>
    </r>
    <r>
      <rPr>
        <i/>
        <sz val="9.5"/>
        <rFont val="Verdana"/>
        <family val="2"/>
      </rPr>
      <t>m</t>
    </r>
  </si>
  <si>
    <t>Roof outage [ft]</t>
  </si>
  <si>
    <t>HRO</t>
  </si>
  <si>
    <t>Óxido Denso</t>
  </si>
  <si>
    <t>Refinado</t>
  </si>
  <si>
    <r>
      <t>Densidad del líquido,</t>
    </r>
    <r>
      <rPr>
        <i/>
        <sz val="9.5"/>
        <rFont val="Verdana"/>
        <family val="2"/>
      </rPr>
      <t xml:space="preserve"> lb/gal</t>
    </r>
  </si>
  <si>
    <r>
      <t xml:space="preserve">Altura del tanque, </t>
    </r>
    <r>
      <rPr>
        <i/>
        <sz val="9.5"/>
        <color theme="1"/>
        <rFont val="Verdana"/>
        <family val="2"/>
      </rPr>
      <t>m</t>
    </r>
  </si>
  <si>
    <t>Tank roof height, [ft]</t>
  </si>
  <si>
    <t>HR</t>
  </si>
  <si>
    <t>Óxido Ligero</t>
  </si>
  <si>
    <t>Crudo</t>
  </si>
  <si>
    <r>
      <t xml:space="preserve">Gravedad API @ 60 </t>
    </r>
    <r>
      <rPr>
        <i/>
        <sz val="9.5"/>
        <rFont val="Verdana"/>
        <family val="2"/>
      </rPr>
      <t>°F</t>
    </r>
  </si>
  <si>
    <r>
      <t xml:space="preserve">Diámetro, </t>
    </r>
    <r>
      <rPr>
        <i/>
        <sz val="9.5"/>
        <rFont val="Verdana"/>
        <family val="2"/>
      </rPr>
      <t>m</t>
    </r>
  </si>
  <si>
    <t>Tank shell radius, [ft]</t>
  </si>
  <si>
    <t>RS</t>
  </si>
  <si>
    <t>DATOS DEL LÍQUIDO ALMACENADO EN EL TANQUE</t>
  </si>
  <si>
    <t>DATOS DEL TANQUE</t>
  </si>
  <si>
    <t>Techo flotante externo</t>
  </si>
  <si>
    <t>vapor space expansión factor, dimensionless</t>
  </si>
  <si>
    <t xml:space="preserve">KE, </t>
  </si>
  <si>
    <t>Techo fijo cónico</t>
  </si>
  <si>
    <t>PERÍODO:</t>
  </si>
  <si>
    <t>FECHA FINAL:</t>
  </si>
  <si>
    <t>ESTACIÓN:</t>
  </si>
  <si>
    <r>
      <t xml:space="preserve">Daily vapor temperature range, </t>
    </r>
    <r>
      <rPr>
        <sz val="9.5"/>
        <color theme="1"/>
        <rFont val="Verdana"/>
        <family val="2"/>
      </rPr>
      <t>°R</t>
    </r>
  </si>
  <si>
    <t>∆Tv,</t>
  </si>
  <si>
    <t>FECHA INICIAL:</t>
  </si>
  <si>
    <t>PRODUCTO:</t>
  </si>
  <si>
    <t>TAG TANQUE:</t>
  </si>
  <si>
    <t>Table 5</t>
  </si>
  <si>
    <t>Tank surface solar absorptance, dimensionless</t>
  </si>
  <si>
    <t>α</t>
  </si>
  <si>
    <t>STANDING STORAGE LOSS, Ls</t>
  </si>
  <si>
    <t>Versión:
 1</t>
  </si>
  <si>
    <t>Elaborado
 16/05/2014</t>
  </si>
  <si>
    <t>CÓDIGO CNE
 ECP-VIN-P-MBC-FT-038</t>
  </si>
  <si>
    <t>Evaporative Loss from Fixed-Roof Tanks</t>
  </si>
  <si>
    <t>API MPMS Chapter 19.1</t>
  </si>
  <si>
    <t>VICEPRESIDENCIA DE INNOVACIÓN Y TECNOLOGÍA
CORPORATIVO DE NORMAS Y ESTÁNDARES</t>
  </si>
  <si>
    <t>FORMATO PARA CÁLCULO DE EMISIONES EN TANQUES DE ALMACENAMIENTO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</si>
</sst>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0.0000"/>
    <numFmt numFmtId="165" formatCode="0.0"/>
    <numFmt numFmtId="166" formatCode="#,##0.0"/>
    <numFmt numFmtId="167" formatCode="0.0000_)"/>
    <numFmt numFmtId="168" formatCode="#,##0.000"/>
    <numFmt numFmtId="169" formatCode="0.00000"/>
    <numFmt numFmtId="170" formatCode="0.000"/>
    <numFmt numFmtId="171" formatCode="0.000000000"/>
    <numFmt numFmtId="172" formatCode="0.0000000"/>
    <numFmt numFmtId="173" formatCode="0.00000000"/>
    <numFmt numFmtId="174" formatCode="0.0000000000000000"/>
    <numFmt numFmtId="175" formatCode="0.000%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.5"/>
      <name val="Verdana"/>
      <family val="2"/>
    </font>
    <font>
      <b/>
      <sz val="9.5"/>
      <name val="Verdana"/>
      <family val="2"/>
    </font>
    <font>
      <sz val="9.5"/>
      <color rgb="FFFF0000"/>
      <name val="Verdana"/>
      <family val="2"/>
    </font>
    <font>
      <b/>
      <sz val="9.5"/>
      <color theme="1"/>
      <name val="Verdana"/>
      <family val="2"/>
    </font>
    <font>
      <b/>
      <vertAlign val="subscript"/>
      <sz val="9.5"/>
      <color theme="1"/>
      <name val="Verdana"/>
      <family val="2"/>
    </font>
    <font>
      <b/>
      <sz val="9.5"/>
      <color rgb="FFFF0000"/>
      <name val="Verdana"/>
      <family val="2"/>
    </font>
    <font>
      <b/>
      <sz val="9.5"/>
      <color rgb="FF0070C0"/>
      <name val="Verdana"/>
      <family val="2"/>
    </font>
    <font>
      <sz val="9.5"/>
      <color theme="1"/>
      <name val="Verdana"/>
      <family val="2"/>
    </font>
    <font>
      <sz val="9.5"/>
      <color rgb="FFC00000"/>
      <name val="Verdana"/>
      <family val="2"/>
    </font>
    <font>
      <sz val="9.5"/>
      <color indexed="8"/>
      <name val="Verdana"/>
      <family val="2"/>
    </font>
    <font>
      <b/>
      <sz val="9.5"/>
      <color indexed="8"/>
      <name val="Verdana"/>
      <family val="2"/>
    </font>
    <font>
      <b/>
      <sz val="9.5"/>
      <color theme="0"/>
      <name val="Verdana"/>
      <family val="2"/>
    </font>
    <font>
      <b/>
      <vertAlign val="subscript"/>
      <sz val="9.5"/>
      <name val="Verdana"/>
      <family val="2"/>
    </font>
    <font>
      <i/>
      <sz val="9.5"/>
      <name val="Verdana"/>
      <family val="2"/>
    </font>
    <font>
      <i/>
      <vertAlign val="superscript"/>
      <sz val="9.5"/>
      <name val="Verdana"/>
      <family val="2"/>
    </font>
    <font>
      <sz val="9.5"/>
      <color indexed="10"/>
      <name val="Verdana"/>
      <family val="2"/>
    </font>
    <font>
      <sz val="9.5"/>
      <color theme="4" tint="-0.499984740745262"/>
      <name val="Verdana"/>
      <family val="2"/>
    </font>
    <font>
      <i/>
      <sz val="9.5"/>
      <color theme="1"/>
      <name val="Verdana"/>
      <family val="2"/>
    </font>
    <font>
      <sz val="9.5"/>
      <color theme="0"/>
      <name val="Verdana"/>
      <family val="2"/>
    </font>
    <font>
      <b/>
      <sz val="9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7FFA7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7DE1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9D2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47">
    <xf numFmtId="0" fontId="0" fillId="0" borderId="0" xfId="0"/>
    <xf numFmtId="0" fontId="2" fillId="0" borderId="0" xfId="1" applyFont="1"/>
    <xf numFmtId="164" fontId="2" fillId="0" borderId="0" xfId="1" applyNumberFormat="1" applyFont="1"/>
    <xf numFmtId="164" fontId="2" fillId="2" borderId="0" xfId="1" applyNumberFormat="1" applyFont="1" applyFill="1"/>
    <xf numFmtId="0" fontId="2" fillId="3" borderId="0" xfId="1" applyFont="1" applyFill="1"/>
    <xf numFmtId="0" fontId="3" fillId="3" borderId="0" xfId="1" applyFont="1" applyFill="1"/>
    <xf numFmtId="0" fontId="2" fillId="0" borderId="0" xfId="1" applyFont="1" applyAlignment="1">
      <alignment horizontal="right"/>
    </xf>
    <xf numFmtId="0" fontId="2" fillId="4" borderId="0" xfId="1" applyFont="1" applyFill="1"/>
    <xf numFmtId="0" fontId="4" fillId="0" borderId="0" xfId="1" applyFont="1"/>
    <xf numFmtId="0" fontId="2" fillId="2" borderId="0" xfId="1" applyFont="1" applyFill="1"/>
    <xf numFmtId="0" fontId="5" fillId="3" borderId="0" xfId="1" applyFont="1" applyFill="1"/>
    <xf numFmtId="1" fontId="2" fillId="5" borderId="0" xfId="1" applyNumberFormat="1" applyFont="1" applyFill="1"/>
    <xf numFmtId="0" fontId="5" fillId="0" borderId="0" xfId="1" applyFont="1"/>
    <xf numFmtId="0" fontId="2" fillId="5" borderId="0" xfId="1" applyFont="1" applyFill="1"/>
    <xf numFmtId="0" fontId="2" fillId="3" borderId="1" xfId="1" applyFont="1" applyFill="1" applyBorder="1" applyAlignment="1">
      <alignment horizontal="center"/>
    </xf>
    <xf numFmtId="0" fontId="3" fillId="0" borderId="0" xfId="1" applyFont="1"/>
    <xf numFmtId="0" fontId="3" fillId="5" borderId="0" xfId="1" applyFont="1" applyFill="1"/>
    <xf numFmtId="0" fontId="2" fillId="6" borderId="0" xfId="1" applyFont="1" applyFill="1"/>
    <xf numFmtId="0" fontId="7" fillId="0" borderId="0" xfId="1" applyFont="1"/>
    <xf numFmtId="2" fontId="5" fillId="7" borderId="0" xfId="1" applyNumberFormat="1" applyFont="1" applyFill="1"/>
    <xf numFmtId="0" fontId="8" fillId="0" borderId="0" xfId="1" applyFont="1"/>
    <xf numFmtId="0" fontId="2" fillId="7" borderId="0" xfId="1" applyFont="1" applyFill="1"/>
    <xf numFmtId="165" fontId="5" fillId="7" borderId="0" xfId="1" applyNumberFormat="1" applyFont="1" applyFill="1"/>
    <xf numFmtId="0" fontId="4" fillId="0" borderId="0" xfId="1" applyFont="1" applyAlignment="1">
      <alignment horizontal="center"/>
    </xf>
    <xf numFmtId="0" fontId="5" fillId="7" borderId="0" xfId="1" applyFont="1" applyFill="1"/>
    <xf numFmtId="0" fontId="2" fillId="0" borderId="0" xfId="1" applyFont="1" applyAlignment="1">
      <alignment wrapText="1"/>
    </xf>
    <xf numFmtId="0" fontId="2" fillId="0" borderId="2" xfId="1" applyFont="1" applyBorder="1"/>
    <xf numFmtId="0" fontId="2" fillId="0" borderId="3" xfId="1" applyFont="1" applyBorder="1"/>
    <xf numFmtId="0" fontId="2" fillId="0" borderId="5" xfId="1" applyFont="1" applyBorder="1"/>
    <xf numFmtId="0" fontId="2" fillId="0" borderId="6" xfId="1" applyFont="1" applyBorder="1"/>
    <xf numFmtId="0" fontId="2" fillId="0" borderId="0" xfId="1" applyFont="1" applyProtection="1">
      <protection locked="0"/>
    </xf>
    <xf numFmtId="0" fontId="2" fillId="0" borderId="7" xfId="1" applyFont="1" applyBorder="1"/>
    <xf numFmtId="165" fontId="2" fillId="5" borderId="0" xfId="1" applyNumberFormat="1" applyFont="1" applyFill="1"/>
    <xf numFmtId="165" fontId="2" fillId="0" borderId="0" xfId="1" applyNumberFormat="1" applyFont="1"/>
    <xf numFmtId="165" fontId="9" fillId="7" borderId="0" xfId="1" applyNumberFormat="1" applyFont="1" applyFill="1"/>
    <xf numFmtId="0" fontId="2" fillId="0" borderId="8" xfId="1" applyFont="1" applyBorder="1"/>
    <xf numFmtId="3" fontId="3" fillId="0" borderId="8" xfId="1" applyNumberFormat="1" applyFont="1" applyBorder="1"/>
    <xf numFmtId="2" fontId="3" fillId="0" borderId="8" xfId="1" applyNumberFormat="1" applyFont="1" applyBorder="1"/>
    <xf numFmtId="165" fontId="2" fillId="8" borderId="9" xfId="1" applyNumberFormat="1" applyFont="1" applyFill="1" applyBorder="1" applyAlignment="1">
      <alignment horizontal="left"/>
    </xf>
    <xf numFmtId="0" fontId="2" fillId="8" borderId="4" xfId="1" applyFont="1" applyFill="1" applyBorder="1"/>
    <xf numFmtId="0" fontId="2" fillId="8" borderId="10" xfId="1" applyFont="1" applyFill="1" applyBorder="1"/>
    <xf numFmtId="0" fontId="2" fillId="0" borderId="4" xfId="1" applyFont="1" applyBorder="1"/>
    <xf numFmtId="0" fontId="2" fillId="0" borderId="11" xfId="1" applyFont="1" applyBorder="1"/>
    <xf numFmtId="0" fontId="2" fillId="0" borderId="11" xfId="1" applyFont="1" applyBorder="1" applyAlignment="1">
      <alignment horizontal="left"/>
    </xf>
    <xf numFmtId="165" fontId="2" fillId="0" borderId="4" xfId="1" applyNumberFormat="1" applyFont="1" applyBorder="1" applyAlignment="1">
      <alignment horizontal="left"/>
    </xf>
    <xf numFmtId="0" fontId="2" fillId="3" borderId="0" xfId="1" applyFont="1" applyFill="1" applyAlignment="1">
      <alignment horizontal="center"/>
    </xf>
    <xf numFmtId="165" fontId="2" fillId="8" borderId="9" xfId="1" applyNumberFormat="1" applyFont="1" applyFill="1" applyBorder="1" applyAlignment="1">
      <alignment horizontal="left" vertical="center"/>
    </xf>
    <xf numFmtId="0" fontId="2" fillId="8" borderId="4" xfId="1" applyFont="1" applyFill="1" applyBorder="1" applyAlignment="1">
      <alignment vertical="center"/>
    </xf>
    <xf numFmtId="0" fontId="2" fillId="8" borderId="10" xfId="1" applyFont="1" applyFill="1" applyBorder="1" applyAlignment="1">
      <alignment vertical="center"/>
    </xf>
    <xf numFmtId="0" fontId="10" fillId="0" borderId="0" xfId="1" applyFont="1"/>
    <xf numFmtId="0" fontId="2" fillId="0" borderId="0" xfId="1" applyFont="1" applyAlignment="1">
      <alignment horizontal="center"/>
    </xf>
    <xf numFmtId="0" fontId="2" fillId="0" borderId="12" xfId="1" applyFont="1" applyBorder="1" applyAlignment="1" applyProtection="1">
      <alignment horizontal="center"/>
      <protection locked="0"/>
    </xf>
    <xf numFmtId="0" fontId="2" fillId="0" borderId="0" xfId="1" applyFont="1" applyAlignment="1">
      <alignment vertical="center"/>
    </xf>
    <xf numFmtId="0" fontId="2" fillId="0" borderId="13" xfId="1" applyFont="1" applyBorder="1"/>
    <xf numFmtId="0" fontId="2" fillId="0" borderId="11" xfId="1" applyFont="1" applyBorder="1" applyAlignment="1">
      <alignment horizontal="center"/>
    </xf>
    <xf numFmtId="167" fontId="11" fillId="0" borderId="11" xfId="2" applyNumberFormat="1" applyFont="1" applyBorder="1" applyAlignment="1">
      <alignment horizontal="left"/>
    </xf>
    <xf numFmtId="0" fontId="11" fillId="0" borderId="11" xfId="2" applyFont="1" applyBorder="1" applyAlignment="1">
      <alignment horizontal="centerContinuous"/>
    </xf>
    <xf numFmtId="0" fontId="2" fillId="0" borderId="11" xfId="1" applyFont="1" applyBorder="1" applyAlignment="1">
      <alignment vertical="center"/>
    </xf>
    <xf numFmtId="0" fontId="3" fillId="0" borderId="11" xfId="1" applyFont="1" applyBorder="1" applyAlignment="1">
      <alignment vertical="center"/>
    </xf>
    <xf numFmtId="0" fontId="2" fillId="0" borderId="14" xfId="1" applyFont="1" applyBorder="1"/>
    <xf numFmtId="0" fontId="3" fillId="4" borderId="0" xfId="1" applyFont="1" applyFill="1" applyAlignment="1">
      <alignment horizontal="center" vertical="center"/>
    </xf>
    <xf numFmtId="0" fontId="9" fillId="5" borderId="0" xfId="1" applyFont="1" applyFill="1"/>
    <xf numFmtId="3" fontId="2" fillId="0" borderId="0" xfId="1" applyNumberFormat="1" applyFont="1"/>
    <xf numFmtId="0" fontId="3" fillId="0" borderId="6" xfId="1" applyFont="1" applyBorder="1" applyAlignment="1">
      <alignment horizontal="center" vertic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center" vertical="center"/>
    </xf>
    <xf numFmtId="168" fontId="3" fillId="0" borderId="0" xfId="1" applyNumberFormat="1" applyFont="1" applyAlignment="1">
      <alignment horizontal="center"/>
    </xf>
    <xf numFmtId="0" fontId="2" fillId="0" borderId="0" xfId="1" applyFont="1" applyAlignment="1">
      <alignment horizontal="left"/>
    </xf>
    <xf numFmtId="169" fontId="2" fillId="0" borderId="6" xfId="1" applyNumberFormat="1" applyFont="1" applyBorder="1" applyAlignment="1">
      <alignment horizontal="center"/>
    </xf>
    <xf numFmtId="169" fontId="2" fillId="0" borderId="0" xfId="1" applyNumberFormat="1" applyFont="1"/>
    <xf numFmtId="164" fontId="2" fillId="0" borderId="0" xfId="1" applyNumberFormat="1" applyFont="1" applyAlignment="1">
      <alignment horizontal="center"/>
    </xf>
    <xf numFmtId="0" fontId="3" fillId="0" borderId="0" xfId="1" applyFont="1" applyAlignment="1">
      <alignment vertical="center"/>
    </xf>
    <xf numFmtId="164" fontId="12" fillId="0" borderId="0" xfId="2" applyNumberFormat="1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3" fillId="0" borderId="0" xfId="1" applyFont="1" applyAlignment="1">
      <alignment horizontal="left"/>
    </xf>
    <xf numFmtId="164" fontId="11" fillId="0" borderId="0" xfId="2" applyNumberFormat="1" applyFont="1" applyAlignment="1">
      <alignment horizontal="center"/>
    </xf>
    <xf numFmtId="0" fontId="2" fillId="0" borderId="0" xfId="1" applyFont="1" applyAlignment="1">
      <alignment horizontal="center" vertical="center"/>
    </xf>
    <xf numFmtId="166" fontId="2" fillId="0" borderId="0" xfId="1" applyNumberFormat="1" applyFont="1"/>
    <xf numFmtId="170" fontId="3" fillId="0" borderId="6" xfId="1" applyNumberFormat="1" applyFont="1" applyBorder="1" applyAlignment="1">
      <alignment horizontal="center" vertical="center"/>
    </xf>
    <xf numFmtId="170" fontId="3" fillId="0" borderId="0" xfId="1" applyNumberFormat="1" applyFont="1" applyAlignment="1">
      <alignment horizontal="center" vertical="center"/>
    </xf>
    <xf numFmtId="165" fontId="7" fillId="0" borderId="0" xfId="1" applyNumberFormat="1" applyFont="1" applyAlignment="1">
      <alignment horizontal="center" vertical="center"/>
    </xf>
    <xf numFmtId="165" fontId="12" fillId="0" borderId="0" xfId="1" applyNumberFormat="1" applyFont="1" applyAlignment="1">
      <alignment horizontal="center" vertical="center"/>
    </xf>
    <xf numFmtId="165" fontId="12" fillId="0" borderId="0" xfId="1" applyNumberFormat="1" applyFont="1" applyAlignment="1">
      <alignment horizontal="left" vertical="center"/>
    </xf>
    <xf numFmtId="165" fontId="3" fillId="0" borderId="0" xfId="1" applyNumberFormat="1" applyFont="1" applyAlignment="1">
      <alignment horizontal="center" vertical="center"/>
    </xf>
    <xf numFmtId="165" fontId="3" fillId="0" borderId="0" xfId="1" applyNumberFormat="1" applyFont="1" applyAlignment="1">
      <alignment horizontal="left" vertical="center"/>
    </xf>
    <xf numFmtId="164" fontId="3" fillId="0" borderId="0" xfId="1" applyNumberFormat="1" applyFont="1" applyAlignment="1">
      <alignment horizontal="center" vertical="center"/>
    </xf>
    <xf numFmtId="3" fontId="3" fillId="0" borderId="0" xfId="1" applyNumberFormat="1" applyFont="1" applyAlignment="1">
      <alignment horizontal="center" vertical="center"/>
    </xf>
    <xf numFmtId="0" fontId="11" fillId="0" borderId="0" xfId="1" applyFont="1"/>
    <xf numFmtId="11" fontId="11" fillId="0" borderId="0" xfId="1" applyNumberFormat="1" applyFont="1"/>
    <xf numFmtId="171" fontId="2" fillId="0" borderId="0" xfId="1" applyNumberFormat="1" applyFont="1" applyAlignment="1">
      <alignment horizontal="center"/>
    </xf>
    <xf numFmtId="172" fontId="2" fillId="0" borderId="0" xfId="2" applyNumberFormat="1" applyFont="1"/>
    <xf numFmtId="165" fontId="2" fillId="0" borderId="0" xfId="2" applyNumberFormat="1" applyFont="1"/>
    <xf numFmtId="170" fontId="2" fillId="0" borderId="0" xfId="1" applyNumberFormat="1" applyFont="1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left" vertical="center"/>
    </xf>
    <xf numFmtId="170" fontId="3" fillId="0" borderId="0" xfId="1" applyNumberFormat="1" applyFont="1"/>
    <xf numFmtId="2" fontId="2" fillId="0" borderId="0" xfId="1" applyNumberFormat="1" applyFont="1"/>
    <xf numFmtId="0" fontId="2" fillId="0" borderId="0" xfId="1" applyFont="1" applyAlignment="1">
      <alignment horizontal="center" vertical="justify"/>
    </xf>
    <xf numFmtId="4" fontId="2" fillId="0" borderId="0" xfId="1" applyNumberFormat="1" applyFont="1" applyAlignment="1">
      <alignment horizontal="center"/>
    </xf>
    <xf numFmtId="170" fontId="2" fillId="0" borderId="6" xfId="1" applyNumberFormat="1" applyFont="1" applyBorder="1"/>
    <xf numFmtId="0" fontId="2" fillId="9" borderId="0" xfId="1" applyFont="1" applyFill="1"/>
    <xf numFmtId="0" fontId="13" fillId="9" borderId="0" xfId="1" applyFont="1" applyFill="1"/>
    <xf numFmtId="173" fontId="2" fillId="0" borderId="0" xfId="1" applyNumberFormat="1" applyFont="1" applyAlignment="1">
      <alignment horizontal="center"/>
    </xf>
    <xf numFmtId="0" fontId="3" fillId="0" borderId="12" xfId="1" applyFont="1" applyBorder="1" applyAlignment="1" applyProtection="1">
      <alignment horizontal="center"/>
      <protection locked="0"/>
    </xf>
    <xf numFmtId="164" fontId="3" fillId="0" borderId="0" xfId="1" applyNumberFormat="1" applyFont="1"/>
    <xf numFmtId="3" fontId="2" fillId="0" borderId="0" xfId="1" applyNumberFormat="1" applyFont="1" applyAlignment="1">
      <alignment horizontal="center"/>
    </xf>
    <xf numFmtId="165" fontId="2" fillId="0" borderId="0" xfId="1" applyNumberFormat="1" applyFont="1" applyAlignment="1">
      <alignment horizontal="center"/>
    </xf>
    <xf numFmtId="174" fontId="2" fillId="0" borderId="0" xfId="1" applyNumberFormat="1" applyFont="1" applyAlignment="1">
      <alignment horizontal="center"/>
    </xf>
    <xf numFmtId="170" fontId="2" fillId="0" borderId="0" xfId="1" applyNumberFormat="1" applyFont="1" applyAlignment="1">
      <alignment horizontal="center"/>
    </xf>
    <xf numFmtId="2" fontId="2" fillId="0" borderId="0" xfId="1" applyNumberFormat="1" applyFont="1" applyAlignment="1">
      <alignment horizontal="center"/>
    </xf>
    <xf numFmtId="170" fontId="2" fillId="0" borderId="6" xfId="1" applyNumberFormat="1" applyFont="1" applyBorder="1" applyAlignment="1">
      <alignment horizontal="center"/>
    </xf>
    <xf numFmtId="20" fontId="2" fillId="0" borderId="0" xfId="1" applyNumberFormat="1" applyFont="1"/>
    <xf numFmtId="1" fontId="2" fillId="0" borderId="0" xfId="1" applyNumberFormat="1" applyFont="1"/>
    <xf numFmtId="0" fontId="2" fillId="0" borderId="3" xfId="1" applyFont="1" applyBorder="1" applyAlignment="1">
      <alignment horizontal="left"/>
    </xf>
    <xf numFmtId="0" fontId="2" fillId="0" borderId="3" xfId="1" applyFont="1" applyBorder="1" applyAlignment="1">
      <alignment horizontal="right"/>
    </xf>
    <xf numFmtId="168" fontId="3" fillId="0" borderId="6" xfId="1" applyNumberFormat="1" applyFont="1" applyBorder="1" applyAlignment="1">
      <alignment horizontal="center"/>
    </xf>
    <xf numFmtId="168" fontId="3" fillId="0" borderId="0" xfId="1" applyNumberFormat="1" applyFont="1"/>
    <xf numFmtId="175" fontId="3" fillId="0" borderId="0" xfId="3" applyNumberFormat="1" applyFont="1" applyBorder="1" applyAlignment="1" applyProtection="1">
      <alignment horizontal="center"/>
    </xf>
    <xf numFmtId="0" fontId="3" fillId="0" borderId="6" xfId="1" applyFont="1" applyBorder="1" applyAlignment="1">
      <alignment horizontal="center"/>
    </xf>
    <xf numFmtId="164" fontId="2" fillId="0" borderId="3" xfId="1" applyNumberFormat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2" fillId="0" borderId="6" xfId="1" applyFont="1" applyBorder="1" applyAlignment="1">
      <alignment horizontal="left"/>
    </xf>
    <xf numFmtId="0" fontId="17" fillId="0" borderId="0" xfId="1" applyFont="1"/>
    <xf numFmtId="0" fontId="18" fillId="0" borderId="0" xfId="1" applyFont="1" applyAlignment="1">
      <alignment horizontal="left"/>
    </xf>
    <xf numFmtId="0" fontId="2" fillId="3" borderId="1" xfId="1" applyFont="1" applyFill="1" applyBorder="1" applyAlignment="1">
      <alignment horizontal="right"/>
    </xf>
    <xf numFmtId="0" fontId="9" fillId="0" borderId="0" xfId="1" applyFont="1"/>
    <xf numFmtId="164" fontId="3" fillId="0" borderId="0" xfId="1" applyNumberFormat="1" applyFont="1" applyAlignment="1">
      <alignment horizontal="right"/>
    </xf>
    <xf numFmtId="170" fontId="2" fillId="0" borderId="6" xfId="1" applyNumberFormat="1" applyFont="1" applyBorder="1" applyAlignment="1">
      <alignment horizontal="left"/>
    </xf>
    <xf numFmtId="11" fontId="2" fillId="0" borderId="0" xfId="1" applyNumberFormat="1" applyFont="1"/>
    <xf numFmtId="11" fontId="2" fillId="0" borderId="0" xfId="1" applyNumberFormat="1" applyFont="1" applyAlignment="1">
      <alignment horizontal="left"/>
    </xf>
    <xf numFmtId="2" fontId="2" fillId="0" borderId="0" xfId="1" applyNumberFormat="1" applyFont="1" applyAlignment="1">
      <alignment horizontal="left"/>
    </xf>
    <xf numFmtId="0" fontId="2" fillId="0" borderId="7" xfId="1" applyFont="1" applyBorder="1" applyAlignment="1">
      <alignment horizontal="left"/>
    </xf>
    <xf numFmtId="0" fontId="2" fillId="0" borderId="15" xfId="1" applyFont="1" applyBorder="1" applyAlignment="1" applyProtection="1">
      <alignment vertical="center"/>
      <protection locked="0"/>
    </xf>
    <xf numFmtId="0" fontId="2" fillId="0" borderId="16" xfId="1" applyFont="1" applyBorder="1" applyAlignment="1" applyProtection="1">
      <alignment vertical="center"/>
      <protection locked="0"/>
    </xf>
    <xf numFmtId="0" fontId="2" fillId="0" borderId="17" xfId="1" applyFont="1" applyBorder="1" applyAlignment="1" applyProtection="1">
      <alignment vertical="center"/>
      <protection locked="0"/>
    </xf>
    <xf numFmtId="0" fontId="2" fillId="0" borderId="1" xfId="1" applyFont="1" applyBorder="1" applyAlignment="1">
      <alignment horizontal="left"/>
    </xf>
    <xf numFmtId="0" fontId="18" fillId="0" borderId="0" xfId="1" applyFont="1"/>
    <xf numFmtId="168" fontId="18" fillId="0" borderId="0" xfId="1" applyNumberFormat="1" applyFont="1" applyAlignment="1">
      <alignment horizontal="left"/>
    </xf>
    <xf numFmtId="0" fontId="5" fillId="10" borderId="0" xfId="1" applyFont="1" applyFill="1"/>
    <xf numFmtId="0" fontId="2" fillId="3" borderId="1" xfId="1" applyFont="1" applyFill="1" applyBorder="1"/>
    <xf numFmtId="0" fontId="2" fillId="0" borderId="6" xfId="1" applyFont="1" applyBorder="1" applyAlignment="1">
      <alignment horizontal="center"/>
    </xf>
    <xf numFmtId="14" fontId="2" fillId="0" borderId="6" xfId="1" applyNumberFormat="1" applyFont="1" applyBorder="1"/>
    <xf numFmtId="14" fontId="2" fillId="0" borderId="0" xfId="1" applyNumberFormat="1" applyFont="1"/>
    <xf numFmtId="14" fontId="2" fillId="0" borderId="0" xfId="1" applyNumberFormat="1" applyFont="1" applyAlignment="1">
      <alignment horizontal="center"/>
    </xf>
    <xf numFmtId="0" fontId="2" fillId="0" borderId="6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9" fillId="10" borderId="0" xfId="1" applyFont="1" applyFill="1"/>
    <xf numFmtId="0" fontId="5" fillId="0" borderId="0" xfId="1" applyFont="1" applyAlignment="1">
      <alignment horizontal="left" vertical="center"/>
    </xf>
    <xf numFmtId="0" fontId="2" fillId="0" borderId="0" xfId="1" applyFont="1" applyAlignment="1">
      <alignment vertical="center" wrapText="1"/>
    </xf>
    <xf numFmtId="0" fontId="2" fillId="0" borderId="6" xfId="1" applyFont="1" applyBorder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14" fontId="2" fillId="0" borderId="0" xfId="1" applyNumberFormat="1" applyFont="1" applyAlignment="1">
      <alignment horizontal="center" vertical="center"/>
    </xf>
    <xf numFmtId="0" fontId="9" fillId="0" borderId="0" xfId="1" applyFont="1" applyAlignment="1">
      <alignment vertical="center"/>
    </xf>
    <xf numFmtId="0" fontId="2" fillId="0" borderId="13" xfId="1" applyFont="1" applyBorder="1" applyAlignment="1">
      <alignment vertical="center"/>
    </xf>
    <xf numFmtId="0" fontId="2" fillId="0" borderId="14" xfId="1" applyFont="1" applyBorder="1" applyAlignment="1">
      <alignment vertical="center"/>
    </xf>
    <xf numFmtId="0" fontId="20" fillId="9" borderId="0" xfId="1" applyFont="1" applyFill="1"/>
    <xf numFmtId="0" fontId="13" fillId="9" borderId="0" xfId="1" applyFont="1" applyFill="1" applyAlignment="1">
      <alignment vertical="center"/>
    </xf>
    <xf numFmtId="14" fontId="21" fillId="0" borderId="0" xfId="1" applyNumberFormat="1" applyFont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2" fillId="0" borderId="30" xfId="1" applyFont="1" applyBorder="1"/>
    <xf numFmtId="0" fontId="2" fillId="10" borderId="0" xfId="1" applyFont="1" applyFill="1"/>
    <xf numFmtId="0" fontId="3" fillId="10" borderId="0" xfId="1" applyFont="1" applyFill="1"/>
    <xf numFmtId="0" fontId="3" fillId="10" borderId="0" xfId="1" applyFont="1" applyFill="1" applyAlignment="1">
      <alignment vertical="center"/>
    </xf>
    <xf numFmtId="0" fontId="2" fillId="8" borderId="10" xfId="1" applyFont="1" applyFill="1" applyBorder="1" applyAlignment="1">
      <alignment horizontal="center" vertical="center"/>
    </xf>
    <xf numFmtId="0" fontId="2" fillId="8" borderId="4" xfId="1" applyFont="1" applyFill="1" applyBorder="1" applyAlignment="1">
      <alignment horizontal="center" vertical="center"/>
    </xf>
    <xf numFmtId="0" fontId="2" fillId="8" borderId="9" xfId="1" applyFont="1" applyFill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3" fontId="2" fillId="0" borderId="5" xfId="1" applyNumberFormat="1" applyFont="1" applyBorder="1" applyAlignment="1">
      <alignment horizontal="center"/>
    </xf>
    <xf numFmtId="3" fontId="2" fillId="0" borderId="3" xfId="1" applyNumberFormat="1" applyFont="1" applyBorder="1" applyAlignment="1">
      <alignment horizontal="center"/>
    </xf>
    <xf numFmtId="3" fontId="2" fillId="0" borderId="2" xfId="1" applyNumberFormat="1" applyFont="1" applyBorder="1" applyAlignment="1">
      <alignment horizontal="center"/>
    </xf>
    <xf numFmtId="166" fontId="2" fillId="0" borderId="5" xfId="1" applyNumberFormat="1" applyFont="1" applyBorder="1" applyAlignment="1">
      <alignment horizontal="center"/>
    </xf>
    <xf numFmtId="166" fontId="2" fillId="0" borderId="3" xfId="1" applyNumberFormat="1" applyFont="1" applyBorder="1" applyAlignment="1">
      <alignment horizontal="center"/>
    </xf>
    <xf numFmtId="166" fontId="2" fillId="0" borderId="2" xfId="1" applyNumberFormat="1" applyFont="1" applyBorder="1" applyAlignment="1">
      <alignment horizontal="center"/>
    </xf>
    <xf numFmtId="0" fontId="2" fillId="0" borderId="17" xfId="1" applyFont="1" applyBorder="1" applyAlignment="1" applyProtection="1">
      <alignment horizontal="center" vertical="center"/>
      <protection locked="0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22" xfId="1" applyFont="1" applyBorder="1" applyAlignment="1" applyProtection="1">
      <alignment vertical="center"/>
      <protection locked="0"/>
    </xf>
    <xf numFmtId="0" fontId="2" fillId="0" borderId="21" xfId="1" applyFont="1" applyBorder="1" applyProtection="1">
      <protection locked="0"/>
    </xf>
    <xf numFmtId="0" fontId="2" fillId="0" borderId="16" xfId="1" applyFont="1" applyBorder="1" applyAlignment="1" applyProtection="1">
      <alignment horizontal="center" vertical="center"/>
      <protection locked="0"/>
    </xf>
    <xf numFmtId="0" fontId="2" fillId="0" borderId="15" xfId="1" applyFont="1" applyBorder="1" applyAlignment="1" applyProtection="1">
      <alignment horizontal="center" vertical="center"/>
      <protection locked="0"/>
    </xf>
    <xf numFmtId="0" fontId="3" fillId="8" borderId="10" xfId="1" applyFont="1" applyFill="1" applyBorder="1" applyAlignment="1">
      <alignment horizontal="center" vertical="center"/>
    </xf>
    <xf numFmtId="0" fontId="3" fillId="8" borderId="4" xfId="1" applyFont="1" applyFill="1" applyBorder="1" applyAlignment="1">
      <alignment horizontal="center" vertical="center"/>
    </xf>
    <xf numFmtId="0" fontId="3" fillId="8" borderId="9" xfId="1" applyFont="1" applyFill="1" applyBorder="1" applyAlignment="1">
      <alignment horizontal="center" vertical="center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1" fillId="0" borderId="14" xfId="1" applyFont="1" applyBorder="1" applyAlignment="1">
      <alignment horizontal="center" vertical="center" wrapText="1"/>
    </xf>
    <xf numFmtId="0" fontId="21" fillId="0" borderId="11" xfId="1" applyFont="1" applyBorder="1" applyAlignment="1">
      <alignment horizontal="center" vertical="center" wrapText="1"/>
    </xf>
    <xf numFmtId="0" fontId="21" fillId="0" borderId="13" xfId="1" applyFont="1" applyBorder="1" applyAlignment="1">
      <alignment horizontal="center" vertical="center" wrapText="1"/>
    </xf>
    <xf numFmtId="0" fontId="2" fillId="0" borderId="17" xfId="1" applyFont="1" applyBorder="1" applyAlignment="1" applyProtection="1">
      <alignment horizontal="left" vertical="center"/>
      <protection locked="0"/>
    </xf>
    <xf numFmtId="0" fontId="2" fillId="0" borderId="16" xfId="1" applyFont="1" applyBorder="1" applyAlignment="1" applyProtection="1">
      <alignment horizontal="left" vertical="center"/>
      <protection locked="0"/>
    </xf>
    <xf numFmtId="0" fontId="2" fillId="0" borderId="15" xfId="1" applyFont="1" applyBorder="1" applyAlignment="1" applyProtection="1">
      <alignment horizontal="left" vertical="center"/>
      <protection locked="0"/>
    </xf>
    <xf numFmtId="0" fontId="3" fillId="0" borderId="0" xfId="1" applyFont="1" applyAlignment="1">
      <alignment horizontal="center"/>
    </xf>
    <xf numFmtId="0" fontId="2" fillId="0" borderId="17" xfId="1" applyFont="1" applyBorder="1" applyAlignment="1">
      <alignment horizontal="left" vertical="center" wrapText="1"/>
    </xf>
    <xf numFmtId="0" fontId="2" fillId="0" borderId="15" xfId="1" applyFont="1" applyBorder="1" applyAlignment="1">
      <alignment horizontal="left" vertical="center" wrapText="1"/>
    </xf>
    <xf numFmtId="0" fontId="2" fillId="0" borderId="17" xfId="1" applyFont="1" applyBorder="1" applyProtection="1">
      <protection locked="0"/>
    </xf>
    <xf numFmtId="0" fontId="2" fillId="0" borderId="15" xfId="1" applyFont="1" applyBorder="1" applyProtection="1">
      <protection locked="0"/>
    </xf>
    <xf numFmtId="0" fontId="2" fillId="0" borderId="17" xfId="1" applyFont="1" applyBorder="1" applyAlignment="1" applyProtection="1">
      <alignment horizontal="left"/>
      <protection locked="0"/>
    </xf>
    <xf numFmtId="0" fontId="2" fillId="0" borderId="16" xfId="1" applyFont="1" applyBorder="1" applyAlignment="1" applyProtection="1">
      <alignment horizontal="left"/>
      <protection locked="0"/>
    </xf>
    <xf numFmtId="0" fontId="2" fillId="0" borderId="15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vertical="center"/>
      <protection locked="0"/>
    </xf>
    <xf numFmtId="14" fontId="2" fillId="0" borderId="17" xfId="1" applyNumberFormat="1" applyFont="1" applyBorder="1" applyAlignment="1" applyProtection="1">
      <alignment horizontal="center" vertical="center"/>
      <protection locked="0"/>
    </xf>
    <xf numFmtId="14" fontId="2" fillId="0" borderId="16" xfId="1" applyNumberFormat="1" applyFont="1" applyBorder="1" applyAlignment="1" applyProtection="1">
      <alignment horizontal="center" vertical="center"/>
      <protection locked="0"/>
    </xf>
    <xf numFmtId="14" fontId="2" fillId="0" borderId="15" xfId="1" applyNumberFormat="1" applyFont="1" applyBorder="1" applyAlignment="1" applyProtection="1">
      <alignment horizontal="center" vertical="center"/>
      <protection locked="0"/>
    </xf>
    <xf numFmtId="0" fontId="2" fillId="0" borderId="24" xfId="1" applyFont="1" applyBorder="1" applyAlignment="1" applyProtection="1">
      <alignment horizontal="center" vertical="center"/>
      <protection locked="0"/>
    </xf>
    <xf numFmtId="0" fontId="2" fillId="0" borderId="23" xfId="1" applyFont="1" applyBorder="1" applyAlignment="1" applyProtection="1">
      <alignment horizontal="center" vertical="center"/>
      <protection locked="0"/>
    </xf>
    <xf numFmtId="0" fontId="21" fillId="0" borderId="11" xfId="1" applyFont="1" applyBorder="1" applyAlignment="1">
      <alignment horizontal="center" vertical="center"/>
    </xf>
    <xf numFmtId="0" fontId="21" fillId="0" borderId="13" xfId="1" applyFont="1" applyBorder="1" applyAlignment="1">
      <alignment horizontal="center" vertical="center"/>
    </xf>
    <xf numFmtId="0" fontId="2" fillId="0" borderId="17" xfId="1" applyFont="1" applyBorder="1" applyAlignment="1" applyProtection="1">
      <alignment horizontal="left" vertical="center" wrapText="1"/>
      <protection locked="0"/>
    </xf>
    <xf numFmtId="0" fontId="2" fillId="0" borderId="16" xfId="1" applyFont="1" applyBorder="1" applyAlignment="1" applyProtection="1">
      <alignment horizontal="left" vertical="center" wrapText="1"/>
      <protection locked="0"/>
    </xf>
    <xf numFmtId="0" fontId="2" fillId="0" borderId="15" xfId="1" applyFont="1" applyBorder="1" applyAlignment="1" applyProtection="1">
      <alignment horizontal="left" vertical="center" wrapText="1"/>
      <protection locked="0"/>
    </xf>
    <xf numFmtId="0" fontId="3" fillId="0" borderId="17" xfId="1" applyFont="1" applyBorder="1" applyAlignment="1">
      <alignment horizontal="center" vertical="center"/>
    </xf>
    <xf numFmtId="0" fontId="3" fillId="0" borderId="16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165" fontId="2" fillId="0" borderId="17" xfId="1" applyNumberFormat="1" applyFont="1" applyBorder="1" applyProtection="1">
      <protection locked="0"/>
    </xf>
    <xf numFmtId="165" fontId="2" fillId="0" borderId="15" xfId="1" applyNumberFormat="1" applyFont="1" applyBorder="1" applyProtection="1">
      <protection locked="0"/>
    </xf>
    <xf numFmtId="2" fontId="2" fillId="0" borderId="17" xfId="1" applyNumberFormat="1" applyFont="1" applyBorder="1"/>
    <xf numFmtId="2" fontId="2" fillId="0" borderId="15" xfId="1" applyNumberFormat="1" applyFont="1" applyBorder="1"/>
    <xf numFmtId="2" fontId="2" fillId="0" borderId="17" xfId="1" applyNumberFormat="1" applyFont="1" applyBorder="1" applyProtection="1">
      <protection locked="0"/>
    </xf>
    <xf numFmtId="2" fontId="2" fillId="0" borderId="15" xfId="1" applyNumberFormat="1" applyFont="1" applyBorder="1" applyProtection="1">
      <protection locked="0"/>
    </xf>
    <xf numFmtId="0" fontId="2" fillId="0" borderId="17" xfId="1" applyFont="1" applyBorder="1" applyAlignment="1" applyProtection="1">
      <alignment vertical="center" wrapText="1"/>
      <protection locked="0"/>
    </xf>
    <xf numFmtId="0" fontId="2" fillId="0" borderId="16" xfId="1" applyFont="1" applyBorder="1" applyAlignment="1" applyProtection="1">
      <alignment vertical="center" wrapText="1"/>
      <protection locked="0"/>
    </xf>
    <xf numFmtId="0" fontId="2" fillId="0" borderId="15" xfId="1" applyFont="1" applyBorder="1" applyAlignment="1" applyProtection="1">
      <alignment vertical="center" wrapText="1"/>
      <protection locked="0"/>
    </xf>
    <xf numFmtId="0" fontId="2" fillId="0" borderId="29" xfId="1" applyFont="1" applyBorder="1" applyAlignment="1">
      <alignment wrapText="1"/>
    </xf>
    <xf numFmtId="0" fontId="2" fillId="0" borderId="28" xfId="1" applyFont="1" applyBorder="1" applyAlignment="1">
      <alignment wrapText="1"/>
    </xf>
    <xf numFmtId="14" fontId="21" fillId="0" borderId="27" xfId="1" applyNumberFormat="1" applyFont="1" applyBorder="1" applyAlignment="1">
      <alignment horizontal="center" vertical="center" wrapText="1"/>
    </xf>
    <xf numFmtId="14" fontId="21" fillId="0" borderId="26" xfId="1" applyNumberFormat="1" applyFont="1" applyBorder="1" applyAlignment="1">
      <alignment horizontal="center" vertical="center"/>
    </xf>
    <xf numFmtId="14" fontId="21" fillId="0" borderId="25" xfId="1" applyNumberFormat="1" applyFont="1" applyBorder="1" applyAlignment="1">
      <alignment horizontal="center" vertical="center"/>
    </xf>
    <xf numFmtId="0" fontId="21" fillId="0" borderId="27" xfId="1" applyFont="1" applyBorder="1" applyAlignment="1">
      <alignment horizontal="center" vertical="center" wrapText="1"/>
    </xf>
    <xf numFmtId="0" fontId="21" fillId="0" borderId="26" xfId="1" applyFont="1" applyBorder="1" applyAlignment="1">
      <alignment horizontal="center" vertical="center"/>
    </xf>
    <xf numFmtId="0" fontId="21" fillId="0" borderId="25" xfId="1" applyFont="1" applyBorder="1" applyAlignment="1">
      <alignment horizontal="center" vertical="center"/>
    </xf>
    <xf numFmtId="3" fontId="2" fillId="0" borderId="7" xfId="1" applyNumberFormat="1" applyFont="1" applyBorder="1" applyAlignment="1">
      <alignment horizontal="center"/>
    </xf>
    <xf numFmtId="3" fontId="2" fillId="0" borderId="0" xfId="1" applyNumberFormat="1" applyFont="1" applyAlignment="1">
      <alignment horizontal="center"/>
    </xf>
    <xf numFmtId="3" fontId="2" fillId="0" borderId="6" xfId="1" applyNumberFormat="1" applyFont="1" applyBorder="1" applyAlignment="1">
      <alignment horizontal="center"/>
    </xf>
    <xf numFmtId="166" fontId="2" fillId="0" borderId="7" xfId="1" applyNumberFormat="1" applyFont="1" applyBorder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0" borderId="6" xfId="1" applyNumberFormat="1" applyFont="1" applyBorder="1" applyAlignment="1">
      <alignment horizontal="center"/>
    </xf>
    <xf numFmtId="1" fontId="2" fillId="0" borderId="7" xfId="1" applyNumberFormat="1" applyFont="1" applyBorder="1" applyAlignment="1">
      <alignment horizontal="center"/>
    </xf>
    <xf numFmtId="1" fontId="2" fillId="0" borderId="0" xfId="1" applyNumberFormat="1" applyFont="1" applyAlignment="1">
      <alignment horizontal="center"/>
    </xf>
    <xf numFmtId="1" fontId="2" fillId="0" borderId="6" xfId="1" applyNumberFormat="1" applyFont="1" applyBorder="1" applyAlignment="1">
      <alignment horizontal="center"/>
    </xf>
    <xf numFmtId="165" fontId="2" fillId="0" borderId="7" xfId="1" applyNumberFormat="1" applyFont="1" applyBorder="1" applyAlignment="1">
      <alignment horizontal="center"/>
    </xf>
    <xf numFmtId="165" fontId="2" fillId="0" borderId="0" xfId="1" applyNumberFormat="1" applyFont="1" applyAlignment="1">
      <alignment horizontal="center"/>
    </xf>
    <xf numFmtId="165" fontId="2" fillId="0" borderId="6" xfId="1" applyNumberFormat="1" applyFont="1" applyBorder="1" applyAlignment="1">
      <alignment horizontal="center"/>
    </xf>
  </cellXfs>
  <cellStyles count="4">
    <cellStyle name="Normal" xfId="0" builtinId="0"/>
    <cellStyle name="Normal 2" xfId="1" xr:uid="{736D8174-89A1-4DD8-B5A3-9067C759CD54}"/>
    <cellStyle name="Normal_LIQUIDACION" xfId="2" xr:uid="{50484AEE-2035-49CE-A66C-F42CCD61A0C3}"/>
    <cellStyle name="Porcentaje 2" xfId="3" xr:uid="{A4BF0752-2C7C-42ED-98A1-E5341C1CD7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2.png"/><Relationship Id="rId18" Type="http://schemas.openxmlformats.org/officeDocument/2006/relationships/image" Target="../media/image17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microsoft.com/office/2007/relationships/hdphoto" Target="../media/hdphoto1.wdp"/><Relationship Id="rId17" Type="http://schemas.openxmlformats.org/officeDocument/2006/relationships/image" Target="../media/image16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1.jpeg"/><Relationship Id="rId6" Type="http://schemas.openxmlformats.org/officeDocument/2006/relationships/image" Target="../media/image6.emf"/><Relationship Id="rId11" Type="http://schemas.openxmlformats.org/officeDocument/2006/relationships/image" Target="../media/image11.png"/><Relationship Id="rId5" Type="http://schemas.openxmlformats.org/officeDocument/2006/relationships/image" Target="../media/image5.emf"/><Relationship Id="rId15" Type="http://schemas.openxmlformats.org/officeDocument/2006/relationships/image" Target="../media/image14.png"/><Relationship Id="rId10" Type="http://schemas.openxmlformats.org/officeDocument/2006/relationships/image" Target="../media/image10.png"/><Relationship Id="rId19" Type="http://schemas.openxmlformats.org/officeDocument/2006/relationships/image" Target="../media/image18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371475</xdr:colOff>
      <xdr:row>259</xdr:row>
      <xdr:rowOff>47625</xdr:rowOff>
    </xdr:from>
    <xdr:to>
      <xdr:col>59</xdr:col>
      <xdr:colOff>285750</xdr:colOff>
      <xdr:row>261</xdr:row>
      <xdr:rowOff>76200</xdr:rowOff>
    </xdr:to>
    <xdr:sp macro="" textlink="">
      <xdr:nvSpPr>
        <xdr:cNvPr id="2" name="22 Rectángulo redondeado">
          <a:extLst>
            <a:ext uri="{FF2B5EF4-FFF2-40B4-BE49-F238E27FC236}">
              <a16:creationId xmlns:a16="http://schemas.microsoft.com/office/drawing/2014/main" id="{E6AFD239-2230-4D67-B0C4-D0117D7FD7EF}"/>
            </a:ext>
          </a:extLst>
        </xdr:cNvPr>
        <xdr:cNvSpPr/>
      </xdr:nvSpPr>
      <xdr:spPr>
        <a:xfrm>
          <a:off x="43805475" y="41986200"/>
          <a:ext cx="1438275" cy="352425"/>
        </a:xfrm>
        <a:prstGeom prst="round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88350</xdr:colOff>
      <xdr:row>1</xdr:row>
      <xdr:rowOff>101148</xdr:rowOff>
    </xdr:from>
    <xdr:to>
      <xdr:col>9</xdr:col>
      <xdr:colOff>9935</xdr:colOff>
      <xdr:row>3</xdr:row>
      <xdr:rowOff>243326</xdr:rowOff>
    </xdr:to>
    <xdr:pic>
      <xdr:nvPicPr>
        <xdr:cNvPr id="3" name="Picture 199" descr="logoword">
          <a:extLst>
            <a:ext uri="{FF2B5EF4-FFF2-40B4-BE49-F238E27FC236}">
              <a16:creationId xmlns:a16="http://schemas.microsoft.com/office/drawing/2014/main" id="{1F5CB0CB-97FD-48E3-81A2-ECC39CA91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12350" y="263073"/>
          <a:ext cx="5255585" cy="38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54</xdr:col>
      <xdr:colOff>485775</xdr:colOff>
      <xdr:row>5</xdr:row>
      <xdr:rowOff>247650</xdr:rowOff>
    </xdr:from>
    <xdr:ext cx="760247" cy="760939"/>
    <xdr:pic>
      <xdr:nvPicPr>
        <xdr:cNvPr id="4" name="4 Imagen">
          <a:extLst>
            <a:ext uri="{FF2B5EF4-FFF2-40B4-BE49-F238E27FC236}">
              <a16:creationId xmlns:a16="http://schemas.microsoft.com/office/drawing/2014/main" id="{E1B7F9AB-DE1E-4BCE-9490-9F2CEFF63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633775" y="971550"/>
          <a:ext cx="760247" cy="760939"/>
        </a:xfrm>
        <a:prstGeom prst="rect">
          <a:avLst/>
        </a:prstGeom>
      </xdr:spPr>
    </xdr:pic>
    <xdr:clientData/>
  </xdr:oneCellAnchor>
  <xdr:oneCellAnchor>
    <xdr:from>
      <xdr:col>54</xdr:col>
      <xdr:colOff>28575</xdr:colOff>
      <xdr:row>15</xdr:row>
      <xdr:rowOff>57150</xdr:rowOff>
    </xdr:from>
    <xdr:ext cx="763158" cy="563525"/>
    <xdr:pic>
      <xdr:nvPicPr>
        <xdr:cNvPr id="5" name="5 Imagen">
          <a:extLst>
            <a:ext uri="{FF2B5EF4-FFF2-40B4-BE49-F238E27FC236}">
              <a16:creationId xmlns:a16="http://schemas.microsoft.com/office/drawing/2014/main" id="{89F8A2F3-57D4-4999-8343-180B5F46C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176575" y="2486025"/>
          <a:ext cx="763158" cy="563525"/>
        </a:xfrm>
        <a:prstGeom prst="rect">
          <a:avLst/>
        </a:prstGeom>
      </xdr:spPr>
    </xdr:pic>
    <xdr:clientData/>
  </xdr:oneCellAnchor>
  <xdr:oneCellAnchor>
    <xdr:from>
      <xdr:col>54</xdr:col>
      <xdr:colOff>357187</xdr:colOff>
      <xdr:row>29</xdr:row>
      <xdr:rowOff>23048</xdr:rowOff>
    </xdr:from>
    <xdr:ext cx="765539" cy="523642"/>
    <xdr:pic>
      <xdr:nvPicPr>
        <xdr:cNvPr id="6" name="6 Imagen">
          <a:extLst>
            <a:ext uri="{FF2B5EF4-FFF2-40B4-BE49-F238E27FC236}">
              <a16:creationId xmlns:a16="http://schemas.microsoft.com/office/drawing/2014/main" id="{C5DD9F0E-DF7E-4333-9ED2-A0E288FC5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505187" y="4718873"/>
          <a:ext cx="765539" cy="523642"/>
        </a:xfrm>
        <a:prstGeom prst="rect">
          <a:avLst/>
        </a:prstGeom>
      </xdr:spPr>
    </xdr:pic>
    <xdr:clientData/>
  </xdr:oneCellAnchor>
  <xdr:oneCellAnchor>
    <xdr:from>
      <xdr:col>53</xdr:col>
      <xdr:colOff>457198</xdr:colOff>
      <xdr:row>46</xdr:row>
      <xdr:rowOff>28575</xdr:rowOff>
    </xdr:from>
    <xdr:ext cx="758728" cy="1150310"/>
    <xdr:pic>
      <xdr:nvPicPr>
        <xdr:cNvPr id="7" name="8 Imagen">
          <a:extLst>
            <a:ext uri="{FF2B5EF4-FFF2-40B4-BE49-F238E27FC236}">
              <a16:creationId xmlns:a16="http://schemas.microsoft.com/office/drawing/2014/main" id="{3D096D5B-3990-41F8-8B00-C2C2F559F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198" y="7477125"/>
          <a:ext cx="758728" cy="1150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53</xdr:col>
      <xdr:colOff>647699</xdr:colOff>
      <xdr:row>55</xdr:row>
      <xdr:rowOff>28574</xdr:rowOff>
    </xdr:from>
    <xdr:ext cx="759784" cy="856142"/>
    <xdr:pic>
      <xdr:nvPicPr>
        <xdr:cNvPr id="8" name="9 Imagen">
          <a:extLst>
            <a:ext uri="{FF2B5EF4-FFF2-40B4-BE49-F238E27FC236}">
              <a16:creationId xmlns:a16="http://schemas.microsoft.com/office/drawing/2014/main" id="{DA95E1B1-64B5-4A1D-BEE7-2A083493A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33699" y="8934449"/>
          <a:ext cx="759784" cy="8561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54</xdr:col>
      <xdr:colOff>221483</xdr:colOff>
      <xdr:row>19</xdr:row>
      <xdr:rowOff>16668</xdr:rowOff>
    </xdr:from>
    <xdr:ext cx="760749" cy="256622"/>
    <xdr:pic>
      <xdr:nvPicPr>
        <xdr:cNvPr id="9" name="10 Imagen">
          <a:extLst>
            <a:ext uri="{FF2B5EF4-FFF2-40B4-BE49-F238E27FC236}">
              <a16:creationId xmlns:a16="http://schemas.microsoft.com/office/drawing/2014/main" id="{15531EC4-1F01-4EE6-B113-6F8B0E7EB4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369483" y="3093243"/>
          <a:ext cx="760749" cy="256622"/>
        </a:xfrm>
        <a:prstGeom prst="rect">
          <a:avLst/>
        </a:prstGeom>
      </xdr:spPr>
    </xdr:pic>
    <xdr:clientData/>
  </xdr:oneCellAnchor>
  <xdr:oneCellAnchor>
    <xdr:from>
      <xdr:col>54</xdr:col>
      <xdr:colOff>226218</xdr:colOff>
      <xdr:row>20</xdr:row>
      <xdr:rowOff>130969</xdr:rowOff>
    </xdr:from>
    <xdr:ext cx="760776" cy="279880"/>
    <xdr:pic>
      <xdr:nvPicPr>
        <xdr:cNvPr id="10" name="11 Imagen">
          <a:extLst>
            <a:ext uri="{FF2B5EF4-FFF2-40B4-BE49-F238E27FC236}">
              <a16:creationId xmlns:a16="http://schemas.microsoft.com/office/drawing/2014/main" id="{49DE8123-064E-4317-8FEB-0DC507ADA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1374218" y="3369469"/>
          <a:ext cx="760776" cy="279880"/>
        </a:xfrm>
        <a:prstGeom prst="rect">
          <a:avLst/>
        </a:prstGeom>
      </xdr:spPr>
    </xdr:pic>
    <xdr:clientData/>
  </xdr:oneCellAnchor>
  <xdr:oneCellAnchor>
    <xdr:from>
      <xdr:col>49</xdr:col>
      <xdr:colOff>152399</xdr:colOff>
      <xdr:row>3</xdr:row>
      <xdr:rowOff>0</xdr:rowOff>
    </xdr:from>
    <xdr:ext cx="764165" cy="314325"/>
    <xdr:pic>
      <xdr:nvPicPr>
        <xdr:cNvPr id="11" name="13 Imagen">
          <a:extLst>
            <a:ext uri="{FF2B5EF4-FFF2-40B4-BE49-F238E27FC236}">
              <a16:creationId xmlns:a16="http://schemas.microsoft.com/office/drawing/2014/main" id="{644615A3-ED19-4991-AE70-50AC8DF71A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7490399" y="485775"/>
          <a:ext cx="764165" cy="314325"/>
        </a:xfrm>
        <a:prstGeom prst="rect">
          <a:avLst/>
        </a:prstGeom>
      </xdr:spPr>
    </xdr:pic>
    <xdr:clientData/>
  </xdr:oneCellAnchor>
  <xdr:oneCellAnchor>
    <xdr:from>
      <xdr:col>56</xdr:col>
      <xdr:colOff>447675</xdr:colOff>
      <xdr:row>44</xdr:row>
      <xdr:rowOff>57150</xdr:rowOff>
    </xdr:from>
    <xdr:ext cx="758209" cy="427454"/>
    <xdr:pic>
      <xdr:nvPicPr>
        <xdr:cNvPr id="12" name="15 Imagen">
          <a:extLst>
            <a:ext uri="{FF2B5EF4-FFF2-40B4-BE49-F238E27FC236}">
              <a16:creationId xmlns:a16="http://schemas.microsoft.com/office/drawing/2014/main" id="{722B17C9-F3C2-4C38-BEEF-9C45FF2E5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3119675" y="7181850"/>
          <a:ext cx="758209" cy="427454"/>
        </a:xfrm>
        <a:prstGeom prst="rect">
          <a:avLst/>
        </a:prstGeom>
      </xdr:spPr>
    </xdr:pic>
    <xdr:clientData/>
  </xdr:oneCellAnchor>
  <xdr:oneCellAnchor>
    <xdr:from>
      <xdr:col>55</xdr:col>
      <xdr:colOff>609598</xdr:colOff>
      <xdr:row>39</xdr:row>
      <xdr:rowOff>123825</xdr:rowOff>
    </xdr:from>
    <xdr:ext cx="771330" cy="677156"/>
    <xdr:pic>
      <xdr:nvPicPr>
        <xdr:cNvPr id="13" name="16 Imagen">
          <a:extLst>
            <a:ext uri="{FF2B5EF4-FFF2-40B4-BE49-F238E27FC236}">
              <a16:creationId xmlns:a16="http://schemas.microsoft.com/office/drawing/2014/main" id="{9764F826-D397-4E09-8EBA-D18E274711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duotone>
            <a:prstClr val="black"/>
            <a:schemeClr val="accent2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2519598" y="6438900"/>
          <a:ext cx="771330" cy="677156"/>
        </a:xfrm>
        <a:prstGeom prst="rect">
          <a:avLst/>
        </a:prstGeom>
        <a:solidFill>
          <a:srgbClr val="00B0F0"/>
        </a:solidFill>
      </xdr:spPr>
    </xdr:pic>
    <xdr:clientData/>
  </xdr:oneCellAnchor>
  <xdr:twoCellAnchor>
    <xdr:from>
      <xdr:col>57</xdr:col>
      <xdr:colOff>381000</xdr:colOff>
      <xdr:row>46</xdr:row>
      <xdr:rowOff>123825</xdr:rowOff>
    </xdr:from>
    <xdr:to>
      <xdr:col>57</xdr:col>
      <xdr:colOff>390525</xdr:colOff>
      <xdr:row>54</xdr:row>
      <xdr:rowOff>114300</xdr:rowOff>
    </xdr:to>
    <xdr:cxnSp macro="">
      <xdr:nvCxnSpPr>
        <xdr:cNvPr id="14" name="17 Conector recto de flecha">
          <a:extLst>
            <a:ext uri="{FF2B5EF4-FFF2-40B4-BE49-F238E27FC236}">
              <a16:creationId xmlns:a16="http://schemas.microsoft.com/office/drawing/2014/main" id="{2CCD3628-29E2-43D8-B803-A289A4EB06DE}"/>
            </a:ext>
          </a:extLst>
        </xdr:cNvPr>
        <xdr:cNvCxnSpPr/>
      </xdr:nvCxnSpPr>
      <xdr:spPr>
        <a:xfrm>
          <a:off x="43815000" y="7572375"/>
          <a:ext cx="9525" cy="128587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50</xdr:col>
      <xdr:colOff>84993</xdr:colOff>
      <xdr:row>44</xdr:row>
      <xdr:rowOff>131885</xdr:rowOff>
    </xdr:from>
    <xdr:ext cx="892821" cy="649905"/>
    <xdr:pic>
      <xdr:nvPicPr>
        <xdr:cNvPr id="15" name="18 Imagen">
          <a:extLst>
            <a:ext uri="{FF2B5EF4-FFF2-40B4-BE49-F238E27FC236}">
              <a16:creationId xmlns:a16="http://schemas.microsoft.com/office/drawing/2014/main" id="{EDD58041-2336-4786-9B82-D6E6CD1DE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8184993" y="7256585"/>
          <a:ext cx="892821" cy="649905"/>
        </a:xfrm>
        <a:prstGeom prst="rect">
          <a:avLst/>
        </a:prstGeom>
      </xdr:spPr>
    </xdr:pic>
    <xdr:clientData/>
  </xdr:oneCellAnchor>
  <xdr:twoCellAnchor>
    <xdr:from>
      <xdr:col>45</xdr:col>
      <xdr:colOff>657225</xdr:colOff>
      <xdr:row>43</xdr:row>
      <xdr:rowOff>123825</xdr:rowOff>
    </xdr:from>
    <xdr:to>
      <xdr:col>53</xdr:col>
      <xdr:colOff>114300</xdr:colOff>
      <xdr:row>53</xdr:row>
      <xdr:rowOff>85725</xdr:rowOff>
    </xdr:to>
    <xdr:sp macro="" textlink="">
      <xdr:nvSpPr>
        <xdr:cNvPr id="16" name="19 Rectángulo redondeado">
          <a:extLst>
            <a:ext uri="{FF2B5EF4-FFF2-40B4-BE49-F238E27FC236}">
              <a16:creationId xmlns:a16="http://schemas.microsoft.com/office/drawing/2014/main" id="{5912FE00-3584-4160-A00B-0D4B1C1B04FB}"/>
            </a:ext>
          </a:extLst>
        </xdr:cNvPr>
        <xdr:cNvSpPr/>
      </xdr:nvSpPr>
      <xdr:spPr>
        <a:xfrm>
          <a:off x="34947225" y="7086600"/>
          <a:ext cx="5553075" cy="158115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56</xdr:col>
      <xdr:colOff>371475</xdr:colOff>
      <xdr:row>14</xdr:row>
      <xdr:rowOff>9525</xdr:rowOff>
    </xdr:from>
    <xdr:to>
      <xdr:col>56</xdr:col>
      <xdr:colOff>371475</xdr:colOff>
      <xdr:row>15</xdr:row>
      <xdr:rowOff>9525</xdr:rowOff>
    </xdr:to>
    <xdr:cxnSp macro="">
      <xdr:nvCxnSpPr>
        <xdr:cNvPr id="17" name="21 Conector recto de flecha">
          <a:extLst>
            <a:ext uri="{FF2B5EF4-FFF2-40B4-BE49-F238E27FC236}">
              <a16:creationId xmlns:a16="http://schemas.microsoft.com/office/drawing/2014/main" id="{EB1D63AB-95DA-4232-89C1-F79A5458803C}"/>
            </a:ext>
          </a:extLst>
        </xdr:cNvPr>
        <xdr:cNvCxnSpPr/>
      </xdr:nvCxnSpPr>
      <xdr:spPr>
        <a:xfrm>
          <a:off x="43043475" y="2276475"/>
          <a:ext cx="0" cy="16192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95250</xdr:colOff>
      <xdr:row>14</xdr:row>
      <xdr:rowOff>142875</xdr:rowOff>
    </xdr:from>
    <xdr:to>
      <xdr:col>58</xdr:col>
      <xdr:colOff>600075</xdr:colOff>
      <xdr:row>18</xdr:row>
      <xdr:rowOff>123825</xdr:rowOff>
    </xdr:to>
    <xdr:sp macro="" textlink="">
      <xdr:nvSpPr>
        <xdr:cNvPr id="18" name="1023 Rectángulo redondeado">
          <a:extLst>
            <a:ext uri="{FF2B5EF4-FFF2-40B4-BE49-F238E27FC236}">
              <a16:creationId xmlns:a16="http://schemas.microsoft.com/office/drawing/2014/main" id="{C80C0230-3FD4-49A1-84D1-E310D010F2BC}"/>
            </a:ext>
          </a:extLst>
        </xdr:cNvPr>
        <xdr:cNvSpPr/>
      </xdr:nvSpPr>
      <xdr:spPr>
        <a:xfrm>
          <a:off x="43529250" y="2409825"/>
          <a:ext cx="1266825" cy="628650"/>
        </a:xfrm>
        <a:prstGeom prst="round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>
            <a:noFill/>
          </a:endParaRPr>
        </a:p>
      </xdr:txBody>
    </xdr:sp>
    <xdr:clientData/>
  </xdr:twoCellAnchor>
  <xdr:twoCellAnchor>
    <xdr:from>
      <xdr:col>54</xdr:col>
      <xdr:colOff>19050</xdr:colOff>
      <xdr:row>15</xdr:row>
      <xdr:rowOff>28575</xdr:rowOff>
    </xdr:from>
    <xdr:to>
      <xdr:col>56</xdr:col>
      <xdr:colOff>742950</xdr:colOff>
      <xdr:row>18</xdr:row>
      <xdr:rowOff>142875</xdr:rowOff>
    </xdr:to>
    <xdr:sp macro="" textlink="">
      <xdr:nvSpPr>
        <xdr:cNvPr id="19" name="1024 Rectángulo redondeado">
          <a:extLst>
            <a:ext uri="{FF2B5EF4-FFF2-40B4-BE49-F238E27FC236}">
              <a16:creationId xmlns:a16="http://schemas.microsoft.com/office/drawing/2014/main" id="{750AEEA7-4C36-4C75-B40C-69A50CDD4DA9}"/>
            </a:ext>
          </a:extLst>
        </xdr:cNvPr>
        <xdr:cNvSpPr/>
      </xdr:nvSpPr>
      <xdr:spPr>
        <a:xfrm>
          <a:off x="41167050" y="2457450"/>
          <a:ext cx="2247900" cy="6000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oneCellAnchor>
    <xdr:from>
      <xdr:col>57</xdr:col>
      <xdr:colOff>114365</xdr:colOff>
      <xdr:row>15</xdr:row>
      <xdr:rowOff>57150</xdr:rowOff>
    </xdr:from>
    <xdr:ext cx="761935" cy="449225"/>
    <xdr:pic>
      <xdr:nvPicPr>
        <xdr:cNvPr id="20" name="30 Imagen">
          <a:extLst>
            <a:ext uri="{FF2B5EF4-FFF2-40B4-BE49-F238E27FC236}">
              <a16:creationId xmlns:a16="http://schemas.microsoft.com/office/drawing/2014/main" id="{61453852-281B-44E3-8218-C27DE586C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3548365" y="2486025"/>
          <a:ext cx="761935" cy="449225"/>
        </a:xfrm>
        <a:prstGeom prst="rect">
          <a:avLst/>
        </a:prstGeom>
      </xdr:spPr>
    </xdr:pic>
    <xdr:clientData/>
  </xdr:oneCellAnchor>
  <xdr:twoCellAnchor>
    <xdr:from>
      <xdr:col>57</xdr:col>
      <xdr:colOff>457200</xdr:colOff>
      <xdr:row>18</xdr:row>
      <xdr:rowOff>142875</xdr:rowOff>
    </xdr:from>
    <xdr:to>
      <xdr:col>57</xdr:col>
      <xdr:colOff>457200</xdr:colOff>
      <xdr:row>19</xdr:row>
      <xdr:rowOff>142875</xdr:rowOff>
    </xdr:to>
    <xdr:cxnSp macro="">
      <xdr:nvCxnSpPr>
        <xdr:cNvPr id="21" name="1027 Conector recto de flecha">
          <a:extLst>
            <a:ext uri="{FF2B5EF4-FFF2-40B4-BE49-F238E27FC236}">
              <a16:creationId xmlns:a16="http://schemas.microsoft.com/office/drawing/2014/main" id="{53CEB402-A3AD-4AA5-AFDA-ECD5BA231857}"/>
            </a:ext>
          </a:extLst>
        </xdr:cNvPr>
        <xdr:cNvCxnSpPr/>
      </xdr:nvCxnSpPr>
      <xdr:spPr>
        <a:xfrm flipV="1">
          <a:off x="43891200" y="3057525"/>
          <a:ext cx="0" cy="16192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51</xdr:col>
      <xdr:colOff>809625</xdr:colOff>
      <xdr:row>245</xdr:row>
      <xdr:rowOff>142875</xdr:rowOff>
    </xdr:from>
    <xdr:ext cx="760179" cy="166134"/>
    <xdr:pic>
      <xdr:nvPicPr>
        <xdr:cNvPr id="22" name="29 Imagen">
          <a:extLst>
            <a:ext uri="{FF2B5EF4-FFF2-40B4-BE49-F238E27FC236}">
              <a16:creationId xmlns:a16="http://schemas.microsoft.com/office/drawing/2014/main" id="{6D07A3DA-8CBD-4073-93B3-61B6CF0A1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9624000" y="39814500"/>
          <a:ext cx="760179" cy="166134"/>
        </a:xfrm>
        <a:prstGeom prst="rect">
          <a:avLst/>
        </a:prstGeom>
      </xdr:spPr>
    </xdr:pic>
    <xdr:clientData/>
  </xdr:oneCellAnchor>
  <xdr:oneCellAnchor>
    <xdr:from>
      <xdr:col>49</xdr:col>
      <xdr:colOff>228599</xdr:colOff>
      <xdr:row>255</xdr:row>
      <xdr:rowOff>152400</xdr:rowOff>
    </xdr:from>
    <xdr:ext cx="764161" cy="166133"/>
    <xdr:pic>
      <xdr:nvPicPr>
        <xdr:cNvPr id="23" name="31 Imagen">
          <a:extLst>
            <a:ext uri="{FF2B5EF4-FFF2-40B4-BE49-F238E27FC236}">
              <a16:creationId xmlns:a16="http://schemas.microsoft.com/office/drawing/2014/main" id="{0C8346E3-BE3B-4CBE-97C7-51D0AEA136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7566599" y="41443275"/>
          <a:ext cx="764161" cy="166133"/>
        </a:xfrm>
        <a:prstGeom prst="rect">
          <a:avLst/>
        </a:prstGeom>
      </xdr:spPr>
    </xdr:pic>
    <xdr:clientData/>
  </xdr:oneCellAnchor>
  <xdr:oneCellAnchor>
    <xdr:from>
      <xdr:col>51</xdr:col>
      <xdr:colOff>526677</xdr:colOff>
      <xdr:row>254</xdr:row>
      <xdr:rowOff>161925</xdr:rowOff>
    </xdr:from>
    <xdr:ext cx="756318" cy="170343"/>
    <xdr:pic>
      <xdr:nvPicPr>
        <xdr:cNvPr id="24" name="32 Imagen">
          <a:extLst>
            <a:ext uri="{FF2B5EF4-FFF2-40B4-BE49-F238E27FC236}">
              <a16:creationId xmlns:a16="http://schemas.microsoft.com/office/drawing/2014/main" id="{178A69E4-831E-41D8-91D8-3824CF384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9388677" y="41290875"/>
          <a:ext cx="756318" cy="170343"/>
        </a:xfrm>
        <a:prstGeom prst="rect">
          <a:avLst/>
        </a:prstGeom>
      </xdr:spPr>
    </xdr:pic>
    <xdr:clientData/>
  </xdr:oneCellAnchor>
  <xdr:oneCellAnchor>
    <xdr:from>
      <xdr:col>50</xdr:col>
      <xdr:colOff>133350</xdr:colOff>
      <xdr:row>268</xdr:row>
      <xdr:rowOff>0</xdr:rowOff>
    </xdr:from>
    <xdr:ext cx="758210" cy="166134"/>
    <xdr:pic>
      <xdr:nvPicPr>
        <xdr:cNvPr id="25" name="34 Imagen">
          <a:extLst>
            <a:ext uri="{FF2B5EF4-FFF2-40B4-BE49-F238E27FC236}">
              <a16:creationId xmlns:a16="http://schemas.microsoft.com/office/drawing/2014/main" id="{E2D8ACB3-FCD1-47A6-BA5A-49AED0DE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8233350" y="43395900"/>
          <a:ext cx="758210" cy="166134"/>
        </a:xfrm>
        <a:prstGeom prst="rect">
          <a:avLst/>
        </a:prstGeom>
      </xdr:spPr>
    </xdr:pic>
    <xdr:clientData/>
  </xdr:oneCellAnchor>
  <xdr:oneCellAnchor>
    <xdr:from>
      <xdr:col>50</xdr:col>
      <xdr:colOff>28574</xdr:colOff>
      <xdr:row>75</xdr:row>
      <xdr:rowOff>95250</xdr:rowOff>
    </xdr:from>
    <xdr:ext cx="757766" cy="281540"/>
    <xdr:pic>
      <xdr:nvPicPr>
        <xdr:cNvPr id="26" name="35 Imagen">
          <a:extLst>
            <a:ext uri="{FF2B5EF4-FFF2-40B4-BE49-F238E27FC236}">
              <a16:creationId xmlns:a16="http://schemas.microsoft.com/office/drawing/2014/main" id="{D76F71C7-FDCD-4876-831C-E24B41201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8128574" y="12239625"/>
          <a:ext cx="757766" cy="281540"/>
        </a:xfrm>
        <a:prstGeom prst="rect">
          <a:avLst/>
        </a:prstGeom>
      </xdr:spPr>
    </xdr:pic>
    <xdr:clientData/>
  </xdr:oneCellAnchor>
  <xdr:oneCellAnchor>
    <xdr:from>
      <xdr:col>54</xdr:col>
      <xdr:colOff>28575</xdr:colOff>
      <xdr:row>208</xdr:row>
      <xdr:rowOff>180976</xdr:rowOff>
    </xdr:from>
    <xdr:ext cx="758202" cy="170343"/>
    <xdr:pic>
      <xdr:nvPicPr>
        <xdr:cNvPr id="27" name="1 Imagen">
          <a:extLst>
            <a:ext uri="{FF2B5EF4-FFF2-40B4-BE49-F238E27FC236}">
              <a16:creationId xmlns:a16="http://schemas.microsoft.com/office/drawing/2014/main" id="{7B496D3C-86CD-4996-AF3A-FFA7DF0D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41176575" y="33842326"/>
          <a:ext cx="758202" cy="170343"/>
        </a:xfrm>
        <a:prstGeom prst="rect">
          <a:avLst/>
        </a:prstGeom>
      </xdr:spPr>
    </xdr:pic>
    <xdr:clientData/>
  </xdr:oneCellAnchor>
  <xdr:oneCellAnchor>
    <xdr:from>
      <xdr:col>57</xdr:col>
      <xdr:colOff>400048</xdr:colOff>
      <xdr:row>259</xdr:row>
      <xdr:rowOff>95250</xdr:rowOff>
    </xdr:from>
    <xdr:ext cx="763775" cy="166133"/>
    <xdr:pic>
      <xdr:nvPicPr>
        <xdr:cNvPr id="28" name="38 Imagen">
          <a:extLst>
            <a:ext uri="{FF2B5EF4-FFF2-40B4-BE49-F238E27FC236}">
              <a16:creationId xmlns:a16="http://schemas.microsoft.com/office/drawing/2014/main" id="{2C65F279-94B5-41CE-8F31-C4B099E20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3834048" y="42033825"/>
          <a:ext cx="763775" cy="166133"/>
        </a:xfrm>
        <a:prstGeom prst="rect">
          <a:avLst/>
        </a:prstGeom>
      </xdr:spPr>
    </xdr:pic>
    <xdr:clientData/>
  </xdr:oneCellAnchor>
  <xdr:oneCellAnchor>
    <xdr:from>
      <xdr:col>59</xdr:col>
      <xdr:colOff>400050</xdr:colOff>
      <xdr:row>258</xdr:row>
      <xdr:rowOff>38100</xdr:rowOff>
    </xdr:from>
    <xdr:ext cx="764215" cy="166133"/>
    <xdr:pic>
      <xdr:nvPicPr>
        <xdr:cNvPr id="29" name="33 Imagen">
          <a:extLst>
            <a:ext uri="{FF2B5EF4-FFF2-40B4-BE49-F238E27FC236}">
              <a16:creationId xmlns:a16="http://schemas.microsoft.com/office/drawing/2014/main" id="{14EAD1F6-F1CE-45F1-8D6A-A6BC1B61A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358050" y="41814750"/>
          <a:ext cx="764215" cy="166133"/>
        </a:xfrm>
        <a:prstGeom prst="rect">
          <a:avLst/>
        </a:prstGeom>
      </xdr:spPr>
    </xdr:pic>
    <xdr:clientData/>
  </xdr:oneCellAnchor>
  <xdr:twoCellAnchor>
    <xdr:from>
      <xdr:col>59</xdr:col>
      <xdr:colOff>342900</xdr:colOff>
      <xdr:row>258</xdr:row>
      <xdr:rowOff>19050</xdr:rowOff>
    </xdr:from>
    <xdr:to>
      <xdr:col>62</xdr:col>
      <xdr:colOff>390525</xdr:colOff>
      <xdr:row>261</xdr:row>
      <xdr:rowOff>95250</xdr:rowOff>
    </xdr:to>
    <xdr:sp macro="" textlink="">
      <xdr:nvSpPr>
        <xdr:cNvPr id="30" name="36 Rectángulo redondeado">
          <a:extLst>
            <a:ext uri="{FF2B5EF4-FFF2-40B4-BE49-F238E27FC236}">
              <a16:creationId xmlns:a16="http://schemas.microsoft.com/office/drawing/2014/main" id="{4DABB0FD-EE04-4742-A8BC-6D2973406217}"/>
            </a:ext>
          </a:extLst>
        </xdr:cNvPr>
        <xdr:cNvSpPr/>
      </xdr:nvSpPr>
      <xdr:spPr>
        <a:xfrm>
          <a:off x="45300900" y="41795700"/>
          <a:ext cx="2333625" cy="561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AE314-D18F-44A0-9069-99342A60507E}">
  <sheetPr>
    <tabColor rgb="FFFFFF00"/>
    <pageSetUpPr fitToPage="1"/>
  </sheetPr>
  <dimension ref="B1:BI298"/>
  <sheetViews>
    <sheetView showGridLines="0" tabSelected="1" view="pageBreakPreview" topLeftCell="A58" zoomScale="60" zoomScaleNormal="100" workbookViewId="0">
      <selection activeCell="O104" sqref="O104:R104"/>
    </sheetView>
  </sheetViews>
  <sheetFormatPr baseColWidth="10" defaultColWidth="11.42578125" defaultRowHeight="12.75" zeroHeight="1" x14ac:dyDescent="0.2"/>
  <cols>
    <col min="1" max="1" width="1.7109375" style="1" customWidth="1"/>
    <col min="2" max="2" width="3" style="1" customWidth="1"/>
    <col min="3" max="11" width="4.28515625" style="1" customWidth="1"/>
    <col min="12" max="12" width="5.42578125" style="1" customWidth="1"/>
    <col min="13" max="13" width="6" style="1" customWidth="1"/>
    <col min="14" max="14" width="5.140625" style="1" customWidth="1"/>
    <col min="15" max="31" width="4.28515625" style="1" customWidth="1"/>
    <col min="32" max="32" width="3.42578125" style="1" customWidth="1"/>
    <col min="33" max="33" width="3.28515625" style="1" customWidth="1"/>
    <col min="34" max="35" width="4" style="1" customWidth="1"/>
    <col min="36" max="36" width="8.7109375" style="1" customWidth="1"/>
    <col min="37" max="37" width="8.5703125" style="1" customWidth="1"/>
    <col min="38" max="38" width="9.42578125" style="1" customWidth="1"/>
    <col min="39" max="39" width="5.5703125" style="1" customWidth="1"/>
    <col min="40" max="40" width="7.140625" style="1" customWidth="1"/>
    <col min="41" max="41" width="5.140625" style="1" customWidth="1"/>
    <col min="42" max="42" width="5.5703125" style="1" customWidth="1"/>
    <col min="43" max="43" width="5" style="1" customWidth="1"/>
    <col min="44" max="44" width="4.85546875" style="1" customWidth="1"/>
    <col min="45" max="45" width="4" style="1" customWidth="1"/>
    <col min="46" max="46" width="13" style="1" customWidth="1"/>
    <col min="47" max="47" width="16" style="1" customWidth="1"/>
    <col min="48" max="48" width="13.28515625" style="1" customWidth="1"/>
    <col min="49" max="49" width="12.7109375" style="1" customWidth="1"/>
    <col min="50" max="50" width="9.28515625" style="1" customWidth="1"/>
    <col min="51" max="51" width="12.28515625" style="1" customWidth="1"/>
    <col min="52" max="52" width="13" style="1" customWidth="1"/>
    <col min="53" max="53" width="14.42578125" style="1" customWidth="1"/>
    <col min="54" max="54" width="10" style="1" customWidth="1"/>
    <col min="55" max="55" width="11.42578125" style="1" customWidth="1"/>
    <col min="56" max="56" width="12.7109375" style="1" customWidth="1"/>
    <col min="57" max="57" width="12.28515625" style="1" customWidth="1"/>
    <col min="58" max="58" width="13.42578125" style="1" customWidth="1"/>
    <col min="59" max="16384" width="11.42578125" style="1"/>
  </cols>
  <sheetData>
    <row r="1" spans="2:59" ht="8.25" customHeight="1" x14ac:dyDescent="0.2"/>
    <row r="2" spans="2:59" ht="27.75" customHeight="1" x14ac:dyDescent="0.2">
      <c r="B2" s="59"/>
      <c r="C2" s="42"/>
      <c r="D2" s="42"/>
      <c r="E2" s="42"/>
      <c r="F2" s="42"/>
      <c r="G2" s="42"/>
      <c r="H2" s="42"/>
      <c r="I2" s="42"/>
      <c r="J2" s="53"/>
      <c r="K2" s="190" t="s">
        <v>403</v>
      </c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2"/>
    </row>
    <row r="3" spans="2:59" ht="27.75" customHeight="1" x14ac:dyDescent="0.2">
      <c r="B3" s="31"/>
      <c r="J3" s="29"/>
      <c r="K3" s="190" t="s">
        <v>402</v>
      </c>
      <c r="L3" s="210"/>
      <c r="M3" s="210"/>
      <c r="N3" s="210"/>
      <c r="O3" s="210"/>
      <c r="P3" s="210"/>
      <c r="Q3" s="210"/>
      <c r="R3" s="210"/>
      <c r="S3" s="210"/>
      <c r="T3" s="210"/>
      <c r="U3" s="210"/>
      <c r="V3" s="210"/>
      <c r="W3" s="210"/>
      <c r="X3" s="210"/>
      <c r="Y3" s="210"/>
      <c r="Z3" s="210"/>
      <c r="AA3" s="210"/>
      <c r="AB3" s="210"/>
      <c r="AC3" s="210"/>
      <c r="AD3" s="210"/>
      <c r="AE3" s="210"/>
      <c r="AF3" s="210"/>
      <c r="AG3" s="211"/>
      <c r="AU3" s="165" t="s">
        <v>401</v>
      </c>
      <c r="AV3" s="164"/>
      <c r="AW3" s="165" t="s">
        <v>400</v>
      </c>
      <c r="AX3" s="164"/>
      <c r="AY3" s="164"/>
      <c r="AZ3" s="163"/>
      <c r="BA3" s="163"/>
      <c r="BB3" s="163"/>
      <c r="BC3" s="163"/>
      <c r="BD3" s="163"/>
      <c r="BE3" s="163"/>
      <c r="BF3" s="163"/>
      <c r="BG3" s="163"/>
    </row>
    <row r="4" spans="2:59" ht="27.75" customHeight="1" thickBot="1" x14ac:dyDescent="0.25">
      <c r="B4" s="162"/>
      <c r="C4" s="227"/>
      <c r="D4" s="227"/>
      <c r="E4" s="227"/>
      <c r="F4" s="227"/>
      <c r="G4" s="227"/>
      <c r="H4" s="227"/>
      <c r="I4" s="227"/>
      <c r="J4" s="228"/>
      <c r="K4" s="232" t="s">
        <v>399</v>
      </c>
      <c r="L4" s="233"/>
      <c r="M4" s="233"/>
      <c r="N4" s="233"/>
      <c r="O4" s="233"/>
      <c r="P4" s="233"/>
      <c r="Q4" s="233"/>
      <c r="R4" s="232" t="s">
        <v>398</v>
      </c>
      <c r="S4" s="233"/>
      <c r="T4" s="233"/>
      <c r="U4" s="233"/>
      <c r="V4" s="233"/>
      <c r="W4" s="233"/>
      <c r="X4" s="233"/>
      <c r="Y4" s="234"/>
      <c r="Z4" s="229" t="s">
        <v>397</v>
      </c>
      <c r="AA4" s="230"/>
      <c r="AB4" s="230"/>
      <c r="AC4" s="230"/>
      <c r="AD4" s="230"/>
      <c r="AE4" s="230"/>
      <c r="AF4" s="230"/>
      <c r="AG4" s="231"/>
      <c r="AU4" s="159" t="s">
        <v>396</v>
      </c>
      <c r="AV4" s="158"/>
      <c r="AW4" s="158"/>
    </row>
    <row r="5" spans="2:59" ht="7.5" customHeight="1" thickTop="1" x14ac:dyDescent="0.2">
      <c r="C5" s="25"/>
      <c r="D5" s="25"/>
      <c r="E5" s="25"/>
      <c r="F5" s="25"/>
      <c r="G5" s="25"/>
      <c r="H5" s="25"/>
      <c r="I5" s="25"/>
      <c r="J5" s="25"/>
      <c r="K5" s="161"/>
      <c r="L5" s="161"/>
      <c r="M5" s="161"/>
      <c r="N5" s="161"/>
      <c r="O5" s="161"/>
      <c r="P5" s="161"/>
      <c r="Q5" s="161"/>
      <c r="R5" s="161"/>
      <c r="S5" s="161"/>
      <c r="T5" s="161"/>
      <c r="U5" s="161"/>
      <c r="V5" s="161"/>
      <c r="W5" s="161"/>
      <c r="X5" s="161"/>
      <c r="Y5" s="161"/>
      <c r="Z5" s="160"/>
      <c r="AA5" s="160"/>
      <c r="AB5" s="160"/>
      <c r="AC5" s="160"/>
      <c r="AD5" s="160"/>
      <c r="AE5" s="160"/>
      <c r="AF5" s="160"/>
      <c r="AG5" s="160"/>
      <c r="AU5" s="159"/>
      <c r="AV5" s="158"/>
      <c r="AW5" s="158"/>
    </row>
    <row r="6" spans="2:59" x14ac:dyDescent="0.2">
      <c r="B6" s="1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156"/>
      <c r="AU6" s="155" t="s">
        <v>395</v>
      </c>
      <c r="AV6" s="1" t="s">
        <v>394</v>
      </c>
      <c r="BA6" s="1" t="b">
        <f>IF(COLOR="Blanco",IF(M18="Buena",0.17,0.34),IF(COLOR="Negro",IF(M18="Buena",0.97,0.97)))</f>
        <v>0</v>
      </c>
      <c r="BB6" s="50" t="s">
        <v>393</v>
      </c>
    </row>
    <row r="7" spans="2:59" ht="15" customHeight="1" x14ac:dyDescent="0.2">
      <c r="B7" s="148"/>
      <c r="C7" s="52" t="s">
        <v>392</v>
      </c>
      <c r="D7" s="52"/>
      <c r="E7" s="52"/>
      <c r="F7" s="52"/>
      <c r="G7" s="224"/>
      <c r="H7" s="225"/>
      <c r="I7" s="225"/>
      <c r="J7" s="226"/>
      <c r="K7" s="52"/>
      <c r="L7" s="93" t="s">
        <v>391</v>
      </c>
      <c r="M7" s="52"/>
      <c r="N7" s="52"/>
      <c r="O7" s="212" t="s">
        <v>374</v>
      </c>
      <c r="P7" s="213"/>
      <c r="Q7" s="214"/>
      <c r="R7" s="52"/>
      <c r="S7" s="52"/>
      <c r="T7" s="93" t="s">
        <v>390</v>
      </c>
      <c r="U7" s="52"/>
      <c r="V7" s="76"/>
      <c r="W7" s="52"/>
      <c r="X7" s="205">
        <v>51</v>
      </c>
      <c r="Y7" s="206"/>
      <c r="Z7" s="207"/>
      <c r="AA7" s="52"/>
      <c r="AB7" s="52"/>
      <c r="AC7" s="52"/>
      <c r="AD7" s="52"/>
      <c r="AE7" s="52"/>
      <c r="AF7" s="52"/>
      <c r="AG7" s="152"/>
      <c r="AL7" s="7">
        <f>IF(X9,(X9-X7)+1,"")</f>
        <v>-46</v>
      </c>
      <c r="AU7" s="52" t="s">
        <v>389</v>
      </c>
      <c r="AV7" s="1" t="s">
        <v>388</v>
      </c>
      <c r="BA7" s="1">
        <f>0.72*1.8*(M26-M27)+0.028*BA6*(M30/0.27125)</f>
        <v>0</v>
      </c>
    </row>
    <row r="8" spans="2:59" ht="3" customHeight="1" x14ac:dyDescent="0.2">
      <c r="B8" s="148"/>
      <c r="C8" s="52"/>
      <c r="D8" s="52"/>
      <c r="E8" s="52"/>
      <c r="F8" s="93"/>
      <c r="G8" s="93"/>
      <c r="H8" s="93"/>
      <c r="I8" s="52"/>
      <c r="J8" s="52"/>
      <c r="K8" s="52"/>
      <c r="L8" s="93"/>
      <c r="M8" s="52"/>
      <c r="N8" s="52"/>
      <c r="O8" s="153"/>
      <c r="P8" s="153"/>
      <c r="Q8" s="153"/>
      <c r="R8" s="52"/>
      <c r="S8" s="52"/>
      <c r="T8" s="93"/>
      <c r="U8" s="52"/>
      <c r="V8" s="76"/>
      <c r="W8" s="52"/>
      <c r="X8" s="154"/>
      <c r="Y8" s="154"/>
      <c r="Z8" s="154"/>
      <c r="AA8" s="52"/>
      <c r="AB8" s="52"/>
      <c r="AC8" s="52"/>
      <c r="AD8" s="52"/>
      <c r="AE8" s="153"/>
      <c r="AF8" s="153"/>
      <c r="AG8" s="152"/>
      <c r="AU8" s="52"/>
    </row>
    <row r="9" spans="2:59" ht="12.75" customHeight="1" x14ac:dyDescent="0.2">
      <c r="B9" s="148"/>
      <c r="C9" s="52"/>
      <c r="D9" s="52"/>
      <c r="E9" s="52"/>
      <c r="F9" s="151"/>
      <c r="G9" s="151"/>
      <c r="H9" s="151"/>
      <c r="I9" s="151"/>
      <c r="J9" s="151"/>
      <c r="K9" s="52"/>
      <c r="L9" s="52" t="s">
        <v>387</v>
      </c>
      <c r="M9" s="52"/>
      <c r="N9" s="52"/>
      <c r="O9" s="193"/>
      <c r="P9" s="194"/>
      <c r="Q9" s="194"/>
      <c r="R9" s="195"/>
      <c r="S9" s="52"/>
      <c r="T9" s="52" t="s">
        <v>386</v>
      </c>
      <c r="U9" s="52"/>
      <c r="V9" s="52"/>
      <c r="W9" s="52"/>
      <c r="X9" s="205">
        <v>4</v>
      </c>
      <c r="Y9" s="206"/>
      <c r="Z9" s="207"/>
      <c r="AA9" s="52"/>
      <c r="AB9" s="52" t="s">
        <v>385</v>
      </c>
      <c r="AC9" s="52"/>
      <c r="AD9" s="52"/>
      <c r="AE9" s="197">
        <v>1</v>
      </c>
      <c r="AF9" s="198"/>
      <c r="AG9" s="147"/>
      <c r="AK9" s="1" t="s">
        <v>384</v>
      </c>
      <c r="AU9" s="150" t="s">
        <v>383</v>
      </c>
      <c r="AV9" s="12" t="s">
        <v>382</v>
      </c>
      <c r="BA9" s="149">
        <f>0.0018*BA7</f>
        <v>0</v>
      </c>
    </row>
    <row r="10" spans="2:59" x14ac:dyDescent="0.2">
      <c r="B10" s="148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93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147"/>
      <c r="AK10" s="1" t="s">
        <v>381</v>
      </c>
    </row>
    <row r="11" spans="2:59" ht="15" customHeight="1" x14ac:dyDescent="0.2">
      <c r="B11" s="184" t="s">
        <v>380</v>
      </c>
      <c r="C11" s="185"/>
      <c r="D11" s="185"/>
      <c r="E11" s="185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6"/>
      <c r="Q11" s="71"/>
      <c r="R11" s="184" t="s">
        <v>379</v>
      </c>
      <c r="S11" s="185"/>
      <c r="T11" s="185"/>
      <c r="U11" s="185"/>
      <c r="V11" s="185"/>
      <c r="W11" s="185"/>
      <c r="X11" s="185"/>
      <c r="Y11" s="185"/>
      <c r="Z11" s="185"/>
      <c r="AA11" s="185"/>
      <c r="AB11" s="185"/>
      <c r="AC11" s="185"/>
      <c r="AD11" s="185"/>
      <c r="AE11" s="185"/>
      <c r="AF11" s="185"/>
      <c r="AG11" s="186"/>
      <c r="AU11" s="1" t="s">
        <v>378</v>
      </c>
      <c r="AV11" s="1" t="s">
        <v>377</v>
      </c>
      <c r="BA11" s="1">
        <f>(M13*3.2808)/2</f>
        <v>0</v>
      </c>
    </row>
    <row r="12" spans="2:59" ht="6" customHeight="1" x14ac:dyDescent="0.2">
      <c r="B12" s="31"/>
      <c r="P12" s="29"/>
      <c r="R12" s="31"/>
      <c r="AB12" s="50"/>
      <c r="AC12" s="50"/>
      <c r="AD12" s="50"/>
      <c r="AE12" s="50"/>
      <c r="AF12" s="50"/>
      <c r="AG12" s="143"/>
    </row>
    <row r="13" spans="2:59" x14ac:dyDescent="0.2">
      <c r="B13" s="31"/>
      <c r="C13" s="52" t="s">
        <v>376</v>
      </c>
      <c r="D13" s="71"/>
      <c r="E13" s="71"/>
      <c r="F13" s="71"/>
      <c r="G13" s="52"/>
      <c r="H13" s="71"/>
      <c r="I13" s="71"/>
      <c r="J13" s="71"/>
      <c r="K13" s="15"/>
      <c r="L13" s="71"/>
      <c r="M13" s="204"/>
      <c r="N13" s="200"/>
      <c r="P13" s="29"/>
      <c r="R13" s="31" t="s">
        <v>375</v>
      </c>
      <c r="V13" s="146"/>
      <c r="W13" s="50"/>
      <c r="Z13" s="15"/>
      <c r="AA13" s="64"/>
      <c r="AB13" s="64"/>
      <c r="AC13" s="218"/>
      <c r="AD13" s="219"/>
      <c r="AE13" s="145"/>
      <c r="AG13" s="144"/>
      <c r="AJ13" s="1">
        <f>API</f>
        <v>0</v>
      </c>
      <c r="AK13" s="1" t="s">
        <v>374</v>
      </c>
      <c r="AM13" s="1" t="s">
        <v>373</v>
      </c>
      <c r="AO13" s="1">
        <v>1.5E-3</v>
      </c>
      <c r="AP13" s="1">
        <v>7.4999999999999997E-3</v>
      </c>
      <c r="AQ13" s="1">
        <v>0.15</v>
      </c>
      <c r="AU13" s="1" t="s">
        <v>372</v>
      </c>
      <c r="AV13" s="1" t="s">
        <v>371</v>
      </c>
      <c r="BA13" s="1">
        <f>M22*BA11</f>
        <v>0</v>
      </c>
    </row>
    <row r="14" spans="2:59" x14ac:dyDescent="0.2">
      <c r="B14" s="31"/>
      <c r="C14" s="128" t="s">
        <v>370</v>
      </c>
      <c r="M14" s="204"/>
      <c r="N14" s="200"/>
      <c r="P14" s="29"/>
      <c r="R14" s="31" t="s">
        <v>369</v>
      </c>
      <c r="AC14" s="220" t="str">
        <f>AJ14</f>
        <v/>
      </c>
      <c r="AD14" s="221"/>
      <c r="AE14" s="50"/>
      <c r="AF14" s="50"/>
      <c r="AG14" s="143"/>
      <c r="AJ14" s="96" t="str">
        <f>IF(AJ13=0,"",(141.5/(AJ13+131.5))*0.999016*8.345404452)</f>
        <v/>
      </c>
      <c r="AK14" s="1" t="s">
        <v>368</v>
      </c>
      <c r="AM14" s="1" t="s">
        <v>367</v>
      </c>
      <c r="AO14" s="1">
        <v>6.0000000000000001E-3</v>
      </c>
      <c r="AP14" s="1">
        <v>0.03</v>
      </c>
      <c r="AQ14" s="1">
        <v>0.6</v>
      </c>
      <c r="AR14" s="33"/>
      <c r="AU14" s="1" t="s">
        <v>366</v>
      </c>
      <c r="AV14" s="1" t="s">
        <v>365</v>
      </c>
      <c r="BA14" s="1">
        <f>BA13/3</f>
        <v>0</v>
      </c>
      <c r="BE14" s="142" t="s">
        <v>37</v>
      </c>
    </row>
    <row r="15" spans="2:59" x14ac:dyDescent="0.2">
      <c r="B15" s="31"/>
      <c r="C15" s="67" t="s">
        <v>364</v>
      </c>
      <c r="D15" s="6"/>
      <c r="E15" s="6"/>
      <c r="F15" s="6"/>
      <c r="G15" s="6"/>
      <c r="H15" s="6"/>
      <c r="I15" s="6"/>
      <c r="K15" s="6"/>
      <c r="M15" s="204"/>
      <c r="N15" s="200"/>
      <c r="P15" s="29"/>
      <c r="R15" s="134" t="s">
        <v>363</v>
      </c>
      <c r="S15" s="6"/>
      <c r="T15" s="6"/>
      <c r="U15" s="6"/>
      <c r="V15" s="67"/>
      <c r="X15" s="67"/>
      <c r="AC15" s="199"/>
      <c r="AD15" s="200"/>
      <c r="AE15" s="50"/>
      <c r="AF15" s="50"/>
      <c r="AG15" s="29"/>
      <c r="AM15" s="1" t="s">
        <v>362</v>
      </c>
      <c r="AU15" s="12" t="s">
        <v>361</v>
      </c>
      <c r="AV15" s="12" t="s">
        <v>360</v>
      </c>
      <c r="BA15" s="141">
        <f>(M14-M15)*3.2808+BA14</f>
        <v>0</v>
      </c>
    </row>
    <row r="16" spans="2:59" ht="12" customHeight="1" x14ac:dyDescent="0.2">
      <c r="B16" s="31"/>
      <c r="C16" s="67" t="s">
        <v>359</v>
      </c>
      <c r="D16" s="6"/>
      <c r="E16" s="6"/>
      <c r="F16" s="6"/>
      <c r="G16" s="6"/>
      <c r="H16" s="140"/>
      <c r="I16" s="67"/>
      <c r="J16" s="67"/>
      <c r="K16" s="6"/>
      <c r="M16" s="204"/>
      <c r="N16" s="200"/>
      <c r="P16" s="29"/>
      <c r="R16" s="134" t="s">
        <v>358</v>
      </c>
      <c r="S16" s="6"/>
      <c r="T16" s="6"/>
      <c r="U16" s="6"/>
      <c r="V16" s="133"/>
      <c r="W16" s="96"/>
      <c r="Z16" s="6"/>
      <c r="AA16" s="33"/>
      <c r="AC16" s="199"/>
      <c r="AD16" s="200"/>
      <c r="AE16" s="50"/>
      <c r="AF16" s="50"/>
      <c r="AG16" s="124"/>
      <c r="AK16" s="138" t="s">
        <v>357</v>
      </c>
      <c r="AU16" s="15" t="s">
        <v>356</v>
      </c>
      <c r="AV16" s="1" t="s">
        <v>351</v>
      </c>
      <c r="BA16" s="1" t="str">
        <f>IF(RVP="","",IF($O$7="Refinado",15.64-(1.854*(AC16^0.5))-((0.8742-(0.328*(AC16^0.5)))*LN(AC17)),IF(RVP="","",12.82-0.9672*LN(RVP))))</f>
        <v/>
      </c>
    </row>
    <row r="17" spans="2:58" x14ac:dyDescent="0.2">
      <c r="B17" s="31"/>
      <c r="C17" s="67" t="s">
        <v>355</v>
      </c>
      <c r="D17" s="6"/>
      <c r="E17" s="6"/>
      <c r="F17" s="6"/>
      <c r="G17" s="6"/>
      <c r="H17" s="139"/>
      <c r="K17" s="6"/>
      <c r="M17" s="178"/>
      <c r="N17" s="179"/>
      <c r="P17" s="29"/>
      <c r="R17" s="134" t="s">
        <v>354</v>
      </c>
      <c r="S17" s="6"/>
      <c r="T17" s="6"/>
      <c r="U17" s="6"/>
      <c r="V17" s="133"/>
      <c r="W17" s="96"/>
      <c r="X17" s="92"/>
      <c r="Z17" s="6"/>
      <c r="AA17" s="33"/>
      <c r="AC17" s="222"/>
      <c r="AD17" s="223"/>
      <c r="AE17" s="50"/>
      <c r="AF17" s="50"/>
      <c r="AG17" s="124"/>
      <c r="AK17" s="138" t="s">
        <v>353</v>
      </c>
      <c r="AU17" s="15" t="s">
        <v>352</v>
      </c>
      <c r="AV17" s="1" t="s">
        <v>351</v>
      </c>
      <c r="BA17" s="1" t="str">
        <f>IF(RVP="","",IF($O$7="Refinado",8742-(1042*(S^0.5))-((1049-(179.4*(S^0.5)))*LN(RVP)),IF(RVP="","",7261-1216*LN(RVP))))</f>
        <v/>
      </c>
    </row>
    <row r="18" spans="2:58" x14ac:dyDescent="0.2">
      <c r="B18" s="31"/>
      <c r="C18" s="67" t="s">
        <v>350</v>
      </c>
      <c r="D18" s="6"/>
      <c r="E18" s="6"/>
      <c r="F18" s="6"/>
      <c r="G18" s="6"/>
      <c r="H18" s="139"/>
      <c r="K18" s="6"/>
      <c r="M18" s="208"/>
      <c r="N18" s="209"/>
      <c r="P18" s="29"/>
      <c r="R18" s="134" t="s">
        <v>349</v>
      </c>
      <c r="S18" s="6"/>
      <c r="T18" s="6"/>
      <c r="U18" s="6"/>
      <c r="V18" s="133"/>
      <c r="W18" s="96"/>
      <c r="X18" s="92"/>
      <c r="Z18" s="6"/>
      <c r="AA18" s="33"/>
      <c r="AC18" s="199"/>
      <c r="AD18" s="200"/>
      <c r="AE18" s="50"/>
      <c r="AF18" s="50"/>
      <c r="AG18" s="124"/>
      <c r="AK18" s="138"/>
      <c r="AM18" s="1" t="s">
        <v>348</v>
      </c>
      <c r="AU18" s="1" t="s">
        <v>347</v>
      </c>
      <c r="AV18" s="1" t="s">
        <v>346</v>
      </c>
      <c r="BA18" s="1">
        <f>IF(M26="",0,(M26*1.8+32)+459.67)</f>
        <v>0</v>
      </c>
    </row>
    <row r="19" spans="2:58" ht="13.5" customHeight="1" x14ac:dyDescent="0.2">
      <c r="B19" s="31"/>
      <c r="C19" s="67" t="s">
        <v>345</v>
      </c>
      <c r="D19" s="6"/>
      <c r="E19" s="6"/>
      <c r="F19" s="6"/>
      <c r="G19" s="6"/>
      <c r="H19" s="126"/>
      <c r="I19" s="67"/>
      <c r="K19" s="6"/>
      <c r="L19" s="137"/>
      <c r="M19" s="136"/>
      <c r="N19" s="135"/>
      <c r="P19" s="29"/>
      <c r="R19" s="134" t="s">
        <v>344</v>
      </c>
      <c r="S19" s="6"/>
      <c r="T19" s="6"/>
      <c r="U19" s="6"/>
      <c r="V19" s="133"/>
      <c r="W19" s="96"/>
      <c r="X19" s="92"/>
      <c r="Z19" s="6"/>
      <c r="AA19" s="67"/>
      <c r="AC19" s="201"/>
      <c r="AD19" s="202"/>
      <c r="AE19" s="203"/>
      <c r="AF19" s="50"/>
      <c r="AG19" s="124"/>
      <c r="AK19" s="43"/>
      <c r="AM19" s="1" t="s">
        <v>343</v>
      </c>
      <c r="AU19" s="1" t="s">
        <v>342</v>
      </c>
      <c r="AV19" s="1" t="s">
        <v>341</v>
      </c>
      <c r="BA19" s="1">
        <f>IF(M27="",0,(M27*1.8+32)+459.67)</f>
        <v>0</v>
      </c>
    </row>
    <row r="20" spans="2:58" x14ac:dyDescent="0.2">
      <c r="B20" s="31"/>
      <c r="C20" s="67" t="s">
        <v>340</v>
      </c>
      <c r="D20" s="6"/>
      <c r="E20" s="6"/>
      <c r="F20" s="6"/>
      <c r="G20" s="6"/>
      <c r="H20" s="126"/>
      <c r="I20" s="67"/>
      <c r="K20" s="6"/>
      <c r="M20" s="180"/>
      <c r="N20" s="181"/>
      <c r="P20" s="29"/>
      <c r="R20" s="31"/>
      <c r="S20" s="6"/>
      <c r="T20" s="6"/>
      <c r="U20" s="6"/>
      <c r="V20" s="132"/>
      <c r="X20" s="131"/>
      <c r="AF20" s="50"/>
      <c r="AG20" s="130"/>
      <c r="AU20" s="1" t="s">
        <v>339</v>
      </c>
      <c r="AV20" s="1" t="s">
        <v>338</v>
      </c>
      <c r="BA20" s="1">
        <f>(BA18+BA19)/2</f>
        <v>0</v>
      </c>
    </row>
    <row r="21" spans="2:58" x14ac:dyDescent="0.2">
      <c r="B21" s="31"/>
      <c r="C21" s="67" t="s">
        <v>337</v>
      </c>
      <c r="D21" s="6"/>
      <c r="E21" s="6"/>
      <c r="F21" s="6"/>
      <c r="G21" s="6"/>
      <c r="H21" s="126"/>
      <c r="I21" s="67"/>
      <c r="K21" s="6"/>
      <c r="L21" s="129"/>
      <c r="M21" s="204"/>
      <c r="N21" s="200"/>
      <c r="P21" s="29"/>
      <c r="R21" s="184" t="s">
        <v>336</v>
      </c>
      <c r="S21" s="185"/>
      <c r="T21" s="185"/>
      <c r="U21" s="185"/>
      <c r="V21" s="185"/>
      <c r="W21" s="185"/>
      <c r="X21" s="185"/>
      <c r="Y21" s="185"/>
      <c r="Z21" s="185"/>
      <c r="AA21" s="185"/>
      <c r="AB21" s="185"/>
      <c r="AC21" s="185"/>
      <c r="AD21" s="185"/>
      <c r="AE21" s="185"/>
      <c r="AF21" s="185"/>
      <c r="AG21" s="186"/>
      <c r="AK21" s="67"/>
      <c r="AU21" s="128" t="s">
        <v>335</v>
      </c>
      <c r="AV21" s="1" t="s">
        <v>334</v>
      </c>
      <c r="BA21" s="1">
        <f>BA18-BA19</f>
        <v>0</v>
      </c>
      <c r="BF21" s="127" t="s">
        <v>38</v>
      </c>
    </row>
    <row r="22" spans="2:58" x14ac:dyDescent="0.2">
      <c r="B22" s="31"/>
      <c r="C22" s="67" t="s">
        <v>333</v>
      </c>
      <c r="D22" s="6"/>
      <c r="E22" s="6"/>
      <c r="F22" s="6"/>
      <c r="G22" s="6"/>
      <c r="H22" s="126"/>
      <c r="I22" s="67"/>
      <c r="M22" s="204"/>
      <c r="N22" s="200"/>
      <c r="O22" s="64"/>
      <c r="P22" s="118"/>
      <c r="Q22" s="64"/>
      <c r="R22" s="187"/>
      <c r="S22" s="188"/>
      <c r="T22" s="188"/>
      <c r="U22" s="188"/>
      <c r="V22" s="188"/>
      <c r="W22" s="188"/>
      <c r="X22" s="189"/>
      <c r="Y22" s="67"/>
      <c r="Z22" s="6"/>
      <c r="AA22" s="6"/>
      <c r="AB22" s="125"/>
      <c r="AC22" s="50"/>
      <c r="AD22" s="50"/>
      <c r="AE22" s="70"/>
      <c r="AF22" s="50"/>
      <c r="AG22" s="124"/>
      <c r="AJ22" s="67"/>
      <c r="AU22" s="1" t="s">
        <v>332</v>
      </c>
      <c r="AV22" s="1" t="s">
        <v>331</v>
      </c>
      <c r="BA22" s="1">
        <f>IF(BA20=0,0,BA20+(6*BA6)-1)</f>
        <v>0</v>
      </c>
    </row>
    <row r="23" spans="2:58" x14ac:dyDescent="0.2">
      <c r="B23" s="28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121"/>
      <c r="O23" s="121"/>
      <c r="P23" s="123"/>
      <c r="Q23" s="64"/>
      <c r="R23" s="122"/>
      <c r="S23" s="121"/>
      <c r="T23" s="121"/>
      <c r="U23" s="121"/>
      <c r="V23" s="121"/>
      <c r="W23" s="27"/>
      <c r="X23" s="113"/>
      <c r="Y23" s="113"/>
      <c r="Z23" s="114"/>
      <c r="AA23" s="114"/>
      <c r="AB23" s="27"/>
      <c r="AC23" s="119"/>
      <c r="AD23" s="120"/>
      <c r="AE23" s="119"/>
      <c r="AF23" s="119"/>
      <c r="AG23" s="26"/>
      <c r="AJ23" s="67"/>
      <c r="AU23" s="1" t="s">
        <v>330</v>
      </c>
      <c r="AV23" s="1" t="s">
        <v>329</v>
      </c>
      <c r="BA23" s="1">
        <f>IF(M30="",0,BA20+0.56*((6*BA6)-1)+(0.0079*BA6*(M30/0.27125)))</f>
        <v>0</v>
      </c>
    </row>
    <row r="24" spans="2:58" ht="15" customHeight="1" x14ac:dyDescent="0.2">
      <c r="B24" s="184" t="s">
        <v>328</v>
      </c>
      <c r="C24" s="185"/>
      <c r="D24" s="185"/>
      <c r="E24" s="185"/>
      <c r="F24" s="185"/>
      <c r="G24" s="185"/>
      <c r="H24" s="185"/>
      <c r="I24" s="185"/>
      <c r="J24" s="185"/>
      <c r="K24" s="185"/>
      <c r="L24" s="185"/>
      <c r="M24" s="185"/>
      <c r="N24" s="185"/>
      <c r="O24" s="185"/>
      <c r="P24" s="186"/>
      <c r="R24" s="184" t="s">
        <v>327</v>
      </c>
      <c r="S24" s="185"/>
      <c r="T24" s="185"/>
      <c r="U24" s="185"/>
      <c r="V24" s="185"/>
      <c r="W24" s="185"/>
      <c r="X24" s="185"/>
      <c r="Y24" s="185"/>
      <c r="Z24" s="185"/>
      <c r="AA24" s="185"/>
      <c r="AB24" s="185"/>
      <c r="AC24" s="185"/>
      <c r="AD24" s="185"/>
      <c r="AE24" s="185"/>
      <c r="AF24" s="185"/>
      <c r="AG24" s="186"/>
      <c r="AU24" s="1" t="s">
        <v>326</v>
      </c>
      <c r="AV24" s="1" t="s">
        <v>325</v>
      </c>
      <c r="BA24" s="1" t="str">
        <f>IF(BA16="","",EXP(BA16-(BA17/BA23)))</f>
        <v/>
      </c>
    </row>
    <row r="25" spans="2:58" ht="4.5" customHeight="1" x14ac:dyDescent="0.2">
      <c r="B25" s="59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53"/>
      <c r="R25" s="59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53"/>
    </row>
    <row r="26" spans="2:58" x14ac:dyDescent="0.2">
      <c r="B26" s="31"/>
      <c r="C26" s="67" t="s">
        <v>324</v>
      </c>
      <c r="M26" s="178"/>
      <c r="N26" s="182"/>
      <c r="O26" s="183"/>
      <c r="P26" s="29"/>
      <c r="R26" s="31"/>
      <c r="AG26" s="118"/>
      <c r="AN26" s="2"/>
    </row>
    <row r="27" spans="2:58" x14ac:dyDescent="0.2">
      <c r="B27" s="31"/>
      <c r="C27" s="67" t="s">
        <v>323</v>
      </c>
      <c r="M27" s="178"/>
      <c r="N27" s="182"/>
      <c r="O27" s="183"/>
      <c r="P27" s="29"/>
      <c r="R27" s="31" t="s">
        <v>322</v>
      </c>
      <c r="AG27" s="118"/>
      <c r="AU27" s="12" t="s">
        <v>321</v>
      </c>
      <c r="AV27" s="12" t="s">
        <v>320</v>
      </c>
      <c r="BA27" s="61" t="str">
        <f>IF(BA24="","",(1/(1+(0.053*BA24*BA15))))</f>
        <v/>
      </c>
    </row>
    <row r="28" spans="2:58" x14ac:dyDescent="0.2">
      <c r="B28" s="31"/>
      <c r="C28" s="67" t="s">
        <v>319</v>
      </c>
      <c r="M28" s="178"/>
      <c r="N28" s="182"/>
      <c r="O28" s="183"/>
      <c r="P28" s="29"/>
      <c r="R28" s="31"/>
      <c r="AG28" s="29"/>
      <c r="AU28" s="12" t="s">
        <v>318</v>
      </c>
      <c r="BA28" s="1" t="str">
        <f>IF(AC18="","",AC18)</f>
        <v/>
      </c>
    </row>
    <row r="29" spans="2:58" x14ac:dyDescent="0.2">
      <c r="B29" s="31"/>
      <c r="C29" s="1" t="s">
        <v>317</v>
      </c>
      <c r="M29" s="178"/>
      <c r="N29" s="182"/>
      <c r="O29" s="183"/>
      <c r="P29" s="29"/>
      <c r="R29" s="31" t="s">
        <v>316</v>
      </c>
      <c r="AG29" s="118"/>
      <c r="AU29" s="12" t="s">
        <v>315</v>
      </c>
      <c r="AV29" s="12" t="s">
        <v>314</v>
      </c>
      <c r="BA29" s="61" t="str">
        <f>IF($R$22="Techo flotante externo","",IF(BA28="","",IF($R$22="Techo fijo cónico",(BA28*BA24)/(10.731*BA23),"")))</f>
        <v/>
      </c>
    </row>
    <row r="30" spans="2:58" ht="15" x14ac:dyDescent="0.2">
      <c r="B30" s="31"/>
      <c r="C30" s="52" t="s">
        <v>313</v>
      </c>
      <c r="M30" s="178"/>
      <c r="N30" s="182"/>
      <c r="O30" s="183"/>
      <c r="P30" s="29"/>
      <c r="R30" s="31"/>
      <c r="AG30" s="29"/>
    </row>
    <row r="31" spans="2:58" x14ac:dyDescent="0.2">
      <c r="B31" s="31"/>
      <c r="C31" s="67" t="s">
        <v>312</v>
      </c>
      <c r="M31" s="178"/>
      <c r="N31" s="182"/>
      <c r="O31" s="183"/>
      <c r="P31" s="29"/>
      <c r="R31" s="31"/>
      <c r="AD31" s="117"/>
      <c r="AE31" s="117"/>
      <c r="AF31" s="116"/>
      <c r="AG31" s="115"/>
      <c r="AU31" s="12" t="s">
        <v>311</v>
      </c>
    </row>
    <row r="32" spans="2:58" ht="12.75" customHeight="1" x14ac:dyDescent="0.2">
      <c r="B32" s="28"/>
      <c r="C32" s="113"/>
      <c r="D32" s="114"/>
      <c r="E32" s="114"/>
      <c r="F32" s="114"/>
      <c r="G32" s="113"/>
      <c r="H32" s="27"/>
      <c r="I32" s="27"/>
      <c r="J32" s="27"/>
      <c r="K32" s="27"/>
      <c r="L32" s="27"/>
      <c r="M32" s="27"/>
      <c r="N32" s="27"/>
      <c r="O32" s="27"/>
      <c r="P32" s="26"/>
      <c r="R32" s="28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6"/>
      <c r="AU32" s="12" t="s">
        <v>290</v>
      </c>
      <c r="AV32" s="12" t="s">
        <v>310</v>
      </c>
      <c r="BA32" s="61" t="str">
        <f>IF(BA29="","",365*BA9*BA15*((PI()*((3.2808*M13)^2))/4)*BA27*BA29)</f>
        <v/>
      </c>
    </row>
    <row r="33" spans="2:53" ht="12.75" customHeight="1" x14ac:dyDescent="0.2">
      <c r="B33" s="184" t="s">
        <v>309</v>
      </c>
      <c r="C33" s="185"/>
      <c r="D33" s="185"/>
      <c r="E33" s="185"/>
      <c r="F33" s="185"/>
      <c r="G33" s="185"/>
      <c r="H33" s="185"/>
      <c r="I33" s="185"/>
      <c r="J33" s="185"/>
      <c r="K33" s="185"/>
      <c r="L33" s="185"/>
      <c r="M33" s="185"/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5"/>
      <c r="Z33" s="185"/>
      <c r="AA33" s="185"/>
      <c r="AB33" s="185"/>
      <c r="AC33" s="185"/>
      <c r="AD33" s="185"/>
      <c r="AE33" s="185"/>
      <c r="AF33" s="185"/>
      <c r="AG33" s="186"/>
      <c r="AU33" s="1" t="s">
        <v>308</v>
      </c>
    </row>
    <row r="34" spans="2:53" ht="5.25" customHeight="1" x14ac:dyDescent="0.2">
      <c r="B34" s="31"/>
      <c r="L34" s="111"/>
      <c r="Q34" s="50"/>
      <c r="R34" s="50"/>
      <c r="S34" s="50"/>
      <c r="U34" s="50"/>
      <c r="V34" s="50"/>
      <c r="W34" s="50"/>
      <c r="X34" s="33"/>
      <c r="Y34" s="106"/>
      <c r="Z34" s="106"/>
      <c r="AA34" s="106"/>
      <c r="AC34" s="50"/>
      <c r="AD34" s="50"/>
      <c r="AE34" s="50"/>
      <c r="AF34" s="108"/>
      <c r="AG34" s="110"/>
    </row>
    <row r="35" spans="2:53" ht="12.75" customHeight="1" x14ac:dyDescent="0.2">
      <c r="B35" s="31"/>
      <c r="C35" s="15" t="s">
        <v>307</v>
      </c>
      <c r="D35" s="65"/>
      <c r="E35" s="65"/>
      <c r="F35" s="65"/>
      <c r="G35" s="65"/>
      <c r="H35" s="64"/>
      <c r="I35" s="64"/>
      <c r="J35" s="112"/>
      <c r="K35" s="112"/>
      <c r="L35" s="111"/>
      <c r="Q35" s="50"/>
      <c r="R35" s="50"/>
      <c r="S35" s="50"/>
      <c r="U35" s="50"/>
      <c r="V35" s="50"/>
      <c r="W35" s="50"/>
      <c r="X35" s="33"/>
      <c r="Y35" s="106"/>
      <c r="AB35" s="215" t="s">
        <v>306</v>
      </c>
      <c r="AC35" s="216"/>
      <c r="AD35" s="216"/>
      <c r="AE35" s="216"/>
      <c r="AF35" s="217"/>
      <c r="AG35" s="110"/>
      <c r="AK35" s="60" t="s">
        <v>305</v>
      </c>
      <c r="AL35" s="60" t="s">
        <v>304</v>
      </c>
      <c r="AM35" s="60" t="s">
        <v>185</v>
      </c>
      <c r="AU35" s="1" t="s">
        <v>303</v>
      </c>
      <c r="AV35" s="1" t="s">
        <v>302</v>
      </c>
      <c r="BA35" s="61" t="str">
        <f>IF(AC18="","",0.08*AC18)</f>
        <v/>
      </c>
    </row>
    <row r="36" spans="2:53" ht="4.5" customHeight="1" x14ac:dyDescent="0.2">
      <c r="B36" s="31"/>
      <c r="D36" s="50"/>
      <c r="E36" s="50"/>
      <c r="F36" s="50"/>
      <c r="G36" s="50"/>
      <c r="H36" s="105"/>
      <c r="I36" s="105"/>
      <c r="P36" s="92"/>
      <c r="Q36" s="109"/>
      <c r="R36" s="109"/>
      <c r="S36" s="109"/>
      <c r="T36" s="92"/>
      <c r="U36" s="109"/>
      <c r="V36" s="109"/>
      <c r="W36" s="109"/>
      <c r="X36" s="92"/>
      <c r="Y36" s="109"/>
      <c r="Z36" s="109"/>
      <c r="AA36" s="109"/>
      <c r="AB36" s="92"/>
      <c r="AC36" s="109"/>
      <c r="AD36" s="109"/>
      <c r="AE36" s="109"/>
      <c r="AF36" s="92"/>
      <c r="AG36" s="99"/>
    </row>
    <row r="37" spans="2:53" ht="12.75" customHeight="1" x14ac:dyDescent="0.2">
      <c r="B37" s="31"/>
      <c r="C37" s="1" t="s">
        <v>301</v>
      </c>
      <c r="D37" s="52" t="s">
        <v>300</v>
      </c>
      <c r="E37" s="52"/>
      <c r="F37" s="50"/>
      <c r="G37" s="50"/>
      <c r="H37" s="105"/>
      <c r="I37" s="105"/>
      <c r="P37" s="92"/>
      <c r="Q37" s="109"/>
      <c r="R37" s="109"/>
      <c r="S37" s="109"/>
      <c r="T37" s="92"/>
      <c r="U37" s="109"/>
      <c r="V37" s="109"/>
      <c r="W37" s="109"/>
      <c r="X37" s="92"/>
      <c r="Y37" s="109"/>
      <c r="Z37" s="109"/>
      <c r="AA37" s="109"/>
      <c r="AB37" s="92"/>
      <c r="AC37" s="109"/>
      <c r="AD37" s="51"/>
      <c r="AE37" s="109"/>
      <c r="AF37" s="92"/>
      <c r="AG37" s="99"/>
      <c r="AJ37" s="45">
        <f t="shared" ref="AJ37:AJ48" si="0">IF(AD37="",1,AD37)</f>
        <v>1</v>
      </c>
      <c r="AK37" s="97">
        <v>5.8</v>
      </c>
      <c r="AL37" s="97">
        <v>0.3</v>
      </c>
      <c r="AM37" s="97">
        <v>2.1</v>
      </c>
      <c r="AU37" s="12" t="s">
        <v>293</v>
      </c>
    </row>
    <row r="38" spans="2:53" ht="12.75" customHeight="1" x14ac:dyDescent="0.2">
      <c r="B38" s="31"/>
      <c r="C38" s="1" t="s">
        <v>299</v>
      </c>
      <c r="D38" s="52" t="s">
        <v>298</v>
      </c>
      <c r="E38" s="52"/>
      <c r="F38" s="50"/>
      <c r="G38" s="50"/>
      <c r="H38" s="105"/>
      <c r="I38" s="105"/>
      <c r="P38" s="92"/>
      <c r="Q38" s="109"/>
      <c r="R38" s="109"/>
      <c r="S38" s="109"/>
      <c r="T38" s="92"/>
      <c r="U38" s="109"/>
      <c r="V38" s="109"/>
      <c r="W38" s="109"/>
      <c r="X38" s="92"/>
      <c r="Y38" s="109"/>
      <c r="Z38" s="109"/>
      <c r="AA38" s="109"/>
      <c r="AB38" s="92"/>
      <c r="AC38" s="109"/>
      <c r="AD38" s="51"/>
      <c r="AE38" s="109"/>
      <c r="AF38" s="92"/>
      <c r="AG38" s="99"/>
      <c r="AJ38" s="45">
        <f t="shared" si="0"/>
        <v>1</v>
      </c>
      <c r="AK38" s="97">
        <v>1.6</v>
      </c>
      <c r="AL38" s="97">
        <v>0.3</v>
      </c>
      <c r="AM38" s="97">
        <v>1.6</v>
      </c>
      <c r="AU38" s="12" t="s">
        <v>290</v>
      </c>
      <c r="AV38" s="12" t="s">
        <v>1</v>
      </c>
      <c r="BA38" s="61" t="str">
        <f>IF(BA32="","",(BA32/BA35)/42)</f>
        <v/>
      </c>
    </row>
    <row r="39" spans="2:53" ht="12.75" customHeight="1" x14ac:dyDescent="0.2">
      <c r="B39" s="31"/>
      <c r="C39" s="1" t="s">
        <v>297</v>
      </c>
      <c r="D39" s="52" t="s">
        <v>296</v>
      </c>
      <c r="E39" s="52"/>
      <c r="F39" s="50"/>
      <c r="G39" s="50"/>
      <c r="H39" s="105"/>
      <c r="I39" s="105"/>
      <c r="N39" s="33"/>
      <c r="O39" s="33"/>
      <c r="P39" s="96"/>
      <c r="Q39" s="106"/>
      <c r="R39" s="106"/>
      <c r="S39" s="106"/>
      <c r="T39" s="96"/>
      <c r="U39" s="106"/>
      <c r="V39" s="106"/>
      <c r="W39" s="106"/>
      <c r="X39" s="96"/>
      <c r="Y39" s="106"/>
      <c r="Z39" s="106"/>
      <c r="AA39" s="106"/>
      <c r="AB39" s="96"/>
      <c r="AC39" s="106"/>
      <c r="AD39" s="51"/>
      <c r="AE39" s="106"/>
      <c r="AF39" s="92"/>
      <c r="AG39" s="99"/>
      <c r="AJ39" s="45">
        <f t="shared" si="0"/>
        <v>1</v>
      </c>
      <c r="AK39" s="97">
        <v>0.6</v>
      </c>
      <c r="AL39" s="97">
        <v>0.4</v>
      </c>
      <c r="AM39" s="97">
        <v>1</v>
      </c>
      <c r="AQ39" s="108"/>
      <c r="AR39" s="50"/>
      <c r="AS39" s="107"/>
    </row>
    <row r="40" spans="2:53" ht="12.75" customHeight="1" x14ac:dyDescent="0.2">
      <c r="B40" s="31"/>
      <c r="C40" s="1" t="s">
        <v>295</v>
      </c>
      <c r="D40" s="52" t="s">
        <v>294</v>
      </c>
      <c r="E40" s="52"/>
      <c r="F40" s="50"/>
      <c r="G40" s="50"/>
      <c r="H40" s="105"/>
      <c r="I40" s="105"/>
      <c r="J40" s="92"/>
      <c r="K40" s="92"/>
      <c r="N40" s="33"/>
      <c r="O40" s="33"/>
      <c r="P40" s="96"/>
      <c r="Q40" s="106"/>
      <c r="R40" s="106"/>
      <c r="S40" s="106"/>
      <c r="T40" s="96"/>
      <c r="U40" s="106"/>
      <c r="V40" s="106"/>
      <c r="W40" s="106"/>
      <c r="X40" s="96"/>
      <c r="Y40" s="106"/>
      <c r="Z40" s="106"/>
      <c r="AA40" s="106"/>
      <c r="AB40" s="96"/>
      <c r="AC40" s="106"/>
      <c r="AD40" s="51"/>
      <c r="AE40" s="106"/>
      <c r="AF40" s="92"/>
      <c r="AG40" s="99"/>
      <c r="AJ40" s="45">
        <f t="shared" si="0"/>
        <v>1</v>
      </c>
      <c r="AK40" s="97">
        <v>1.6</v>
      </c>
      <c r="AL40" s="97">
        <v>0.3</v>
      </c>
      <c r="AM40" s="97">
        <v>1.5</v>
      </c>
      <c r="AQ40" s="102"/>
      <c r="AR40" s="50"/>
      <c r="AS40" s="50"/>
      <c r="AU40" s="12" t="s">
        <v>293</v>
      </c>
    </row>
    <row r="41" spans="2:53" ht="12.75" customHeight="1" x14ac:dyDescent="0.2">
      <c r="B41" s="31"/>
      <c r="C41" s="1" t="s">
        <v>292</v>
      </c>
      <c r="D41" s="52" t="s">
        <v>291</v>
      </c>
      <c r="E41" s="52"/>
      <c r="F41" s="50"/>
      <c r="G41" s="50"/>
      <c r="H41" s="105"/>
      <c r="I41" s="105"/>
      <c r="J41" s="104"/>
      <c r="K41" s="104"/>
      <c r="L41" s="62"/>
      <c r="M41" s="62"/>
      <c r="N41" s="62"/>
      <c r="O41" s="62"/>
      <c r="P41" s="104"/>
      <c r="Q41" s="73"/>
      <c r="R41" s="73"/>
      <c r="S41" s="73"/>
      <c r="T41" s="104"/>
      <c r="U41" s="73"/>
      <c r="V41" s="73"/>
      <c r="W41" s="73"/>
      <c r="X41" s="104"/>
      <c r="Y41" s="73"/>
      <c r="Z41" s="73"/>
      <c r="AA41" s="73"/>
      <c r="AB41" s="104"/>
      <c r="AC41" s="73"/>
      <c r="AD41" s="103"/>
      <c r="AE41" s="73"/>
      <c r="AF41" s="92"/>
      <c r="AG41" s="99"/>
      <c r="AJ41" s="45">
        <f t="shared" si="0"/>
        <v>1</v>
      </c>
      <c r="AK41" s="97">
        <v>0.7</v>
      </c>
      <c r="AL41" s="97">
        <v>0.3</v>
      </c>
      <c r="AM41" s="97">
        <v>1.2</v>
      </c>
      <c r="AQ41" s="102"/>
      <c r="AR41" s="50"/>
      <c r="AS41" s="50"/>
      <c r="AU41" s="12" t="s">
        <v>290</v>
      </c>
      <c r="AV41" s="12" t="s">
        <v>0</v>
      </c>
      <c r="BA41" s="61" t="str">
        <f>IF(BA38="","",BA38/365*AE9)</f>
        <v/>
      </c>
    </row>
    <row r="42" spans="2:53" ht="12.75" customHeight="1" x14ac:dyDescent="0.2">
      <c r="B42" s="31"/>
      <c r="C42" s="1" t="s">
        <v>289</v>
      </c>
      <c r="D42" s="52" t="s">
        <v>288</v>
      </c>
      <c r="E42" s="52"/>
      <c r="F42" s="50"/>
      <c r="G42" s="50"/>
      <c r="H42" s="105"/>
      <c r="I42" s="105"/>
      <c r="J42" s="104"/>
      <c r="K42" s="104"/>
      <c r="L42" s="69"/>
      <c r="M42" s="69"/>
      <c r="N42" s="69"/>
      <c r="O42" s="69"/>
      <c r="P42" s="104"/>
      <c r="Q42" s="73"/>
      <c r="R42" s="73"/>
      <c r="S42" s="73"/>
      <c r="T42" s="104"/>
      <c r="U42" s="73"/>
      <c r="V42" s="73"/>
      <c r="W42" s="73"/>
      <c r="X42" s="104"/>
      <c r="Y42" s="73"/>
      <c r="Z42" s="73"/>
      <c r="AA42" s="73"/>
      <c r="AB42" s="104"/>
      <c r="AC42" s="73"/>
      <c r="AD42" s="103"/>
      <c r="AE42" s="73"/>
      <c r="AF42" s="92"/>
      <c r="AG42" s="99"/>
      <c r="AJ42" s="45">
        <f t="shared" si="0"/>
        <v>1</v>
      </c>
      <c r="AK42" s="97">
        <v>0.3</v>
      </c>
      <c r="AL42" s="97">
        <v>0.6</v>
      </c>
      <c r="AM42" s="97">
        <v>0.3</v>
      </c>
      <c r="AQ42" s="102"/>
      <c r="AR42" s="50"/>
      <c r="AS42" s="50"/>
    </row>
    <row r="43" spans="2:53" ht="12.75" customHeight="1" x14ac:dyDescent="0.2">
      <c r="B43" s="31"/>
      <c r="C43" s="1" t="s">
        <v>287</v>
      </c>
      <c r="D43" s="52" t="s">
        <v>286</v>
      </c>
      <c r="E43" s="52"/>
      <c r="H43" s="62"/>
      <c r="I43" s="62"/>
      <c r="J43" s="62"/>
      <c r="K43" s="33"/>
      <c r="L43" s="69"/>
      <c r="M43" s="69"/>
      <c r="N43" s="69"/>
      <c r="O43" s="69"/>
      <c r="AD43" s="51"/>
      <c r="AF43" s="92"/>
      <c r="AG43" s="99"/>
      <c r="AJ43" s="45">
        <f t="shared" si="0"/>
        <v>1</v>
      </c>
      <c r="AK43" s="97">
        <v>6.7</v>
      </c>
      <c r="AL43" s="97">
        <v>0.2</v>
      </c>
      <c r="AM43" s="97">
        <v>3</v>
      </c>
      <c r="AQ43" s="50"/>
      <c r="AR43" s="98"/>
      <c r="AS43" s="64"/>
      <c r="AU43" s="101" t="s">
        <v>285</v>
      </c>
      <c r="AV43" s="100"/>
      <c r="AW43" s="100"/>
    </row>
    <row r="44" spans="2:53" ht="12.75" customHeight="1" x14ac:dyDescent="0.2">
      <c r="B44" s="31"/>
      <c r="C44" s="1" t="s">
        <v>284</v>
      </c>
      <c r="D44" s="52" t="s">
        <v>283</v>
      </c>
      <c r="E44" s="52"/>
      <c r="H44" s="62"/>
      <c r="I44" s="62"/>
      <c r="J44" s="62"/>
      <c r="K44" s="33"/>
      <c r="L44" s="77"/>
      <c r="M44" s="77"/>
      <c r="N44" s="77"/>
      <c r="O44" s="77"/>
      <c r="AD44" s="51"/>
      <c r="AF44" s="92"/>
      <c r="AG44" s="99"/>
      <c r="AJ44" s="45">
        <f t="shared" si="0"/>
        <v>1</v>
      </c>
      <c r="AK44" s="97">
        <v>3.3</v>
      </c>
      <c r="AL44" s="97">
        <v>0.1</v>
      </c>
      <c r="AM44" s="97">
        <v>3</v>
      </c>
      <c r="AQ44" s="50"/>
      <c r="AR44" s="98"/>
      <c r="AS44" s="64"/>
    </row>
    <row r="45" spans="2:53" ht="12.75" customHeight="1" x14ac:dyDescent="0.2">
      <c r="B45" s="31"/>
      <c r="C45" s="1" t="s">
        <v>282</v>
      </c>
      <c r="D45" s="52" t="s">
        <v>281</v>
      </c>
      <c r="E45" s="52"/>
      <c r="F45" s="65"/>
      <c r="G45" s="65"/>
      <c r="H45" s="86"/>
      <c r="I45" s="86"/>
      <c r="J45" s="86"/>
      <c r="K45" s="85"/>
      <c r="L45" s="92"/>
      <c r="M45" s="92"/>
      <c r="N45" s="92"/>
      <c r="O45" s="92"/>
      <c r="P45" s="83"/>
      <c r="Q45" s="83"/>
      <c r="R45" s="83"/>
      <c r="S45" s="83"/>
      <c r="T45" s="83"/>
      <c r="U45" s="84"/>
      <c r="W45" s="83"/>
      <c r="X45" s="81"/>
      <c r="Z45" s="82"/>
      <c r="AA45" s="81"/>
      <c r="AB45" s="65"/>
      <c r="AC45" s="65"/>
      <c r="AD45" s="51"/>
      <c r="AE45" s="80"/>
      <c r="AF45" s="79"/>
      <c r="AG45" s="78"/>
      <c r="AH45" s="77"/>
      <c r="AI45" s="77"/>
      <c r="AJ45" s="45">
        <f t="shared" si="0"/>
        <v>1</v>
      </c>
      <c r="AK45" s="97">
        <v>2.2000000000000002</v>
      </c>
      <c r="AL45" s="97">
        <v>3.0000000000000001E-3</v>
      </c>
      <c r="AM45" s="97">
        <v>4.3</v>
      </c>
      <c r="AN45" s="64"/>
      <c r="AO45" s="64"/>
      <c r="AP45" s="90"/>
      <c r="AQ45" s="89"/>
      <c r="AR45" s="88"/>
      <c r="AS45" s="87"/>
      <c r="AU45" s="1" t="s">
        <v>280</v>
      </c>
      <c r="AV45" s="1" t="s">
        <v>279</v>
      </c>
      <c r="BA45" s="4" t="str">
        <f>IF(D="","",IF(HLX="","",(5.614*Q)/((PI()/4)*((D*3.2808)^2)*3.2808*HLX)))</f>
        <v/>
      </c>
    </row>
    <row r="46" spans="2:53" ht="12.75" customHeight="1" x14ac:dyDescent="0.2">
      <c r="B46" s="31"/>
      <c r="C46" s="1" t="s">
        <v>278</v>
      </c>
      <c r="D46" s="52" t="s">
        <v>277</v>
      </c>
      <c r="E46" s="52"/>
      <c r="F46" s="65"/>
      <c r="G46" s="65"/>
      <c r="H46" s="86"/>
      <c r="I46" s="86"/>
      <c r="J46" s="86"/>
      <c r="K46" s="85"/>
      <c r="L46" s="92"/>
      <c r="M46" s="92"/>
      <c r="N46" s="92"/>
      <c r="O46" s="92"/>
      <c r="P46" s="83"/>
      <c r="Q46" s="83"/>
      <c r="R46" s="83"/>
      <c r="S46" s="83"/>
      <c r="T46" s="83"/>
      <c r="U46" s="84"/>
      <c r="W46" s="83"/>
      <c r="X46" s="81"/>
      <c r="Y46" s="50"/>
      <c r="Z46" s="82"/>
      <c r="AA46" s="81"/>
      <c r="AB46" s="65"/>
      <c r="AC46" s="65"/>
      <c r="AD46" s="51"/>
      <c r="AE46" s="80"/>
      <c r="AF46" s="79"/>
      <c r="AG46" s="78"/>
      <c r="AH46" s="77"/>
      <c r="AI46" s="77"/>
      <c r="AJ46" s="45">
        <f t="shared" si="0"/>
        <v>1</v>
      </c>
      <c r="AK46" s="97">
        <v>10.8</v>
      </c>
      <c r="AL46" s="97">
        <v>0.4</v>
      </c>
      <c r="AM46" s="97">
        <v>2</v>
      </c>
      <c r="AN46" s="64"/>
      <c r="AO46" s="64"/>
      <c r="AP46" s="90"/>
      <c r="AQ46" s="89"/>
      <c r="AR46" s="88"/>
      <c r="AS46" s="87"/>
    </row>
    <row r="47" spans="2:53" ht="12.75" customHeight="1" x14ac:dyDescent="0.2">
      <c r="B47" s="31"/>
      <c r="C47" s="1" t="s">
        <v>276</v>
      </c>
      <c r="D47" s="52" t="s">
        <v>275</v>
      </c>
      <c r="E47" s="52"/>
      <c r="F47" s="65"/>
      <c r="G47" s="65"/>
      <c r="H47" s="86"/>
      <c r="I47" s="86"/>
      <c r="J47" s="86"/>
      <c r="K47" s="85"/>
      <c r="L47" s="92"/>
      <c r="M47" s="92"/>
      <c r="N47" s="92"/>
      <c r="O47" s="92"/>
      <c r="P47" s="83"/>
      <c r="Q47" s="83"/>
      <c r="R47" s="83"/>
      <c r="S47" s="83"/>
      <c r="T47" s="83"/>
      <c r="U47" s="84"/>
      <c r="W47" s="83"/>
      <c r="X47" s="81"/>
      <c r="Z47" s="82"/>
      <c r="AA47" s="81"/>
      <c r="AB47" s="65"/>
      <c r="AC47" s="65"/>
      <c r="AD47" s="51"/>
      <c r="AE47" s="80"/>
      <c r="AF47" s="79"/>
      <c r="AG47" s="78"/>
      <c r="AH47" s="77"/>
      <c r="AI47" s="77"/>
      <c r="AJ47" s="45">
        <f t="shared" si="0"/>
        <v>1</v>
      </c>
      <c r="AK47" s="97">
        <v>9.1999999999999993</v>
      </c>
      <c r="AL47" s="97">
        <v>0.2</v>
      </c>
      <c r="AM47" s="97">
        <v>1.9</v>
      </c>
      <c r="AN47" s="64"/>
      <c r="AO47" s="64"/>
      <c r="AP47" s="90"/>
      <c r="AQ47" s="89"/>
      <c r="AR47" s="88"/>
      <c r="AS47" s="87"/>
    </row>
    <row r="48" spans="2:53" ht="12.75" customHeight="1" x14ac:dyDescent="0.2">
      <c r="B48" s="31"/>
      <c r="C48" s="1" t="s">
        <v>274</v>
      </c>
      <c r="D48" s="52" t="s">
        <v>273</v>
      </c>
      <c r="E48" s="52"/>
      <c r="F48" s="65"/>
      <c r="G48" s="65"/>
      <c r="H48" s="86"/>
      <c r="I48" s="86"/>
      <c r="J48" s="86"/>
      <c r="K48" s="85"/>
      <c r="L48" s="92"/>
      <c r="M48" s="92"/>
      <c r="N48" s="92"/>
      <c r="O48" s="92"/>
      <c r="P48" s="83"/>
      <c r="Q48" s="83"/>
      <c r="R48" s="83"/>
      <c r="S48" s="83"/>
      <c r="T48" s="83"/>
      <c r="U48" s="84"/>
      <c r="W48" s="83"/>
      <c r="X48" s="81"/>
      <c r="Z48" s="82"/>
      <c r="AA48" s="81"/>
      <c r="AB48" s="65"/>
      <c r="AC48" s="65"/>
      <c r="AD48" s="51"/>
      <c r="AE48" s="80"/>
      <c r="AF48" s="79"/>
      <c r="AG48" s="78"/>
      <c r="AH48" s="77"/>
      <c r="AI48" s="77"/>
      <c r="AJ48" s="45">
        <f t="shared" si="0"/>
        <v>1</v>
      </c>
      <c r="AK48" s="97">
        <v>1.1000000000000001</v>
      </c>
      <c r="AL48" s="97">
        <v>0.3</v>
      </c>
      <c r="AM48" s="97">
        <v>1.5</v>
      </c>
      <c r="AN48" s="64"/>
      <c r="AO48" s="64"/>
      <c r="AP48" s="90"/>
      <c r="AQ48" s="89"/>
      <c r="AR48" s="88"/>
      <c r="AS48" s="87"/>
      <c r="AU48" s="1" t="s">
        <v>272</v>
      </c>
      <c r="AV48" s="1" t="s">
        <v>271</v>
      </c>
      <c r="BA48" s="96" t="str">
        <f>IF(BA45="","",ROUND(IF(BA45&gt;36,(180+BA45)/(6*BA45),1),2))</f>
        <v/>
      </c>
    </row>
    <row r="49" spans="2:58" ht="6" customHeight="1" x14ac:dyDescent="0.2">
      <c r="B49" s="31"/>
      <c r="C49" s="93"/>
      <c r="D49" s="65"/>
      <c r="E49" s="65"/>
      <c r="F49" s="65"/>
      <c r="G49" s="65"/>
      <c r="H49" s="86"/>
      <c r="I49" s="86"/>
      <c r="J49" s="86"/>
      <c r="K49" s="85"/>
      <c r="L49" s="92"/>
      <c r="M49" s="92"/>
      <c r="N49" s="92"/>
      <c r="O49" s="92"/>
      <c r="P49" s="83"/>
      <c r="Q49" s="83"/>
      <c r="R49" s="83"/>
      <c r="S49" s="83"/>
      <c r="T49" s="83"/>
      <c r="U49" s="84"/>
      <c r="W49" s="83"/>
      <c r="X49" s="81"/>
      <c r="Z49" s="82"/>
      <c r="AA49" s="81"/>
      <c r="AB49" s="65"/>
      <c r="AC49" s="65"/>
      <c r="AE49" s="80"/>
      <c r="AF49" s="79"/>
      <c r="AG49" s="78"/>
      <c r="AH49" s="77"/>
      <c r="AI49" s="77"/>
      <c r="AJ49" s="77"/>
      <c r="AN49" s="64"/>
      <c r="AO49" s="64"/>
      <c r="AP49" s="90"/>
      <c r="AQ49" s="89"/>
      <c r="AR49" s="88"/>
      <c r="AS49" s="87"/>
    </row>
    <row r="50" spans="2:58" ht="12.75" customHeight="1" x14ac:dyDescent="0.2">
      <c r="B50" s="31"/>
      <c r="C50" s="94" t="s">
        <v>270</v>
      </c>
      <c r="D50" s="65"/>
      <c r="E50" s="65"/>
      <c r="F50" s="65"/>
      <c r="G50" s="65"/>
      <c r="H50" s="86"/>
      <c r="I50" s="86"/>
      <c r="J50" s="86"/>
      <c r="K50" s="85"/>
      <c r="L50" s="92"/>
      <c r="M50" s="92"/>
      <c r="O50" s="92"/>
      <c r="P50" s="83"/>
      <c r="Q50" s="83"/>
      <c r="R50" s="95" t="s">
        <v>269</v>
      </c>
      <c r="S50" s="83"/>
      <c r="T50" s="83"/>
      <c r="U50" s="84"/>
      <c r="W50" s="83"/>
      <c r="X50" s="81"/>
      <c r="Z50" s="82"/>
      <c r="AA50" s="81"/>
      <c r="AB50" s="65"/>
      <c r="AC50" s="65"/>
      <c r="AE50" s="80"/>
      <c r="AF50" s="79"/>
      <c r="AG50" s="78"/>
      <c r="AH50" s="77"/>
      <c r="AI50" s="77"/>
      <c r="AJ50" s="77"/>
      <c r="AK50" s="60" t="s">
        <v>75</v>
      </c>
      <c r="AL50" s="60" t="s">
        <v>73</v>
      </c>
      <c r="AM50" s="60" t="s">
        <v>71</v>
      </c>
      <c r="AN50" s="64"/>
      <c r="AO50" s="64"/>
      <c r="AP50" s="60" t="s">
        <v>75</v>
      </c>
      <c r="AQ50" s="60" t="s">
        <v>73</v>
      </c>
      <c r="AR50" s="60" t="s">
        <v>71</v>
      </c>
      <c r="AS50" s="87"/>
      <c r="AU50" s="1" t="s">
        <v>268</v>
      </c>
      <c r="AV50" s="1" t="s">
        <v>267</v>
      </c>
      <c r="AZ50" s="1" t="s">
        <v>266</v>
      </c>
      <c r="BA50" s="1">
        <f>IF($O$7="Crudo",0.75,IF($O$7="Refinado",1,"ERROR"))</f>
        <v>0.75</v>
      </c>
    </row>
    <row r="51" spans="2:58" ht="5.25" customHeight="1" x14ac:dyDescent="0.2">
      <c r="B51" s="31"/>
      <c r="F51" s="65"/>
      <c r="G51" s="65"/>
      <c r="H51" s="86"/>
      <c r="I51" s="86"/>
      <c r="J51" s="86"/>
      <c r="K51" s="85"/>
      <c r="L51" s="92"/>
      <c r="M51" s="92"/>
      <c r="N51" s="92"/>
      <c r="O51" s="92"/>
      <c r="P51" s="83"/>
      <c r="Q51" s="83"/>
      <c r="R51" s="83"/>
      <c r="S51" s="83"/>
      <c r="T51" s="83"/>
      <c r="U51" s="84"/>
      <c r="W51" s="83"/>
      <c r="X51" s="81"/>
      <c r="Z51" s="82"/>
      <c r="AA51" s="81"/>
      <c r="AB51" s="65"/>
      <c r="AC51" s="65"/>
      <c r="AE51" s="80"/>
      <c r="AF51" s="79"/>
      <c r="AG51" s="78"/>
      <c r="AH51" s="77"/>
      <c r="AI51" s="77"/>
      <c r="AJ51" s="77"/>
      <c r="AK51" s="91"/>
      <c r="AL51" s="91"/>
      <c r="AM51" s="33"/>
      <c r="AN51" s="64"/>
      <c r="AO51" s="64"/>
      <c r="AP51" s="90"/>
      <c r="AQ51" s="89"/>
      <c r="AR51" s="88"/>
      <c r="AS51" s="87"/>
    </row>
    <row r="52" spans="2:58" ht="12.75" customHeight="1" x14ac:dyDescent="0.2">
      <c r="B52" s="31"/>
      <c r="C52" s="1" t="s">
        <v>265</v>
      </c>
      <c r="D52" s="52" t="s">
        <v>264</v>
      </c>
      <c r="E52" s="52"/>
      <c r="F52" s="65"/>
      <c r="G52" s="65"/>
      <c r="H52" s="86"/>
      <c r="I52" s="86"/>
      <c r="J52" s="86"/>
      <c r="K52" s="85"/>
      <c r="L52" s="92"/>
      <c r="M52" s="92"/>
      <c r="O52" s="51"/>
      <c r="P52" s="51"/>
      <c r="Q52" s="83"/>
      <c r="R52" s="1" t="s">
        <v>263</v>
      </c>
      <c r="S52" s="52" t="s">
        <v>262</v>
      </c>
      <c r="T52" s="83"/>
      <c r="U52" s="84"/>
      <c r="W52" s="83"/>
      <c r="X52" s="81"/>
      <c r="Z52" s="82"/>
      <c r="AA52" s="81"/>
      <c r="AB52" s="65"/>
      <c r="AC52" s="51"/>
      <c r="AD52" s="51"/>
      <c r="AE52" s="80"/>
      <c r="AF52" s="79"/>
      <c r="AG52" s="78"/>
      <c r="AH52" s="77"/>
      <c r="AI52" s="77"/>
      <c r="AJ52" s="14">
        <f>IF(O52="",1,O52)</f>
        <v>1</v>
      </c>
      <c r="AK52" s="1">
        <v>36</v>
      </c>
      <c r="AL52" s="50">
        <v>5.9</v>
      </c>
      <c r="AM52" s="50">
        <v>1.2</v>
      </c>
      <c r="AN52" s="14">
        <f>P52</f>
        <v>0</v>
      </c>
      <c r="AO52" s="14">
        <f>IF(AC52="",1,AC52)</f>
        <v>1</v>
      </c>
      <c r="AP52" s="50">
        <v>14</v>
      </c>
      <c r="AQ52" s="50">
        <v>5.4</v>
      </c>
      <c r="AR52" s="50">
        <v>1.1000000000000001</v>
      </c>
      <c r="AS52" s="45">
        <f>AD52</f>
        <v>0</v>
      </c>
    </row>
    <row r="53" spans="2:58" ht="12.75" customHeight="1" x14ac:dyDescent="0.2">
      <c r="B53" s="31"/>
      <c r="C53" s="1" t="s">
        <v>261</v>
      </c>
      <c r="D53" s="52" t="s">
        <v>260</v>
      </c>
      <c r="E53" s="52"/>
      <c r="F53" s="65"/>
      <c r="G53" s="65"/>
      <c r="H53" s="86"/>
      <c r="I53" s="86"/>
      <c r="J53" s="86"/>
      <c r="K53" s="85"/>
      <c r="L53" s="92"/>
      <c r="M53" s="92"/>
      <c r="O53" s="51"/>
      <c r="P53" s="51"/>
      <c r="Q53" s="83"/>
      <c r="R53" s="1" t="s">
        <v>259</v>
      </c>
      <c r="S53" s="52" t="s">
        <v>258</v>
      </c>
      <c r="T53" s="83"/>
      <c r="U53" s="84"/>
      <c r="W53" s="83"/>
      <c r="X53" s="81"/>
      <c r="Z53" s="82"/>
      <c r="AA53" s="81"/>
      <c r="AB53" s="65"/>
      <c r="AC53" s="51"/>
      <c r="AD53" s="51"/>
      <c r="AE53" s="80"/>
      <c r="AF53" s="79"/>
      <c r="AG53" s="78"/>
      <c r="AH53" s="77"/>
      <c r="AI53" s="77"/>
      <c r="AJ53" s="14">
        <f>IF(O53="",1,O53)</f>
        <v>1</v>
      </c>
      <c r="AK53" s="1">
        <v>31</v>
      </c>
      <c r="AL53" s="50">
        <v>5.2</v>
      </c>
      <c r="AM53" s="50">
        <v>1.3</v>
      </c>
      <c r="AN53" s="14">
        <f>P53</f>
        <v>0</v>
      </c>
      <c r="AO53" s="14">
        <f>IF(AC53="",1,AC53)</f>
        <v>1</v>
      </c>
      <c r="AP53" s="50">
        <v>4.3</v>
      </c>
      <c r="AQ53" s="50">
        <v>17</v>
      </c>
      <c r="AR53" s="50">
        <v>0.38</v>
      </c>
      <c r="AS53" s="45">
        <f>AD53</f>
        <v>0</v>
      </c>
      <c r="AU53" s="1" t="s">
        <v>257</v>
      </c>
      <c r="AV53" s="1" t="s">
        <v>256</v>
      </c>
      <c r="AZ53" s="8" t="s">
        <v>255</v>
      </c>
      <c r="BA53" s="1">
        <v>1</v>
      </c>
    </row>
    <row r="54" spans="2:58" ht="12.75" customHeight="1" x14ac:dyDescent="0.2">
      <c r="B54" s="31"/>
      <c r="C54" s="1" t="s">
        <v>254</v>
      </c>
      <c r="D54" s="52" t="s">
        <v>253</v>
      </c>
      <c r="E54" s="52"/>
      <c r="F54" s="65"/>
      <c r="G54" s="65"/>
      <c r="H54" s="86"/>
      <c r="I54" s="86"/>
      <c r="J54" s="86"/>
      <c r="K54" s="85"/>
      <c r="L54" s="92"/>
      <c r="M54" s="92"/>
      <c r="O54" s="51"/>
      <c r="P54" s="51"/>
      <c r="Q54" s="83"/>
      <c r="R54" s="1" t="s">
        <v>252</v>
      </c>
      <c r="S54" s="52" t="s">
        <v>251</v>
      </c>
      <c r="T54" s="83"/>
      <c r="U54" s="84"/>
      <c r="W54" s="83"/>
      <c r="X54" s="81"/>
      <c r="Z54" s="82"/>
      <c r="AA54" s="81"/>
      <c r="AB54" s="65"/>
      <c r="AC54" s="51"/>
      <c r="AD54" s="51"/>
      <c r="AE54" s="80"/>
      <c r="AF54" s="79"/>
      <c r="AG54" s="78"/>
      <c r="AH54" s="77"/>
      <c r="AI54" s="77"/>
      <c r="AJ54" s="14">
        <f>IF(O54="",1,O54)</f>
        <v>1</v>
      </c>
      <c r="AK54" s="1">
        <v>1.6</v>
      </c>
      <c r="AL54" s="50">
        <v>0</v>
      </c>
      <c r="AM54" s="50">
        <v>0</v>
      </c>
      <c r="AN54" s="14">
        <f>P54</f>
        <v>0</v>
      </c>
      <c r="AO54" s="14">
        <f>IF(AC54="",1,AC54)</f>
        <v>1</v>
      </c>
      <c r="AP54" s="50">
        <v>2.8</v>
      </c>
      <c r="AQ54" s="50">
        <v>0</v>
      </c>
      <c r="AR54" s="50">
        <v>0</v>
      </c>
      <c r="AS54" s="45">
        <f>AD54</f>
        <v>0</v>
      </c>
    </row>
    <row r="55" spans="2:58" ht="6.75" customHeight="1" x14ac:dyDescent="0.2">
      <c r="B55" s="31"/>
      <c r="C55" s="93"/>
      <c r="D55" s="65"/>
      <c r="E55" s="65"/>
      <c r="F55" s="65"/>
      <c r="G55" s="65"/>
      <c r="H55" s="86"/>
      <c r="I55" s="86"/>
      <c r="J55" s="86"/>
      <c r="K55" s="85"/>
      <c r="L55" s="92"/>
      <c r="M55" s="92"/>
      <c r="N55" s="92"/>
      <c r="O55" s="92"/>
      <c r="P55" s="83"/>
      <c r="Q55" s="83"/>
      <c r="R55" s="83"/>
      <c r="S55" s="83"/>
      <c r="T55" s="83"/>
      <c r="U55" s="84"/>
      <c r="W55" s="83"/>
      <c r="X55" s="81"/>
      <c r="Z55" s="82"/>
      <c r="AA55" s="81"/>
      <c r="AB55" s="65"/>
      <c r="AC55" s="65"/>
      <c r="AE55" s="80"/>
      <c r="AF55" s="79"/>
      <c r="AG55" s="78"/>
      <c r="AH55" s="77"/>
      <c r="AI55" s="77"/>
      <c r="AJ55" s="77"/>
      <c r="AK55" s="91"/>
      <c r="AL55" s="91"/>
      <c r="AM55" s="33"/>
      <c r="AN55" s="64"/>
      <c r="AO55" s="64"/>
      <c r="AP55" s="90"/>
      <c r="AQ55" s="89"/>
      <c r="AR55" s="88"/>
      <c r="AS55" s="87"/>
    </row>
    <row r="56" spans="2:58" ht="12.75" customHeight="1" x14ac:dyDescent="0.2">
      <c r="B56" s="31"/>
      <c r="C56" s="94" t="s">
        <v>250</v>
      </c>
      <c r="D56" s="65"/>
      <c r="E56" s="65"/>
      <c r="F56" s="65"/>
      <c r="G56" s="65"/>
      <c r="H56" s="86"/>
      <c r="I56" s="86"/>
      <c r="J56" s="86"/>
      <c r="K56" s="85"/>
      <c r="L56" s="92"/>
      <c r="M56" s="92"/>
      <c r="N56" s="92"/>
      <c r="O56" s="92"/>
      <c r="P56" s="83"/>
      <c r="Q56" s="83"/>
      <c r="R56" s="15" t="s">
        <v>249</v>
      </c>
      <c r="S56" s="83"/>
      <c r="T56" s="83"/>
      <c r="U56" s="84"/>
      <c r="W56" s="83"/>
      <c r="X56" s="81"/>
      <c r="Z56" s="82"/>
      <c r="AA56" s="81"/>
      <c r="AB56" s="65"/>
      <c r="AC56" s="65"/>
      <c r="AE56" s="80"/>
      <c r="AF56" s="79"/>
      <c r="AG56" s="78"/>
      <c r="AH56" s="77"/>
      <c r="AI56" s="77"/>
      <c r="AJ56" s="77"/>
      <c r="AK56" s="91"/>
      <c r="AL56" s="91"/>
      <c r="AM56" s="33"/>
      <c r="AN56" s="64"/>
      <c r="AO56" s="64"/>
      <c r="AP56" s="90"/>
      <c r="AQ56" s="89"/>
      <c r="AR56" s="88"/>
      <c r="AS56" s="87"/>
      <c r="BF56" s="61" t="str">
        <f>IF(HLX="","",IF(BA29="","",5.614*Q*(BA48*BA50*BA53*BA29)))</f>
        <v/>
      </c>
    </row>
    <row r="57" spans="2:58" ht="6" customHeight="1" x14ac:dyDescent="0.2">
      <c r="B57" s="31"/>
      <c r="C57" s="93"/>
      <c r="D57" s="65"/>
      <c r="E57" s="65"/>
      <c r="F57" s="65"/>
      <c r="G57" s="65"/>
      <c r="H57" s="86"/>
      <c r="I57" s="86"/>
      <c r="J57" s="86"/>
      <c r="K57" s="85"/>
      <c r="L57" s="92"/>
      <c r="M57" s="92"/>
      <c r="N57" s="92"/>
      <c r="O57" s="92"/>
      <c r="P57" s="83"/>
      <c r="Q57" s="83"/>
      <c r="S57" s="83"/>
      <c r="T57" s="83"/>
      <c r="U57" s="84"/>
      <c r="W57" s="83"/>
      <c r="X57" s="81"/>
      <c r="Z57" s="82"/>
      <c r="AA57" s="81"/>
      <c r="AB57" s="65"/>
      <c r="AC57" s="65"/>
      <c r="AE57" s="80"/>
      <c r="AF57" s="79"/>
      <c r="AG57" s="78"/>
      <c r="AH57" s="77"/>
      <c r="AI57" s="77"/>
      <c r="AJ57" s="77"/>
      <c r="AK57" s="91"/>
      <c r="AL57" s="91"/>
      <c r="AM57" s="33"/>
      <c r="AN57" s="64"/>
      <c r="AO57" s="64"/>
      <c r="AP57" s="90"/>
      <c r="AQ57" s="89"/>
      <c r="AR57" s="88"/>
      <c r="AS57" s="87"/>
    </row>
    <row r="58" spans="2:58" ht="12.75" customHeight="1" x14ac:dyDescent="0.2">
      <c r="B58" s="31"/>
      <c r="C58" s="1" t="s">
        <v>248</v>
      </c>
      <c r="D58" s="52" t="s">
        <v>247</v>
      </c>
      <c r="E58" s="65"/>
      <c r="F58" s="65"/>
      <c r="G58" s="65"/>
      <c r="H58" s="86"/>
      <c r="I58" s="86"/>
      <c r="J58" s="86"/>
      <c r="K58" s="85"/>
      <c r="L58" s="69"/>
      <c r="M58" s="69"/>
      <c r="N58" s="69"/>
      <c r="O58" s="51"/>
      <c r="P58" s="51"/>
      <c r="Q58" s="83"/>
      <c r="R58" s="1" t="s">
        <v>246</v>
      </c>
      <c r="S58" s="52" t="s">
        <v>245</v>
      </c>
      <c r="T58" s="83"/>
      <c r="U58" s="84"/>
      <c r="W58" s="83"/>
      <c r="X58" s="81"/>
      <c r="Z58" s="82"/>
      <c r="AA58" s="81"/>
      <c r="AB58" s="65"/>
      <c r="AC58" s="51"/>
      <c r="AD58" s="51"/>
      <c r="AE58" s="80"/>
      <c r="AF58" s="79"/>
      <c r="AG58" s="78"/>
      <c r="AH58" s="77"/>
      <c r="AI58" s="77"/>
      <c r="AJ58" s="14">
        <f>IF(O58="",1,O58)</f>
        <v>1</v>
      </c>
      <c r="AK58" s="1">
        <v>2.2999999999999998</v>
      </c>
      <c r="AL58" s="50">
        <v>0</v>
      </c>
      <c r="AM58" s="50">
        <v>0</v>
      </c>
      <c r="AN58" s="14">
        <f>P58</f>
        <v>0</v>
      </c>
      <c r="AO58" s="14">
        <f>IF(AC58="",1,AC58)</f>
        <v>1</v>
      </c>
      <c r="AP58" s="1">
        <v>1.5</v>
      </c>
      <c r="AQ58" s="50">
        <v>0.21</v>
      </c>
      <c r="AR58" s="50">
        <v>1.7</v>
      </c>
      <c r="AS58" s="45">
        <f>AD58</f>
        <v>0</v>
      </c>
    </row>
    <row r="59" spans="2:58" ht="12.75" customHeight="1" x14ac:dyDescent="0.2">
      <c r="B59" s="31"/>
      <c r="C59" s="1" t="s">
        <v>244</v>
      </c>
      <c r="D59" s="52" t="s">
        <v>243</v>
      </c>
      <c r="E59" s="65"/>
      <c r="F59" s="65"/>
      <c r="G59" s="65"/>
      <c r="H59" s="86"/>
      <c r="I59" s="86"/>
      <c r="J59" s="86"/>
      <c r="K59" s="85"/>
      <c r="L59" s="62"/>
      <c r="M59" s="62"/>
      <c r="N59" s="62"/>
      <c r="O59" s="51"/>
      <c r="P59" s="51"/>
      <c r="Q59" s="83"/>
      <c r="R59" s="1" t="s">
        <v>242</v>
      </c>
      <c r="S59" s="52" t="s">
        <v>241</v>
      </c>
      <c r="T59" s="83"/>
      <c r="U59" s="84"/>
      <c r="W59" s="83"/>
      <c r="X59" s="81"/>
      <c r="Z59" s="82"/>
      <c r="AA59" s="81"/>
      <c r="AB59" s="65"/>
      <c r="AC59" s="51"/>
      <c r="AD59" s="51"/>
      <c r="AE59" s="80"/>
      <c r="AF59" s="79"/>
      <c r="AG59" s="78"/>
      <c r="AH59" s="77"/>
      <c r="AI59" s="77"/>
      <c r="AJ59" s="14">
        <f>IF(O59="",1,O59)</f>
        <v>1</v>
      </c>
      <c r="AK59" s="1">
        <v>0.47</v>
      </c>
      <c r="AL59" s="50">
        <v>0.02</v>
      </c>
      <c r="AM59" s="50">
        <v>0.97</v>
      </c>
      <c r="AN59" s="14">
        <f>P59</f>
        <v>0</v>
      </c>
      <c r="AO59" s="14">
        <f>IF(AC59="",1,AC59)</f>
        <v>1</v>
      </c>
      <c r="AP59" s="1">
        <v>1.8</v>
      </c>
      <c r="AQ59" s="50">
        <v>0.14000000000000001</v>
      </c>
      <c r="AR59" s="50">
        <v>1.1000000000000001</v>
      </c>
      <c r="AS59" s="45">
        <f>AD59</f>
        <v>0</v>
      </c>
      <c r="AU59" s="12" t="s">
        <v>240</v>
      </c>
    </row>
    <row r="60" spans="2:58" ht="12.75" customHeight="1" x14ac:dyDescent="0.2">
      <c r="B60" s="31"/>
      <c r="C60" s="1" t="s">
        <v>239</v>
      </c>
      <c r="D60" s="52" t="s">
        <v>238</v>
      </c>
      <c r="E60" s="15"/>
      <c r="F60" s="15"/>
      <c r="G60" s="15"/>
      <c r="O60" s="51"/>
      <c r="P60" s="51"/>
      <c r="R60" s="1" t="s">
        <v>237</v>
      </c>
      <c r="S60" s="52" t="s">
        <v>236</v>
      </c>
      <c r="AC60" s="51"/>
      <c r="AD60" s="51"/>
      <c r="AG60" s="29"/>
      <c r="AJ60" s="14">
        <f>IF(O60="",1,O60)</f>
        <v>1</v>
      </c>
      <c r="AK60" s="1">
        <v>12</v>
      </c>
      <c r="AL60" s="50">
        <v>0</v>
      </c>
      <c r="AM60" s="50">
        <v>0</v>
      </c>
      <c r="AN60" s="14">
        <f>P60</f>
        <v>0</v>
      </c>
      <c r="AO60" s="14">
        <f>IF(AC60="",1,AC60)</f>
        <v>1</v>
      </c>
      <c r="AP60" s="1">
        <v>1.2</v>
      </c>
      <c r="AQ60" s="50">
        <v>0</v>
      </c>
      <c r="AR60" s="50">
        <v>0</v>
      </c>
      <c r="AS60" s="45">
        <f>AD60</f>
        <v>0</v>
      </c>
      <c r="AU60" s="12" t="s">
        <v>5</v>
      </c>
      <c r="AV60" s="1" t="s">
        <v>2</v>
      </c>
      <c r="AY60" s="1">
        <f>1/42</f>
        <v>2.3809523809523808E-2</v>
      </c>
      <c r="BA60" s="61" t="str">
        <f>IF(D="","",IF(HLX="","",BA45*HLX*3.2808*(PI()/4)*((3.2808*D)^2)*(BA48*BA50*BA53*BA29)))</f>
        <v/>
      </c>
    </row>
    <row r="61" spans="2:58" ht="5.25" customHeight="1" x14ac:dyDescent="0.2">
      <c r="B61" s="31"/>
      <c r="C61" s="74"/>
      <c r="D61" s="50"/>
      <c r="E61" s="50"/>
      <c r="F61" s="50"/>
      <c r="G61" s="50"/>
      <c r="H61" s="70"/>
      <c r="I61" s="70"/>
      <c r="J61" s="76"/>
      <c r="K61" s="75"/>
      <c r="L61" s="62"/>
      <c r="M61" s="62"/>
      <c r="N61" s="62"/>
      <c r="O61" s="62"/>
      <c r="Y61" s="70"/>
      <c r="Z61" s="70"/>
      <c r="AA61" s="70"/>
      <c r="AB61" s="69"/>
      <c r="AC61" s="69"/>
      <c r="AD61" s="69"/>
      <c r="AE61" s="69"/>
      <c r="AF61" s="69"/>
      <c r="AG61" s="68"/>
    </row>
    <row r="62" spans="2:58" ht="12.75" customHeight="1" x14ac:dyDescent="0.2">
      <c r="B62" s="31"/>
      <c r="C62" s="74" t="s">
        <v>235</v>
      </c>
      <c r="D62" s="64"/>
      <c r="E62" s="64"/>
      <c r="F62" s="64"/>
      <c r="G62" s="64"/>
      <c r="H62" s="73"/>
      <c r="I62" s="73"/>
      <c r="J62" s="65"/>
      <c r="K62" s="72"/>
      <c r="L62" s="62"/>
      <c r="M62" s="62"/>
      <c r="N62" s="62"/>
      <c r="O62" s="62"/>
      <c r="R62" s="71" t="s">
        <v>234</v>
      </c>
      <c r="Y62" s="70"/>
      <c r="Z62" s="70"/>
      <c r="AA62" s="70"/>
      <c r="AB62" s="69"/>
      <c r="AC62" s="69"/>
      <c r="AD62" s="69"/>
      <c r="AE62" s="69"/>
      <c r="AF62" s="69"/>
      <c r="AG62" s="68"/>
      <c r="AU62" s="1" t="s">
        <v>225</v>
      </c>
    </row>
    <row r="63" spans="2:58" ht="4.5" customHeight="1" x14ac:dyDescent="0.2">
      <c r="B63" s="31"/>
      <c r="D63" s="67"/>
      <c r="E63" s="67"/>
      <c r="F63" s="67"/>
      <c r="G63" s="67"/>
      <c r="H63" s="67"/>
      <c r="I63" s="67"/>
      <c r="J63" s="67"/>
      <c r="K63" s="67"/>
      <c r="L63" s="62"/>
      <c r="AG63" s="29"/>
      <c r="AP63" s="196"/>
      <c r="AQ63" s="196"/>
      <c r="AR63" s="50"/>
      <c r="AS63" s="50"/>
      <c r="AT63" s="50"/>
      <c r="AU63" s="50"/>
      <c r="AV63" s="50"/>
      <c r="AW63" s="50"/>
      <c r="AX63" s="50"/>
    </row>
    <row r="64" spans="2:58" ht="12.75" customHeight="1" x14ac:dyDescent="0.2">
      <c r="B64" s="31"/>
      <c r="C64" s="1" t="s">
        <v>233</v>
      </c>
      <c r="D64" s="52" t="s">
        <v>232</v>
      </c>
      <c r="E64" s="66"/>
      <c r="F64" s="66"/>
      <c r="G64" s="66"/>
      <c r="J64" s="64"/>
      <c r="K64" s="64"/>
      <c r="L64" s="62"/>
      <c r="O64" s="51"/>
      <c r="P64" s="51"/>
      <c r="Q64" s="65"/>
      <c r="R64" s="1" t="s">
        <v>231</v>
      </c>
      <c r="S64" s="52" t="s">
        <v>230</v>
      </c>
      <c r="T64" s="65"/>
      <c r="U64" s="65"/>
      <c r="V64" s="65"/>
      <c r="W64" s="65"/>
      <c r="X64" s="65"/>
      <c r="Y64" s="65"/>
      <c r="Z64" s="65"/>
      <c r="AA64" s="65"/>
      <c r="AB64" s="64"/>
      <c r="AC64" s="51"/>
      <c r="AD64" s="51"/>
      <c r="AE64" s="64"/>
      <c r="AF64" s="64"/>
      <c r="AG64" s="63"/>
      <c r="AJ64" s="14">
        <f>IF(O64="",1,O64)</f>
        <v>1</v>
      </c>
      <c r="AK64" s="1">
        <v>7.8</v>
      </c>
      <c r="AL64" s="50">
        <v>0.01</v>
      </c>
      <c r="AM64" s="50">
        <v>4</v>
      </c>
      <c r="AN64" s="14">
        <f>P64</f>
        <v>0</v>
      </c>
      <c r="AO64" s="14">
        <f>IF(AC64="",1,AC64)</f>
        <v>1</v>
      </c>
      <c r="AP64" s="1">
        <v>0.68</v>
      </c>
      <c r="AQ64" s="1">
        <v>1.8</v>
      </c>
      <c r="AR64" s="1">
        <v>1</v>
      </c>
      <c r="AS64" s="45">
        <f>AD64</f>
        <v>0</v>
      </c>
      <c r="AT64" s="50"/>
      <c r="AU64" s="12" t="s">
        <v>5</v>
      </c>
      <c r="AV64" s="1" t="s">
        <v>1</v>
      </c>
      <c r="BA64" s="61" t="str">
        <f>IF(BF56="","",(BA60/BA35)*0.0238095)</f>
        <v/>
      </c>
    </row>
    <row r="65" spans="2:53" ht="12.75" customHeight="1" x14ac:dyDescent="0.2">
      <c r="B65" s="31"/>
      <c r="C65" s="1" t="s">
        <v>229</v>
      </c>
      <c r="D65" s="52" t="s">
        <v>228</v>
      </c>
      <c r="L65" s="62"/>
      <c r="O65" s="51"/>
      <c r="P65" s="51"/>
      <c r="R65" s="1" t="s">
        <v>227</v>
      </c>
      <c r="S65" s="52" t="s">
        <v>226</v>
      </c>
      <c r="AC65" s="51"/>
      <c r="AD65" s="51"/>
      <c r="AG65" s="29"/>
      <c r="AJ65" s="14">
        <f>IF(O65="",1,O65)</f>
        <v>1</v>
      </c>
      <c r="AK65" s="1">
        <v>6.2</v>
      </c>
      <c r="AL65" s="50">
        <v>1.2</v>
      </c>
      <c r="AM65" s="50">
        <v>0.94</v>
      </c>
      <c r="AN65" s="14">
        <f>P65</f>
        <v>0</v>
      </c>
      <c r="AO65" s="14">
        <f>IF(AC65="",1,AC65)</f>
        <v>1</v>
      </c>
      <c r="AP65" s="1">
        <v>0.71</v>
      </c>
      <c r="AQ65" s="1">
        <v>0.1</v>
      </c>
      <c r="AR65" s="1">
        <v>1</v>
      </c>
      <c r="AS65" s="45">
        <f>AD65</f>
        <v>0</v>
      </c>
      <c r="AU65" s="1" t="s">
        <v>225</v>
      </c>
    </row>
    <row r="66" spans="2:53" ht="6" customHeight="1" x14ac:dyDescent="0.2">
      <c r="B66" s="31"/>
      <c r="C66" s="15"/>
      <c r="AG66" s="29"/>
    </row>
    <row r="67" spans="2:53" ht="12.75" customHeight="1" x14ac:dyDescent="0.2">
      <c r="B67" s="31"/>
      <c r="C67" s="15" t="s">
        <v>224</v>
      </c>
      <c r="L67" s="2"/>
      <c r="M67" s="2"/>
      <c r="N67" s="2"/>
      <c r="O67" s="2"/>
      <c r="AG67" s="29"/>
      <c r="AU67" s="12" t="s">
        <v>5</v>
      </c>
      <c r="AV67" s="1" t="s">
        <v>0</v>
      </c>
      <c r="BA67" s="61" t="str">
        <f>IF(BA64="","",BA64/365*PER)</f>
        <v/>
      </c>
    </row>
    <row r="68" spans="2:53" ht="4.5" customHeight="1" x14ac:dyDescent="0.2">
      <c r="B68" s="31"/>
      <c r="AG68" s="29"/>
    </row>
    <row r="69" spans="2:53" ht="12.75" customHeight="1" x14ac:dyDescent="0.2">
      <c r="B69" s="31"/>
      <c r="C69" s="1" t="s">
        <v>223</v>
      </c>
      <c r="D69" s="52" t="s">
        <v>222</v>
      </c>
      <c r="AC69" s="51"/>
      <c r="AD69" s="51"/>
      <c r="AG69" s="29"/>
      <c r="AJ69" s="45">
        <f t="shared" ref="AJ69:AJ75" si="1">IF(AC69="",1,AC69)</f>
        <v>1</v>
      </c>
      <c r="AK69" s="50">
        <v>43</v>
      </c>
      <c r="AL69" s="50">
        <v>270</v>
      </c>
      <c r="AM69" s="50">
        <v>1.4</v>
      </c>
      <c r="AN69" s="4">
        <f t="shared" ref="AN69:AN75" si="2">AD69</f>
        <v>0</v>
      </c>
    </row>
    <row r="70" spans="2:53" ht="12.75" customHeight="1" x14ac:dyDescent="0.2">
      <c r="B70" s="31"/>
      <c r="C70" s="1" t="s">
        <v>221</v>
      </c>
      <c r="D70" s="52" t="s">
        <v>220</v>
      </c>
      <c r="AC70" s="51"/>
      <c r="AD70" s="51"/>
      <c r="AG70" s="29"/>
      <c r="AJ70" s="45">
        <f t="shared" si="1"/>
        <v>1</v>
      </c>
      <c r="AK70" s="50">
        <v>31</v>
      </c>
      <c r="AL70" s="50">
        <v>36</v>
      </c>
      <c r="AM70" s="50">
        <v>2</v>
      </c>
      <c r="AN70" s="4">
        <f t="shared" si="2"/>
        <v>0</v>
      </c>
      <c r="AU70" s="15" t="s">
        <v>3</v>
      </c>
    </row>
    <row r="71" spans="2:53" ht="12.75" customHeight="1" x14ac:dyDescent="0.2">
      <c r="B71" s="31"/>
      <c r="C71" s="1" t="s">
        <v>219</v>
      </c>
      <c r="D71" s="52" t="s">
        <v>198</v>
      </c>
      <c r="AC71" s="51"/>
      <c r="AD71" s="51"/>
      <c r="AG71" s="29"/>
      <c r="AJ71" s="45">
        <f t="shared" si="1"/>
        <v>1</v>
      </c>
      <c r="AK71" s="50">
        <v>41</v>
      </c>
      <c r="AL71" s="50">
        <v>48</v>
      </c>
      <c r="AM71" s="50">
        <v>1.4</v>
      </c>
      <c r="AN71" s="4">
        <f t="shared" si="2"/>
        <v>0</v>
      </c>
      <c r="AU71" s="1" t="s">
        <v>2</v>
      </c>
      <c r="BA71" s="13" t="str">
        <f>IF(BF56="","",BA32+BF56)</f>
        <v/>
      </c>
    </row>
    <row r="72" spans="2:53" ht="12.75" customHeight="1" x14ac:dyDescent="0.2">
      <c r="B72" s="31"/>
      <c r="C72" s="1" t="s">
        <v>218</v>
      </c>
      <c r="D72" s="52" t="s">
        <v>200</v>
      </c>
      <c r="AC72" s="51"/>
      <c r="AD72" s="51"/>
      <c r="AG72" s="29"/>
      <c r="AJ72" s="45">
        <f t="shared" si="1"/>
        <v>1</v>
      </c>
      <c r="AK72" s="50">
        <v>11</v>
      </c>
      <c r="AL72" s="50">
        <v>46</v>
      </c>
      <c r="AM72" s="50">
        <v>1.4</v>
      </c>
      <c r="AN72" s="4">
        <f t="shared" si="2"/>
        <v>0</v>
      </c>
      <c r="AU72" s="1" t="s">
        <v>1</v>
      </c>
      <c r="BA72" s="13" t="str">
        <f>IF(BA64="","",BA38+BA64)</f>
        <v/>
      </c>
    </row>
    <row r="73" spans="2:53" ht="12.75" customHeight="1" x14ac:dyDescent="0.2">
      <c r="B73" s="31"/>
      <c r="C73" s="1" t="s">
        <v>217</v>
      </c>
      <c r="D73" s="52" t="s">
        <v>216</v>
      </c>
      <c r="AC73" s="51"/>
      <c r="AD73" s="51"/>
      <c r="AG73" s="29"/>
      <c r="AJ73" s="45">
        <f t="shared" si="1"/>
        <v>1</v>
      </c>
      <c r="AK73" s="50">
        <v>21</v>
      </c>
      <c r="AL73" s="50">
        <v>7.9</v>
      </c>
      <c r="AM73" s="50">
        <v>1.8</v>
      </c>
      <c r="AN73" s="4">
        <f t="shared" si="2"/>
        <v>0</v>
      </c>
      <c r="AU73" s="1" t="s">
        <v>0</v>
      </c>
      <c r="BA73" s="13" t="str">
        <f>IF(BA67="","",BA41+BA67)</f>
        <v/>
      </c>
    </row>
    <row r="74" spans="2:53" ht="12.75" customHeight="1" x14ac:dyDescent="0.2">
      <c r="B74" s="31"/>
      <c r="C74" s="1" t="s">
        <v>215</v>
      </c>
      <c r="D74" s="52" t="s">
        <v>214</v>
      </c>
      <c r="AC74" s="51"/>
      <c r="AD74" s="51"/>
      <c r="AG74" s="29"/>
      <c r="AJ74" s="45">
        <f t="shared" si="1"/>
        <v>1</v>
      </c>
      <c r="AK74" s="50">
        <v>8.3000000000000007</v>
      </c>
      <c r="AL74" s="50">
        <v>4.4000000000000004</v>
      </c>
      <c r="AM74" s="50">
        <v>1.6</v>
      </c>
      <c r="AN74" s="4">
        <f t="shared" si="2"/>
        <v>0</v>
      </c>
    </row>
    <row r="75" spans="2:53" ht="12.75" customHeight="1" x14ac:dyDescent="0.2">
      <c r="B75" s="31"/>
      <c r="C75" s="1" t="s">
        <v>213</v>
      </c>
      <c r="D75" s="52" t="s">
        <v>212</v>
      </c>
      <c r="AC75" s="51"/>
      <c r="AD75" s="51"/>
      <c r="AG75" s="29"/>
      <c r="AJ75" s="45">
        <f t="shared" si="1"/>
        <v>1</v>
      </c>
      <c r="AK75" s="50">
        <v>11</v>
      </c>
      <c r="AL75" s="50">
        <v>9.9</v>
      </c>
      <c r="AM75" s="50">
        <v>0.89</v>
      </c>
      <c r="AN75" s="4">
        <f t="shared" si="2"/>
        <v>0</v>
      </c>
    </row>
    <row r="76" spans="2:53" ht="7.5" customHeight="1" x14ac:dyDescent="0.2">
      <c r="B76" s="31"/>
      <c r="AG76" s="29"/>
      <c r="AK76" s="60" t="s">
        <v>75</v>
      </c>
      <c r="AL76" s="60" t="s">
        <v>73</v>
      </c>
      <c r="AM76" s="60" t="s">
        <v>71</v>
      </c>
    </row>
    <row r="77" spans="2:53" x14ac:dyDescent="0.2">
      <c r="B77" s="31"/>
      <c r="C77" s="15" t="s">
        <v>211</v>
      </c>
      <c r="AG77" s="29"/>
    </row>
    <row r="78" spans="2:53" ht="3.75" customHeight="1" x14ac:dyDescent="0.2">
      <c r="B78" s="31"/>
      <c r="C78" s="15"/>
      <c r="AG78" s="29"/>
    </row>
    <row r="79" spans="2:53" x14ac:dyDescent="0.2">
      <c r="B79" s="31"/>
      <c r="C79" s="1" t="s">
        <v>210</v>
      </c>
      <c r="D79" s="52" t="s">
        <v>209</v>
      </c>
      <c r="AB79" s="50"/>
      <c r="AC79" s="51"/>
      <c r="AD79" s="51"/>
      <c r="AG79" s="29"/>
      <c r="AJ79" s="45">
        <f>IF(AC79="",1,AC79)</f>
        <v>1</v>
      </c>
      <c r="AK79" s="50">
        <v>31</v>
      </c>
      <c r="AL79" s="50">
        <v>150</v>
      </c>
      <c r="AM79" s="50">
        <v>1.4</v>
      </c>
      <c r="AN79" s="4">
        <f>AD79</f>
        <v>0</v>
      </c>
      <c r="AU79" s="10" t="s">
        <v>208</v>
      </c>
      <c r="AV79" s="4"/>
      <c r="AW79" s="4"/>
      <c r="AX79" s="1" t="s">
        <v>207</v>
      </c>
      <c r="AZ79" s="1" t="s">
        <v>206</v>
      </c>
    </row>
    <row r="80" spans="2:53" x14ac:dyDescent="0.2">
      <c r="B80" s="31"/>
      <c r="C80" s="1" t="s">
        <v>205</v>
      </c>
      <c r="D80" s="52" t="s">
        <v>204</v>
      </c>
      <c r="AB80" s="50"/>
      <c r="AC80" s="51"/>
      <c r="AD80" s="51"/>
      <c r="AG80" s="29"/>
      <c r="AJ80" s="45">
        <f>IF(AC80="",1,AC80)</f>
        <v>1</v>
      </c>
      <c r="AK80" s="50">
        <v>25</v>
      </c>
      <c r="AL80" s="50">
        <v>13</v>
      </c>
      <c r="AM80" s="50">
        <v>2.2000000000000002</v>
      </c>
      <c r="AN80" s="4">
        <f>AD80</f>
        <v>0</v>
      </c>
      <c r="BA80" s="12"/>
    </row>
    <row r="81" spans="2:58" x14ac:dyDescent="0.2">
      <c r="B81" s="31"/>
      <c r="C81" s="1" t="s">
        <v>203</v>
      </c>
      <c r="D81" s="52" t="s">
        <v>202</v>
      </c>
      <c r="AB81" s="50"/>
      <c r="AC81" s="51"/>
      <c r="AD81" s="51"/>
      <c r="AG81" s="29"/>
      <c r="AJ81" s="45">
        <f>IF(AC81="",1,AC81)</f>
        <v>1</v>
      </c>
      <c r="AK81" s="50">
        <v>25</v>
      </c>
      <c r="AL81" s="50">
        <v>2.2000000000000002</v>
      </c>
      <c r="AM81" s="50">
        <v>2.1</v>
      </c>
      <c r="AN81" s="4">
        <f>AD81</f>
        <v>0</v>
      </c>
    </row>
    <row r="82" spans="2:58" x14ac:dyDescent="0.2">
      <c r="B82" s="31"/>
      <c r="C82" s="1" t="s">
        <v>201</v>
      </c>
      <c r="D82" s="52" t="s">
        <v>200</v>
      </c>
      <c r="AB82" s="50"/>
      <c r="AC82" s="51"/>
      <c r="AD82" s="51"/>
      <c r="AG82" s="29"/>
      <c r="AJ82" s="45">
        <f>IF(AC82="",1,AC82)</f>
        <v>1</v>
      </c>
      <c r="AK82" s="50">
        <v>8.6</v>
      </c>
      <c r="AL82" s="50">
        <v>12</v>
      </c>
      <c r="AM82" s="50">
        <v>0.81</v>
      </c>
      <c r="AN82" s="4">
        <f>AD82</f>
        <v>0</v>
      </c>
    </row>
    <row r="83" spans="2:58" x14ac:dyDescent="0.2">
      <c r="B83" s="31"/>
      <c r="C83" s="1" t="s">
        <v>199</v>
      </c>
      <c r="D83" s="52" t="s">
        <v>198</v>
      </c>
      <c r="AB83" s="50"/>
      <c r="AC83" s="51"/>
      <c r="AD83" s="51"/>
      <c r="AG83" s="29"/>
      <c r="AJ83" s="45">
        <f>IF(AC83="",1,AC83)</f>
        <v>1</v>
      </c>
      <c r="AK83" s="50">
        <v>14</v>
      </c>
      <c r="AL83" s="50">
        <v>3.7</v>
      </c>
      <c r="AM83" s="50">
        <v>0.78</v>
      </c>
      <c r="AN83" s="4">
        <f>AD83</f>
        <v>0</v>
      </c>
    </row>
    <row r="84" spans="2:58" ht="3.75" customHeight="1" x14ac:dyDescent="0.2">
      <c r="B84" s="31"/>
      <c r="AG84" s="29"/>
    </row>
    <row r="85" spans="2:58" x14ac:dyDescent="0.2">
      <c r="B85" s="59"/>
      <c r="C85" s="58" t="s">
        <v>197</v>
      </c>
      <c r="D85" s="57"/>
      <c r="E85" s="42"/>
      <c r="F85" s="42"/>
      <c r="G85" s="42"/>
      <c r="H85" s="56"/>
      <c r="I85" s="56"/>
      <c r="J85" s="55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54"/>
      <c r="AC85" s="54"/>
      <c r="AD85" s="54"/>
      <c r="AE85" s="42"/>
      <c r="AF85" s="42"/>
      <c r="AG85" s="53"/>
      <c r="AJ85" s="45">
        <f>IF(AC85="",1,AC85)</f>
        <v>1</v>
      </c>
      <c r="AK85" s="1">
        <v>7.9</v>
      </c>
      <c r="AL85" s="50">
        <v>0</v>
      </c>
      <c r="AM85" s="50">
        <v>0</v>
      </c>
      <c r="AN85" s="4">
        <f>AD85</f>
        <v>0</v>
      </c>
      <c r="AU85" s="10" t="s">
        <v>196</v>
      </c>
      <c r="AV85" s="12" t="s">
        <v>195</v>
      </c>
    </row>
    <row r="86" spans="2:58" x14ac:dyDescent="0.2">
      <c r="B86" s="31"/>
      <c r="C86" s="52" t="s">
        <v>194</v>
      </c>
      <c r="AB86" s="50"/>
      <c r="AD86" s="50"/>
      <c r="AG86" s="29"/>
      <c r="AK86" s="50"/>
      <c r="AL86" s="50"/>
      <c r="AM86" s="50"/>
      <c r="AU86" s="1" t="s">
        <v>193</v>
      </c>
      <c r="AV86" s="1" t="s">
        <v>192</v>
      </c>
      <c r="BE86" s="17">
        <f>IF(AJ37="X",AK37,IF(AJ38="X",AK38,IF(AJ39="X",AK39,IF(AJ40="X",AK40,IF(AJ41="X",AK41,IF(AJ42="X",AK42,IF(AJ43="X",AK43,IF(AJ44="x",AK44,IF(AJ45="x",AK45,IF(AJ46="X",AK46,IF(AJ47="x",AK47,IF(AJ48="x",AK48,0))))))))))))</f>
        <v>0</v>
      </c>
    </row>
    <row r="87" spans="2:58" x14ac:dyDescent="0.2">
      <c r="B87" s="31"/>
      <c r="C87" s="1" t="s">
        <v>191</v>
      </c>
      <c r="D87" s="52" t="s">
        <v>179</v>
      </c>
      <c r="AB87" s="50"/>
      <c r="AC87" s="51"/>
      <c r="AD87" s="51"/>
      <c r="AG87" s="29"/>
      <c r="AJ87" s="45">
        <f>IF(AC87="",1,AC87)</f>
        <v>1</v>
      </c>
      <c r="AK87" s="6">
        <v>0.82</v>
      </c>
      <c r="AL87" s="50">
        <v>0.53</v>
      </c>
      <c r="AM87" s="50">
        <v>0.14000000000000001</v>
      </c>
      <c r="AN87" s="4">
        <f>AD87</f>
        <v>0</v>
      </c>
      <c r="AU87" s="1" t="s">
        <v>190</v>
      </c>
      <c r="AV87" s="1" t="s">
        <v>189</v>
      </c>
      <c r="BE87" s="1" t="str">
        <f>IF(BE86=0,"",VLOOKUP("x",AJ37:AM48,3,FALSE))</f>
        <v/>
      </c>
    </row>
    <row r="88" spans="2:58" x14ac:dyDescent="0.2">
      <c r="B88" s="31"/>
      <c r="C88" s="1" t="s">
        <v>188</v>
      </c>
      <c r="D88" s="52" t="s">
        <v>177</v>
      </c>
      <c r="AB88" s="50"/>
      <c r="AC88" s="51"/>
      <c r="AD88" s="51"/>
      <c r="AG88" s="29"/>
      <c r="AJ88" s="45">
        <f>IF(AC88="",1,AC88)</f>
        <v>1</v>
      </c>
      <c r="AK88" s="6">
        <v>0.53</v>
      </c>
      <c r="AL88" s="50">
        <v>0.11</v>
      </c>
      <c r="AM88" s="50">
        <v>0.13</v>
      </c>
      <c r="AN88" s="4">
        <f>AD88</f>
        <v>0</v>
      </c>
      <c r="AU88" s="1" t="s">
        <v>67</v>
      </c>
      <c r="AV88" s="1" t="s">
        <v>187</v>
      </c>
      <c r="BE88" s="4">
        <f>(V/0.44704)</f>
        <v>0</v>
      </c>
    </row>
    <row r="89" spans="2:58" x14ac:dyDescent="0.2">
      <c r="B89" s="31"/>
      <c r="C89" s="1" t="s">
        <v>186</v>
      </c>
      <c r="D89" s="52" t="s">
        <v>175</v>
      </c>
      <c r="AB89" s="50"/>
      <c r="AC89" s="51"/>
      <c r="AD89" s="51"/>
      <c r="AG89" s="29"/>
      <c r="AJ89" s="45">
        <f>IF(AC89="",1,AC89)</f>
        <v>1</v>
      </c>
      <c r="AK89" s="6">
        <v>0.49</v>
      </c>
      <c r="AL89" s="50">
        <v>0.16</v>
      </c>
      <c r="AM89" s="50">
        <v>0.14000000000000001</v>
      </c>
      <c r="AN89" s="4">
        <f>AD89</f>
        <v>0</v>
      </c>
      <c r="AU89" s="1" t="s">
        <v>185</v>
      </c>
      <c r="AV89" s="1" t="s">
        <v>184</v>
      </c>
      <c r="BE89" s="1" t="str">
        <f>IF(BE86=0,"",VLOOKUP("x",AJ37:AM48,4,FALSE))</f>
        <v/>
      </c>
    </row>
    <row r="90" spans="2:58" x14ac:dyDescent="0.2">
      <c r="B90" s="31"/>
      <c r="C90" s="52" t="s">
        <v>183</v>
      </c>
      <c r="AB90" s="50"/>
      <c r="AD90" s="50"/>
      <c r="AG90" s="29"/>
      <c r="AK90" s="6"/>
      <c r="AL90" s="50"/>
      <c r="AM90" s="50"/>
      <c r="AU90" s="12" t="s">
        <v>182</v>
      </c>
      <c r="AV90" s="12" t="s">
        <v>181</v>
      </c>
      <c r="BE90" s="11">
        <f>IF(BE86=0,0,(BE86+(BE87*(BE88^BE89)))*(3.2808*D))</f>
        <v>0</v>
      </c>
    </row>
    <row r="91" spans="2:58" x14ac:dyDescent="0.2">
      <c r="B91" s="31"/>
      <c r="C91" s="1" t="s">
        <v>180</v>
      </c>
      <c r="D91" s="52" t="s">
        <v>179</v>
      </c>
      <c r="AB91" s="50"/>
      <c r="AC91" s="51"/>
      <c r="AD91" s="51"/>
      <c r="AG91" s="29"/>
      <c r="AJ91" s="45">
        <f>IF(AC91="",1,AC91)</f>
        <v>1</v>
      </c>
      <c r="AK91" s="6">
        <v>2</v>
      </c>
      <c r="AL91" s="50">
        <v>0.37</v>
      </c>
      <c r="AM91" s="50">
        <v>0.91</v>
      </c>
      <c r="AN91" s="4">
        <f>AD91</f>
        <v>0</v>
      </c>
    </row>
    <row r="92" spans="2:58" ht="13.5" customHeight="1" x14ac:dyDescent="0.2">
      <c r="B92" s="31"/>
      <c r="C92" s="52" t="s">
        <v>178</v>
      </c>
      <c r="D92" s="52" t="s">
        <v>177</v>
      </c>
      <c r="AB92" s="50"/>
      <c r="AC92" s="51"/>
      <c r="AD92" s="51"/>
      <c r="AG92" s="29"/>
      <c r="AJ92" s="45">
        <f>IF(AC92="",1,AC92)</f>
        <v>1</v>
      </c>
      <c r="AK92" s="6">
        <v>1.3</v>
      </c>
      <c r="AL92" s="50">
        <v>0.08</v>
      </c>
      <c r="AM92" s="50">
        <v>0.65</v>
      </c>
      <c r="AN92" s="4">
        <f>AD92</f>
        <v>0</v>
      </c>
    </row>
    <row r="93" spans="2:58" x14ac:dyDescent="0.2">
      <c r="B93" s="31"/>
      <c r="C93" s="52" t="s">
        <v>176</v>
      </c>
      <c r="D93" s="52" t="s">
        <v>175</v>
      </c>
      <c r="AB93" s="50"/>
      <c r="AC93" s="51"/>
      <c r="AD93" s="51"/>
      <c r="AG93" s="29"/>
      <c r="AJ93" s="45">
        <f>IF(AC93="",1,AC93)</f>
        <v>1</v>
      </c>
      <c r="AK93" s="6">
        <v>1.2</v>
      </c>
      <c r="AL93" s="50">
        <v>0.14000000000000001</v>
      </c>
      <c r="AM93" s="50">
        <v>0.65</v>
      </c>
      <c r="AN93" s="4">
        <f>AD93</f>
        <v>0</v>
      </c>
    </row>
    <row r="94" spans="2:58" x14ac:dyDescent="0.2">
      <c r="B94" s="31"/>
      <c r="C94" s="52" t="s">
        <v>174</v>
      </c>
      <c r="D94" s="52" t="s">
        <v>173</v>
      </c>
      <c r="AB94" s="50"/>
      <c r="AC94" s="51"/>
      <c r="AD94" s="51"/>
      <c r="AG94" s="29"/>
      <c r="AJ94" s="45">
        <f>IF(AC94="",1,AC94)</f>
        <v>1</v>
      </c>
      <c r="AK94" s="6">
        <v>0</v>
      </c>
      <c r="AL94" s="50">
        <v>0</v>
      </c>
      <c r="AM94" s="50">
        <v>0</v>
      </c>
      <c r="AN94" s="4">
        <f>AD94</f>
        <v>0</v>
      </c>
      <c r="AU94" s="18" t="s">
        <v>172</v>
      </c>
      <c r="AV94" s="1" t="s">
        <v>171</v>
      </c>
    </row>
    <row r="95" spans="2:58" ht="11.25" customHeight="1" x14ac:dyDescent="0.2">
      <c r="B95" s="31"/>
      <c r="AG95" s="29"/>
    </row>
    <row r="96" spans="2:58" x14ac:dyDescent="0.2">
      <c r="B96" s="31"/>
      <c r="C96" s="15"/>
      <c r="AG96" s="29"/>
      <c r="AU96" s="12" t="s">
        <v>159</v>
      </c>
      <c r="AV96" s="20" t="s">
        <v>170</v>
      </c>
      <c r="AY96" s="1" t="s">
        <v>157</v>
      </c>
      <c r="BE96" s="8"/>
      <c r="BF96" s="8"/>
    </row>
    <row r="97" spans="2:58" ht="23.25" customHeight="1" x14ac:dyDescent="0.2">
      <c r="B97" s="31"/>
      <c r="AG97" s="29"/>
    </row>
    <row r="98" spans="2:58" x14ac:dyDescent="0.2">
      <c r="B98" s="31"/>
      <c r="AG98" s="29"/>
      <c r="AJ98" s="45"/>
      <c r="AK98" s="1">
        <v>98</v>
      </c>
      <c r="AL98" s="50">
        <v>0</v>
      </c>
      <c r="AM98" s="50">
        <v>0</v>
      </c>
      <c r="AN98" s="4"/>
      <c r="AU98" s="1" t="s">
        <v>75</v>
      </c>
      <c r="AV98" s="1" t="s">
        <v>74</v>
      </c>
      <c r="BE98" s="17">
        <f>IF(AJ87="x",AK40,IF(AJ88="x",AK88,IF(AJ89="x",AK89,0)))</f>
        <v>0</v>
      </c>
    </row>
    <row r="99" spans="2:58" x14ac:dyDescent="0.2">
      <c r="B99" s="31"/>
      <c r="AG99" s="29"/>
      <c r="AJ99" s="45"/>
      <c r="AK99" s="1">
        <v>56</v>
      </c>
      <c r="AL99" s="50">
        <v>0</v>
      </c>
      <c r="AM99" s="50">
        <v>0</v>
      </c>
      <c r="AN99" s="4"/>
      <c r="AU99" s="1" t="s">
        <v>73</v>
      </c>
      <c r="AV99" s="1" t="s">
        <v>72</v>
      </c>
      <c r="BE99" s="17">
        <f>IF(AJ87="x",AL87,IF(AJ88="x",AL88,IF(AJ89="x",AL89,0)))</f>
        <v>0</v>
      </c>
    </row>
    <row r="100" spans="2:58" ht="14.25" customHeight="1" x14ac:dyDescent="0.2">
      <c r="B100" s="31"/>
      <c r="G100" s="184" t="s">
        <v>169</v>
      </c>
      <c r="H100" s="185"/>
      <c r="I100" s="185"/>
      <c r="J100" s="185"/>
      <c r="K100" s="185"/>
      <c r="L100" s="185"/>
      <c r="M100" s="185"/>
      <c r="N100" s="185"/>
      <c r="O100" s="185"/>
      <c r="P100" s="185"/>
      <c r="Q100" s="185"/>
      <c r="R100" s="185"/>
      <c r="S100" s="185"/>
      <c r="T100" s="185"/>
      <c r="U100" s="185"/>
      <c r="V100" s="185"/>
      <c r="W100" s="185"/>
      <c r="X100" s="185"/>
      <c r="Y100" s="185"/>
      <c r="Z100" s="185"/>
      <c r="AA100" s="185"/>
      <c r="AB100" s="186"/>
      <c r="AG100" s="29"/>
      <c r="AU100" s="1" t="s">
        <v>71</v>
      </c>
      <c r="AV100" s="1" t="s">
        <v>70</v>
      </c>
      <c r="BE100" s="17">
        <f>IF(AJ87="x",AM87,IF(AJ88="x",AM88,IF(AJ89="x",AM89,0)))</f>
        <v>0</v>
      </c>
    </row>
    <row r="101" spans="2:58" ht="12.75" customHeight="1" x14ac:dyDescent="0.2">
      <c r="B101" s="31"/>
      <c r="G101" s="41"/>
      <c r="H101" s="41"/>
      <c r="I101" s="41"/>
      <c r="J101" s="41"/>
      <c r="K101" s="41"/>
      <c r="L101" s="41"/>
      <c r="M101" s="44"/>
      <c r="N101" s="44"/>
      <c r="O101" s="41"/>
      <c r="P101" s="41"/>
      <c r="Q101" s="41"/>
      <c r="R101" s="41"/>
      <c r="S101" s="43"/>
      <c r="T101" s="41"/>
      <c r="U101" s="41"/>
      <c r="V101" s="41"/>
      <c r="W101" s="41"/>
      <c r="X101" s="42"/>
      <c r="Y101" s="41"/>
      <c r="Z101" s="41"/>
      <c r="AA101" s="41"/>
      <c r="AB101" s="41"/>
      <c r="AG101" s="29"/>
      <c r="AU101" s="1" t="s">
        <v>69</v>
      </c>
      <c r="AV101" s="25" t="s">
        <v>140</v>
      </c>
      <c r="BE101" s="17">
        <f>IF($R$22="Techo flotante externo",0.7,0)</f>
        <v>0</v>
      </c>
      <c r="BF101" s="49"/>
    </row>
    <row r="102" spans="2:58" ht="15" customHeight="1" x14ac:dyDescent="0.2">
      <c r="B102" s="31"/>
      <c r="G102" s="48"/>
      <c r="H102" s="47"/>
      <c r="I102" s="47"/>
      <c r="J102" s="47"/>
      <c r="K102" s="47"/>
      <c r="L102" s="47"/>
      <c r="M102" s="47"/>
      <c r="N102" s="46"/>
      <c r="O102" s="166" t="s">
        <v>2</v>
      </c>
      <c r="P102" s="167"/>
      <c r="Q102" s="167"/>
      <c r="R102" s="168"/>
      <c r="S102" s="35"/>
      <c r="T102" s="166" t="s">
        <v>1</v>
      </c>
      <c r="U102" s="167"/>
      <c r="V102" s="167"/>
      <c r="W102" s="168"/>
      <c r="X102" s="35"/>
      <c r="Y102" s="166" t="s">
        <v>0</v>
      </c>
      <c r="Z102" s="167"/>
      <c r="AA102" s="167"/>
      <c r="AB102" s="168"/>
      <c r="AG102" s="29"/>
    </row>
    <row r="103" spans="2:58" x14ac:dyDescent="0.2">
      <c r="B103" s="31"/>
      <c r="G103" s="31" t="s">
        <v>156</v>
      </c>
      <c r="M103" s="15"/>
      <c r="N103" s="15"/>
      <c r="O103" s="235" t="str">
        <f>BA32</f>
        <v/>
      </c>
      <c r="P103" s="236"/>
      <c r="Q103" s="236"/>
      <c r="R103" s="237"/>
      <c r="S103" s="35"/>
      <c r="T103" s="238" t="str">
        <f>BA38</f>
        <v/>
      </c>
      <c r="U103" s="239"/>
      <c r="V103" s="239"/>
      <c r="W103" s="240"/>
      <c r="X103" s="35"/>
      <c r="Y103" s="238" t="str">
        <f>BA41</f>
        <v/>
      </c>
      <c r="Z103" s="239"/>
      <c r="AA103" s="239"/>
      <c r="AB103" s="240"/>
      <c r="AG103" s="29"/>
      <c r="AJ103" s="45"/>
      <c r="AK103" s="6">
        <v>31</v>
      </c>
      <c r="AL103" s="6">
        <v>0</v>
      </c>
      <c r="AM103" s="6">
        <v>0</v>
      </c>
      <c r="AN103" s="45"/>
      <c r="AU103" s="1" t="s">
        <v>67</v>
      </c>
      <c r="AV103" s="1" t="s">
        <v>66</v>
      </c>
      <c r="BE103" s="4">
        <f>(V/0.44704)</f>
        <v>0</v>
      </c>
    </row>
    <row r="104" spans="2:58" x14ac:dyDescent="0.2">
      <c r="B104" s="31"/>
      <c r="G104" s="31" t="s">
        <v>168</v>
      </c>
      <c r="O104" s="235" t="str">
        <f>BF56</f>
        <v/>
      </c>
      <c r="P104" s="236"/>
      <c r="Q104" s="236"/>
      <c r="R104" s="237"/>
      <c r="S104" s="37"/>
      <c r="T104" s="238" t="str">
        <f>BA64</f>
        <v/>
      </c>
      <c r="U104" s="239"/>
      <c r="V104" s="239"/>
      <c r="W104" s="240"/>
      <c r="X104" s="35"/>
      <c r="Y104" s="238" t="str">
        <f>BA67</f>
        <v/>
      </c>
      <c r="Z104" s="239"/>
      <c r="AA104" s="239"/>
      <c r="AB104" s="240"/>
      <c r="AG104" s="29"/>
      <c r="AJ104" s="45"/>
      <c r="AK104" s="6">
        <v>25</v>
      </c>
      <c r="AL104" s="6">
        <v>0</v>
      </c>
      <c r="AM104" s="6">
        <v>0</v>
      </c>
      <c r="AN104" s="45"/>
      <c r="AU104" s="1" t="s">
        <v>65</v>
      </c>
      <c r="AV104" s="1" t="s">
        <v>64</v>
      </c>
      <c r="BE104" s="21" t="str">
        <f>IF(BE98=0,"",BE98+(BE99*((BE101*BE103)^BE100)))</f>
        <v/>
      </c>
    </row>
    <row r="105" spans="2:58" x14ac:dyDescent="0.2">
      <c r="B105" s="31"/>
      <c r="G105" s="28" t="s">
        <v>154</v>
      </c>
      <c r="H105" s="27"/>
      <c r="I105" s="27"/>
      <c r="J105" s="27"/>
      <c r="K105" s="27"/>
      <c r="L105" s="27"/>
      <c r="M105" s="27"/>
      <c r="N105" s="27"/>
      <c r="O105" s="172" t="str">
        <f>BA71</f>
        <v/>
      </c>
      <c r="P105" s="173"/>
      <c r="Q105" s="173"/>
      <c r="R105" s="174"/>
      <c r="S105" s="36"/>
      <c r="T105" s="175" t="str">
        <f>BA72</f>
        <v/>
      </c>
      <c r="U105" s="176"/>
      <c r="V105" s="176"/>
      <c r="W105" s="177"/>
      <c r="X105" s="35"/>
      <c r="Y105" s="175" t="str">
        <f>BA73</f>
        <v/>
      </c>
      <c r="Z105" s="176"/>
      <c r="AA105" s="176"/>
      <c r="AB105" s="177"/>
      <c r="AG105" s="29"/>
      <c r="AJ105" s="45"/>
      <c r="AK105" s="6">
        <v>10</v>
      </c>
      <c r="AL105" s="6">
        <v>0</v>
      </c>
      <c r="AM105" s="6">
        <v>0</v>
      </c>
      <c r="AN105" s="45"/>
      <c r="AU105" s="20" t="s">
        <v>167</v>
      </c>
      <c r="AV105" s="1" t="s">
        <v>152</v>
      </c>
      <c r="AX105" s="1" t="s">
        <v>166</v>
      </c>
      <c r="BA105" s="1" t="s">
        <v>165</v>
      </c>
      <c r="BE105" s="17">
        <f>IF(AJ87="x",AN87,IF(AJ88="x",AN88,IF(AJ89="x",AN89,0)))</f>
        <v>0</v>
      </c>
    </row>
    <row r="106" spans="2:58" x14ac:dyDescent="0.2">
      <c r="B106" s="31"/>
      <c r="AG106" s="29"/>
      <c r="AJ106" s="45"/>
      <c r="AK106" s="6">
        <v>51</v>
      </c>
      <c r="AL106" s="6">
        <v>0</v>
      </c>
      <c r="AM106" s="6">
        <v>0</v>
      </c>
      <c r="AN106" s="45"/>
      <c r="AU106" s="12" t="s">
        <v>164</v>
      </c>
      <c r="AV106" s="12" t="s">
        <v>163</v>
      </c>
      <c r="BE106" s="22">
        <f>IF(BE104="",0,BE105*BE104)</f>
        <v>0</v>
      </c>
    </row>
    <row r="107" spans="2:58" ht="18.75" customHeight="1" x14ac:dyDescent="0.2">
      <c r="B107" s="31"/>
      <c r="AG107" s="29"/>
      <c r="AJ107" s="45"/>
      <c r="AK107" s="6">
        <v>33</v>
      </c>
      <c r="AL107" s="6">
        <v>0</v>
      </c>
      <c r="AM107" s="6">
        <v>0</v>
      </c>
      <c r="AN107" s="45"/>
    </row>
    <row r="108" spans="2:58" ht="17.25" customHeight="1" x14ac:dyDescent="0.2">
      <c r="B108" s="31"/>
      <c r="J108" s="196"/>
      <c r="K108" s="196"/>
      <c r="L108" s="196"/>
      <c r="M108" s="196"/>
      <c r="N108" s="196"/>
      <c r="O108" s="196"/>
      <c r="P108" s="196"/>
      <c r="Q108" s="196"/>
      <c r="R108" s="196"/>
      <c r="S108" s="196"/>
      <c r="T108" s="196"/>
      <c r="U108" s="196"/>
      <c r="V108" s="196"/>
      <c r="W108" s="196"/>
      <c r="X108" s="196"/>
      <c r="Y108" s="196"/>
      <c r="Z108" s="196"/>
      <c r="AG108" s="29"/>
      <c r="AU108" s="18" t="s">
        <v>162</v>
      </c>
      <c r="AV108" s="1" t="s">
        <v>161</v>
      </c>
    </row>
    <row r="109" spans="2:58" ht="20.25" customHeight="1" x14ac:dyDescent="0.2">
      <c r="B109" s="31"/>
      <c r="G109" s="184" t="s">
        <v>160</v>
      </c>
      <c r="H109" s="185"/>
      <c r="I109" s="185"/>
      <c r="J109" s="185"/>
      <c r="K109" s="185"/>
      <c r="L109" s="185"/>
      <c r="M109" s="185"/>
      <c r="N109" s="185"/>
      <c r="O109" s="185"/>
      <c r="P109" s="185"/>
      <c r="Q109" s="185"/>
      <c r="R109" s="185"/>
      <c r="S109" s="185"/>
      <c r="T109" s="185"/>
      <c r="U109" s="185"/>
      <c r="V109" s="185"/>
      <c r="W109" s="185"/>
      <c r="X109" s="185"/>
      <c r="Y109" s="185"/>
      <c r="Z109" s="185"/>
      <c r="AA109" s="185"/>
      <c r="AB109" s="186"/>
      <c r="AG109" s="29"/>
      <c r="AU109" s="12" t="s">
        <v>159</v>
      </c>
      <c r="AV109" s="20" t="s">
        <v>158</v>
      </c>
      <c r="AY109" s="1" t="s">
        <v>157</v>
      </c>
      <c r="BE109" s="8"/>
      <c r="BF109" s="8"/>
    </row>
    <row r="110" spans="2:58" ht="11.25" customHeight="1" x14ac:dyDescent="0.2">
      <c r="B110" s="31"/>
      <c r="G110" s="41"/>
      <c r="H110" s="41"/>
      <c r="I110" s="41"/>
      <c r="J110" s="41"/>
      <c r="K110" s="41"/>
      <c r="L110" s="41"/>
      <c r="M110" s="44"/>
      <c r="N110" s="44"/>
      <c r="O110" s="41"/>
      <c r="P110" s="41"/>
      <c r="Q110" s="41"/>
      <c r="R110" s="41"/>
      <c r="S110" s="43"/>
      <c r="T110" s="41"/>
      <c r="U110" s="41"/>
      <c r="V110" s="41"/>
      <c r="W110" s="41"/>
      <c r="X110" s="42"/>
      <c r="Y110" s="41"/>
      <c r="Z110" s="41"/>
      <c r="AA110" s="41"/>
      <c r="AB110" s="41"/>
      <c r="AG110" s="29"/>
      <c r="AU110" s="1" t="s">
        <v>75</v>
      </c>
      <c r="AV110" s="1" t="s">
        <v>74</v>
      </c>
      <c r="BE110" s="17">
        <f>IF(AJ91="X",AK91,IF(AJ92="X",AK92,IF(AJ93="X",AK93,IF(AJ94="X",AK94,0))))</f>
        <v>0</v>
      </c>
    </row>
    <row r="111" spans="2:58" x14ac:dyDescent="0.2">
      <c r="B111" s="31"/>
      <c r="G111" s="40"/>
      <c r="H111" s="39"/>
      <c r="I111" s="39"/>
      <c r="J111" s="39"/>
      <c r="K111" s="39"/>
      <c r="L111" s="39"/>
      <c r="M111" s="39"/>
      <c r="N111" s="38"/>
      <c r="O111" s="166" t="s">
        <v>2</v>
      </c>
      <c r="P111" s="167"/>
      <c r="Q111" s="167"/>
      <c r="R111" s="168"/>
      <c r="S111" s="35"/>
      <c r="T111" s="166" t="s">
        <v>1</v>
      </c>
      <c r="U111" s="167"/>
      <c r="V111" s="167"/>
      <c r="W111" s="168"/>
      <c r="X111" s="35"/>
      <c r="Y111" s="166" t="s">
        <v>0</v>
      </c>
      <c r="Z111" s="167"/>
      <c r="AA111" s="167"/>
      <c r="AB111" s="168"/>
      <c r="AG111" s="29"/>
      <c r="AU111" s="1" t="s">
        <v>73</v>
      </c>
      <c r="AV111" s="1" t="s">
        <v>72</v>
      </c>
      <c r="BE111" s="17">
        <f>IF(AJ91="X",AL91,IF(AJ92="X",AL92,IF(AJ93="X",AL93,IF(AJ94="X",AL94,0))))</f>
        <v>0</v>
      </c>
    </row>
    <row r="112" spans="2:58" x14ac:dyDescent="0.2">
      <c r="B112" s="31"/>
      <c r="G112" s="31" t="s">
        <v>156</v>
      </c>
      <c r="M112" s="15"/>
      <c r="N112" s="15"/>
      <c r="O112" s="235" t="str">
        <f>BE271</f>
        <v/>
      </c>
      <c r="P112" s="236"/>
      <c r="Q112" s="236"/>
      <c r="R112" s="237"/>
      <c r="S112" s="35"/>
      <c r="T112" s="235" t="str">
        <f>BE273</f>
        <v/>
      </c>
      <c r="U112" s="236"/>
      <c r="V112" s="236"/>
      <c r="W112" s="237"/>
      <c r="X112" s="35"/>
      <c r="Y112" s="238" t="str">
        <f>BE274</f>
        <v/>
      </c>
      <c r="Z112" s="239"/>
      <c r="AA112" s="239"/>
      <c r="AB112" s="240"/>
      <c r="AG112" s="29"/>
      <c r="AU112" s="1" t="s">
        <v>71</v>
      </c>
      <c r="AV112" s="1" t="s">
        <v>70</v>
      </c>
      <c r="BE112" s="17">
        <f>IF(AJ91="X",AM91,IF(AJ92="X",AM92,IF(AJ93="X",AM93,IF(AJ94="X",AM94,0))))</f>
        <v>0</v>
      </c>
    </row>
    <row r="113" spans="2:59" ht="12" customHeight="1" x14ac:dyDescent="0.2">
      <c r="B113" s="31"/>
      <c r="G113" s="31" t="s">
        <v>155</v>
      </c>
      <c r="O113" s="241" t="str">
        <f>BE284</f>
        <v/>
      </c>
      <c r="P113" s="242"/>
      <c r="Q113" s="242"/>
      <c r="R113" s="243"/>
      <c r="S113" s="37"/>
      <c r="T113" s="244" t="str">
        <f>BE285</f>
        <v/>
      </c>
      <c r="U113" s="245"/>
      <c r="V113" s="245"/>
      <c r="W113" s="246"/>
      <c r="X113" s="35"/>
      <c r="Y113" s="238" t="str">
        <f>BE286</f>
        <v/>
      </c>
      <c r="Z113" s="239"/>
      <c r="AA113" s="239"/>
      <c r="AB113" s="240"/>
      <c r="AG113" s="29"/>
      <c r="AU113" s="1" t="s">
        <v>69</v>
      </c>
      <c r="AV113" s="25" t="s">
        <v>140</v>
      </c>
      <c r="BE113" s="17">
        <f>IF($R$22="Techo flotante externo",0.7,0)</f>
        <v>0</v>
      </c>
    </row>
    <row r="114" spans="2:59" ht="12.75" customHeight="1" x14ac:dyDescent="0.2">
      <c r="B114" s="31"/>
      <c r="G114" s="28" t="s">
        <v>154</v>
      </c>
      <c r="H114" s="27"/>
      <c r="I114" s="27"/>
      <c r="J114" s="27"/>
      <c r="K114" s="27"/>
      <c r="L114" s="27"/>
      <c r="M114" s="27"/>
      <c r="N114" s="27"/>
      <c r="O114" s="172" t="str">
        <f>BE288</f>
        <v/>
      </c>
      <c r="P114" s="173"/>
      <c r="Q114" s="173"/>
      <c r="R114" s="174"/>
      <c r="S114" s="36"/>
      <c r="T114" s="175" t="str">
        <f>BE289</f>
        <v/>
      </c>
      <c r="U114" s="176"/>
      <c r="V114" s="176"/>
      <c r="W114" s="177"/>
      <c r="X114" s="35"/>
      <c r="Y114" s="175" t="str">
        <f>BE290</f>
        <v/>
      </c>
      <c r="Z114" s="176"/>
      <c r="AA114" s="176"/>
      <c r="AB114" s="177"/>
      <c r="AG114" s="29"/>
      <c r="AU114" s="1" t="s">
        <v>67</v>
      </c>
      <c r="AV114" s="1" t="s">
        <v>66</v>
      </c>
      <c r="BE114" s="4">
        <f>(V/0.44704)</f>
        <v>0</v>
      </c>
    </row>
    <row r="115" spans="2:59" x14ac:dyDescent="0.2">
      <c r="B115" s="31"/>
      <c r="AG115" s="29"/>
    </row>
    <row r="116" spans="2:59" x14ac:dyDescent="0.2">
      <c r="B116" s="31"/>
      <c r="AG116" s="29"/>
      <c r="AU116" s="1" t="s">
        <v>65</v>
      </c>
      <c r="AV116" s="1" t="s">
        <v>64</v>
      </c>
      <c r="BE116" s="21" t="str">
        <f>IF(BE110=0,"",BE110+(BE111*((BE113*BE114)^BE112)))</f>
        <v/>
      </c>
    </row>
    <row r="117" spans="2:59" x14ac:dyDescent="0.2">
      <c r="B117" s="31"/>
      <c r="AG117" s="29"/>
      <c r="AU117" s="20" t="s">
        <v>153</v>
      </c>
      <c r="AV117" s="1" t="s">
        <v>152</v>
      </c>
      <c r="AX117" s="1" t="s">
        <v>151</v>
      </c>
      <c r="BE117" s="17">
        <f>IF(AJ91="X",AN91,IF(AJ92="X",AN92,IF(AJ93="X",AN93,IF(AJ94="X",AN94,0))))</f>
        <v>0</v>
      </c>
    </row>
    <row r="118" spans="2:59" x14ac:dyDescent="0.2">
      <c r="B118" s="31"/>
      <c r="AG118" s="29"/>
    </row>
    <row r="119" spans="2:59" x14ac:dyDescent="0.2">
      <c r="B119" s="31"/>
      <c r="AG119" s="29"/>
      <c r="AU119" s="12" t="s">
        <v>150</v>
      </c>
      <c r="AV119" s="12" t="s">
        <v>149</v>
      </c>
      <c r="BE119" s="34">
        <f>IF(BE116="",0,BE117*BE116)</f>
        <v>0</v>
      </c>
      <c r="BF119" s="33">
        <f>BE119+BE106</f>
        <v>0</v>
      </c>
      <c r="BG119" s="32">
        <f>BE106+BE119</f>
        <v>0</v>
      </c>
    </row>
    <row r="120" spans="2:59" x14ac:dyDescent="0.2">
      <c r="B120" s="31"/>
      <c r="AG120" s="29"/>
    </row>
    <row r="121" spans="2:59" x14ac:dyDescent="0.2">
      <c r="B121" s="31"/>
      <c r="D121" s="1" t="s">
        <v>148</v>
      </c>
      <c r="AG121" s="29"/>
      <c r="AU121" s="18" t="s">
        <v>147</v>
      </c>
      <c r="AV121" s="1" t="s">
        <v>146</v>
      </c>
      <c r="AZ121" s="1" t="s">
        <v>145</v>
      </c>
    </row>
    <row r="122" spans="2:59" x14ac:dyDescent="0.2">
      <c r="B122" s="31"/>
      <c r="AG122" s="29"/>
      <c r="AU122" s="12" t="s">
        <v>96</v>
      </c>
      <c r="AV122" s="20" t="s">
        <v>144</v>
      </c>
      <c r="AY122" s="20" t="s">
        <v>143</v>
      </c>
      <c r="BE122" s="8"/>
      <c r="BF122" s="8"/>
    </row>
    <row r="123" spans="2:59" x14ac:dyDescent="0.2">
      <c r="B123" s="31"/>
      <c r="AG123" s="29"/>
      <c r="AU123" s="1" t="s">
        <v>75</v>
      </c>
      <c r="AV123" s="1" t="s">
        <v>74</v>
      </c>
      <c r="BE123" s="17">
        <f>IF(AJ69="X",AK69,IF(AJ70="X",AK70,IF(AJ71="X",AK71,IF(AJ72="X",AK72,IF(AJ73="X",AK73,IF(AJ74="X",AK74,IF(AJ75="X",AK75,0)))))))</f>
        <v>0</v>
      </c>
    </row>
    <row r="124" spans="2:59" x14ac:dyDescent="0.2">
      <c r="B124" s="31"/>
      <c r="D124" s="170"/>
      <c r="E124" s="170"/>
      <c r="F124" s="170"/>
      <c r="G124" s="170"/>
      <c r="H124" s="170"/>
      <c r="I124" s="170"/>
      <c r="J124" s="170"/>
      <c r="K124" s="170"/>
      <c r="L124" s="170"/>
      <c r="M124" s="170"/>
      <c r="N124" s="170"/>
      <c r="O124" s="170"/>
      <c r="T124" s="170"/>
      <c r="U124" s="170"/>
      <c r="V124" s="170"/>
      <c r="W124" s="170"/>
      <c r="X124" s="170"/>
      <c r="Y124" s="170"/>
      <c r="Z124" s="170"/>
      <c r="AA124" s="170"/>
      <c r="AB124" s="170"/>
      <c r="AC124" s="170"/>
      <c r="AD124" s="170"/>
      <c r="AE124" s="170"/>
      <c r="AG124" s="29"/>
      <c r="AU124" s="1" t="s">
        <v>73</v>
      </c>
      <c r="AV124" s="1" t="s">
        <v>72</v>
      </c>
      <c r="BE124" s="17">
        <f>IF(AJ69="X",AL69,IF(AJ70="X",AL70,IF(AJ71="X",AL71,IF(AJ72="X",AL72,IF(AJ73="X",AL73,IF(AJ74="X",AL74,IF(AJ75="X",AL75,0)))))))</f>
        <v>0</v>
      </c>
    </row>
    <row r="125" spans="2:59" x14ac:dyDescent="0.2">
      <c r="B125" s="31"/>
      <c r="D125" s="171"/>
      <c r="E125" s="171"/>
      <c r="F125" s="171"/>
      <c r="G125" s="171"/>
      <c r="H125" s="171"/>
      <c r="I125" s="171"/>
      <c r="J125" s="171"/>
      <c r="K125" s="171"/>
      <c r="L125" s="171"/>
      <c r="M125" s="171"/>
      <c r="N125" s="171"/>
      <c r="O125" s="171"/>
      <c r="P125" s="30"/>
      <c r="Q125" s="30"/>
      <c r="R125" s="30"/>
      <c r="S125" s="30"/>
      <c r="T125" s="171"/>
      <c r="U125" s="171"/>
      <c r="V125" s="171"/>
      <c r="W125" s="171"/>
      <c r="X125" s="171"/>
      <c r="Y125" s="171"/>
      <c r="Z125" s="171"/>
      <c r="AA125" s="171"/>
      <c r="AB125" s="171"/>
      <c r="AC125" s="171"/>
      <c r="AD125" s="171"/>
      <c r="AE125" s="171"/>
      <c r="AG125" s="29"/>
      <c r="AU125" s="1" t="s">
        <v>71</v>
      </c>
      <c r="AV125" s="1" t="s">
        <v>70</v>
      </c>
      <c r="BE125" s="17">
        <f>IF(AJ69="X",AM69,IF(AJ70="X",AM70,IF(AJ71="X",AM71,IF(AJ72="X",AM72,IF(AJ73="X",AM73,IF(AJ74="X",AM74,IF(AJ75="X",AM75,0)))))))</f>
        <v>0</v>
      </c>
    </row>
    <row r="126" spans="2:59" ht="76.5" x14ac:dyDescent="0.2">
      <c r="B126" s="28"/>
      <c r="C126" s="27"/>
      <c r="D126" s="169" t="s">
        <v>142</v>
      </c>
      <c r="E126" s="169"/>
      <c r="F126" s="169"/>
      <c r="G126" s="169"/>
      <c r="H126" s="169"/>
      <c r="I126" s="169"/>
      <c r="J126" s="169"/>
      <c r="K126" s="169"/>
      <c r="L126" s="169"/>
      <c r="M126" s="169"/>
      <c r="N126" s="169"/>
      <c r="O126" s="169"/>
      <c r="P126" s="27"/>
      <c r="Q126" s="27"/>
      <c r="R126" s="27"/>
      <c r="S126" s="27"/>
      <c r="T126" s="169" t="s">
        <v>141</v>
      </c>
      <c r="U126" s="169"/>
      <c r="V126" s="169"/>
      <c r="W126" s="169"/>
      <c r="X126" s="169"/>
      <c r="Y126" s="169"/>
      <c r="Z126" s="169"/>
      <c r="AA126" s="169"/>
      <c r="AB126" s="169"/>
      <c r="AC126" s="169"/>
      <c r="AD126" s="169"/>
      <c r="AE126" s="169"/>
      <c r="AF126" s="27"/>
      <c r="AG126" s="26"/>
      <c r="AU126" s="1" t="s">
        <v>69</v>
      </c>
      <c r="AV126" s="25" t="s">
        <v>140</v>
      </c>
      <c r="BE126" s="17">
        <f>IF($R$22="Techo flotante externo",0.7,0)</f>
        <v>0</v>
      </c>
    </row>
    <row r="127" spans="2:59" x14ac:dyDescent="0.2"/>
    <row r="128" spans="2:59" x14ac:dyDescent="0.2">
      <c r="AU128" s="12" t="s">
        <v>139</v>
      </c>
      <c r="AV128" s="12" t="s">
        <v>138</v>
      </c>
      <c r="BE128" s="21" t="e">
        <f>IF(#REF!=0,0,#REF!*#REF!)</f>
        <v>#REF!</v>
      </c>
    </row>
    <row r="129" spans="47:59" x14ac:dyDescent="0.2"/>
    <row r="130" spans="47:59" x14ac:dyDescent="0.2">
      <c r="AU130" s="18" t="s">
        <v>137</v>
      </c>
      <c r="AV130" s="12" t="s">
        <v>136</v>
      </c>
      <c r="AY130" s="1" t="s">
        <v>135</v>
      </c>
    </row>
    <row r="131" spans="47:59" x14ac:dyDescent="0.2">
      <c r="AU131" s="12" t="s">
        <v>134</v>
      </c>
      <c r="AV131" s="20" t="s">
        <v>133</v>
      </c>
      <c r="BE131" s="8"/>
      <c r="BF131" s="8"/>
    </row>
    <row r="132" spans="47:59" x14ac:dyDescent="0.2">
      <c r="AU132" s="1" t="s">
        <v>75</v>
      </c>
      <c r="AV132" s="1" t="s">
        <v>74</v>
      </c>
      <c r="BE132" s="17">
        <f>IF(AO58="x",AP58,IF(AO59="x",AP59,IF(AO60="x",AP60,0)))</f>
        <v>0</v>
      </c>
    </row>
    <row r="133" spans="47:59" x14ac:dyDescent="0.2">
      <c r="AU133" s="1" t="s">
        <v>73</v>
      </c>
      <c r="AV133" s="1" t="s">
        <v>72</v>
      </c>
      <c r="BE133" s="17">
        <f>IF(AO58="x",AQ58,IF(AO59="x",AQ59,IF(AO60="x",AQ60,0)))</f>
        <v>0</v>
      </c>
    </row>
    <row r="134" spans="47:59" x14ac:dyDescent="0.2">
      <c r="AU134" s="1" t="s">
        <v>71</v>
      </c>
      <c r="AV134" s="1" t="s">
        <v>70</v>
      </c>
      <c r="BE134" s="17">
        <f>IF(AO58="x",AR58,IF(AO59="x",AR59,IF(AO60="x",AR60,0)))</f>
        <v>0</v>
      </c>
    </row>
    <row r="135" spans="47:59" x14ac:dyDescent="0.2">
      <c r="AU135" s="1" t="s">
        <v>69</v>
      </c>
      <c r="AV135" s="1" t="s">
        <v>68</v>
      </c>
      <c r="BE135" s="17">
        <f>IF($R$22="Techo flotante externo",0.7,0)</f>
        <v>0</v>
      </c>
    </row>
    <row r="136" spans="47:59" x14ac:dyDescent="0.2">
      <c r="AU136" s="1" t="s">
        <v>67</v>
      </c>
      <c r="AV136" s="1" t="s">
        <v>66</v>
      </c>
      <c r="BE136" s="4">
        <f>(V/0.44704)</f>
        <v>0</v>
      </c>
    </row>
    <row r="137" spans="47:59" x14ac:dyDescent="0.2"/>
    <row r="138" spans="47:59" x14ac:dyDescent="0.2">
      <c r="AU138" s="1" t="s">
        <v>65</v>
      </c>
      <c r="AV138" s="1" t="s">
        <v>64</v>
      </c>
      <c r="BE138" s="21" t="str">
        <f>IF(BE132=0,"",BE132+(BE133*((BE135*BE136)^BE134)))</f>
        <v/>
      </c>
    </row>
    <row r="139" spans="47:59" x14ac:dyDescent="0.2">
      <c r="AU139" s="1" t="s">
        <v>132</v>
      </c>
      <c r="AV139" s="1" t="s">
        <v>62</v>
      </c>
      <c r="AX139" s="1" t="s">
        <v>131</v>
      </c>
      <c r="BE139" s="17">
        <f>IF(AO58="x",AS58,IF(AO59="x",AS59,IF(AO60="x",AS60,0)))</f>
        <v>0</v>
      </c>
    </row>
    <row r="140" spans="47:59" x14ac:dyDescent="0.2"/>
    <row r="141" spans="47:59" x14ac:dyDescent="0.2">
      <c r="AU141" s="12" t="s">
        <v>130</v>
      </c>
      <c r="AV141" s="12" t="s">
        <v>129</v>
      </c>
      <c r="BE141" s="24">
        <f>IF(BE138="",0,BE139*BE138)</f>
        <v>0</v>
      </c>
      <c r="BG141" s="13"/>
    </row>
    <row r="142" spans="47:59" x14ac:dyDescent="0.2">
      <c r="AU142" s="12"/>
    </row>
    <row r="143" spans="47:59" x14ac:dyDescent="0.2">
      <c r="AU143" s="18" t="s">
        <v>128</v>
      </c>
      <c r="AV143" s="12" t="s">
        <v>127</v>
      </c>
    </row>
    <row r="144" spans="47:59" x14ac:dyDescent="0.2">
      <c r="AU144" s="12" t="s">
        <v>126</v>
      </c>
      <c r="AV144" s="20" t="s">
        <v>125</v>
      </c>
      <c r="BE144" s="8"/>
      <c r="BF144" s="8"/>
    </row>
    <row r="145" spans="47:59" x14ac:dyDescent="0.2">
      <c r="AU145" s="1" t="s">
        <v>75</v>
      </c>
      <c r="AV145" s="1" t="s">
        <v>74</v>
      </c>
      <c r="BE145" s="17">
        <f>IF(AJ52="x",AK52,IF(AJ53="x",AK53,IF(AJ54="x",AK54,0)))</f>
        <v>0</v>
      </c>
    </row>
    <row r="146" spans="47:59" x14ac:dyDescent="0.2">
      <c r="AU146" s="1" t="s">
        <v>73</v>
      </c>
      <c r="AV146" s="1" t="s">
        <v>72</v>
      </c>
      <c r="BE146" s="17">
        <f>IF(AJ52="x",AL52,IF(AJ53="x",AL53,IF(AJ54="x",AL54,0)))</f>
        <v>0</v>
      </c>
    </row>
    <row r="147" spans="47:59" x14ac:dyDescent="0.2">
      <c r="AU147" s="1" t="s">
        <v>71</v>
      </c>
      <c r="AV147" s="1" t="s">
        <v>70</v>
      </c>
      <c r="BE147" s="17">
        <f>IF(AJ52="x",AM52,IF(AJ53="x",AM53,IF(AJ54="x",AM54,0)))</f>
        <v>0</v>
      </c>
    </row>
    <row r="148" spans="47:59" x14ac:dyDescent="0.2">
      <c r="AU148" s="1" t="s">
        <v>69</v>
      </c>
      <c r="AV148" s="1" t="s">
        <v>68</v>
      </c>
      <c r="BE148" s="17">
        <f>IF($R$22="Techo flotante externo",0.7,0)</f>
        <v>0</v>
      </c>
    </row>
    <row r="149" spans="47:59" x14ac:dyDescent="0.2">
      <c r="AU149" s="1" t="s">
        <v>67</v>
      </c>
      <c r="AV149" s="1" t="s">
        <v>66</v>
      </c>
      <c r="BE149" s="4">
        <f>(V/0.44704)</f>
        <v>0</v>
      </c>
    </row>
    <row r="150" spans="47:59" x14ac:dyDescent="0.2"/>
    <row r="151" spans="47:59" x14ac:dyDescent="0.2">
      <c r="AU151" s="1" t="s">
        <v>65</v>
      </c>
      <c r="AV151" s="1" t="s">
        <v>64</v>
      </c>
      <c r="BE151" s="21" t="str">
        <f>IF(BE145=0,"",BE145+(BE146*((BE148*BE149)^BE147)))</f>
        <v/>
      </c>
    </row>
    <row r="152" spans="47:59" x14ac:dyDescent="0.2">
      <c r="AU152" s="1" t="s">
        <v>124</v>
      </c>
      <c r="AV152" s="1" t="s">
        <v>123</v>
      </c>
      <c r="BE152" s="17">
        <f>IF(AJ52="x",AN52,IF(AJ53="x",AN53,IF(AJ54="x",AN54,0)))</f>
        <v>0</v>
      </c>
    </row>
    <row r="153" spans="47:59" x14ac:dyDescent="0.2"/>
    <row r="154" spans="47:59" x14ac:dyDescent="0.2">
      <c r="AU154" s="12" t="s">
        <v>122</v>
      </c>
      <c r="AV154" s="12" t="s">
        <v>121</v>
      </c>
      <c r="BE154" s="21">
        <f>IF(BE151="",0,BE152*BE151)</f>
        <v>0</v>
      </c>
      <c r="BG154" s="13"/>
    </row>
    <row r="155" spans="47:59" x14ac:dyDescent="0.2"/>
    <row r="156" spans="47:59" x14ac:dyDescent="0.2">
      <c r="AU156" s="18" t="s">
        <v>120</v>
      </c>
      <c r="AV156" s="12" t="s">
        <v>114</v>
      </c>
      <c r="AX156" s="12" t="s">
        <v>119</v>
      </c>
    </row>
    <row r="157" spans="47:59" x14ac:dyDescent="0.2">
      <c r="AU157" s="12" t="s">
        <v>114</v>
      </c>
      <c r="AV157" s="20" t="s">
        <v>118</v>
      </c>
      <c r="BE157" s="8"/>
      <c r="BF157" s="8"/>
    </row>
    <row r="158" spans="47:59" x14ac:dyDescent="0.2">
      <c r="AU158" s="1" t="s">
        <v>75</v>
      </c>
      <c r="AV158" s="1" t="s">
        <v>74</v>
      </c>
      <c r="BE158" s="17">
        <f>IF(AJ64="x",AK64,IF(AJ65="x",AK65,0))</f>
        <v>0</v>
      </c>
    </row>
    <row r="159" spans="47:59" x14ac:dyDescent="0.2">
      <c r="AU159" s="1" t="s">
        <v>73</v>
      </c>
      <c r="AV159" s="1" t="s">
        <v>72</v>
      </c>
      <c r="BE159" s="17">
        <f>IF(AJ64="x",AL64,IF(AJ65="x",AL65,0))</f>
        <v>0</v>
      </c>
    </row>
    <row r="160" spans="47:59" x14ac:dyDescent="0.2">
      <c r="AU160" s="1" t="s">
        <v>71</v>
      </c>
      <c r="AV160" s="1" t="s">
        <v>70</v>
      </c>
      <c r="BE160" s="17">
        <f>IF(AJ64="x",AM64,IF(AJ65="x",AM65,0))</f>
        <v>0</v>
      </c>
    </row>
    <row r="161" spans="47:59" x14ac:dyDescent="0.2">
      <c r="AU161" s="1" t="s">
        <v>69</v>
      </c>
      <c r="AV161" s="1" t="s">
        <v>68</v>
      </c>
      <c r="BE161" s="17">
        <f>IF($R$22="Techo flotante externo",0.7,0)</f>
        <v>0</v>
      </c>
    </row>
    <row r="162" spans="47:59" x14ac:dyDescent="0.2">
      <c r="AU162" s="1" t="s">
        <v>67</v>
      </c>
      <c r="AV162" s="1" t="s">
        <v>66</v>
      </c>
      <c r="BE162" s="4">
        <f>(V/0.44704)</f>
        <v>0</v>
      </c>
    </row>
    <row r="163" spans="47:59" x14ac:dyDescent="0.2"/>
    <row r="164" spans="47:59" x14ac:dyDescent="0.2">
      <c r="AU164" s="1" t="s">
        <v>65</v>
      </c>
      <c r="AV164" s="1" t="s">
        <v>64</v>
      </c>
      <c r="BE164" s="21" t="str">
        <f>IF(BE158=0,"",BE158+(BE159*((BE161*BE162)^BE160)))</f>
        <v/>
      </c>
    </row>
    <row r="165" spans="47:59" x14ac:dyDescent="0.2">
      <c r="AU165" s="1" t="s">
        <v>117</v>
      </c>
      <c r="AV165" s="1" t="s">
        <v>62</v>
      </c>
      <c r="AX165" s="1" t="s">
        <v>116</v>
      </c>
      <c r="BE165" s="17">
        <f>IF(AJ64="x",AN64,IF(AJ65="x",AN65,0))</f>
        <v>0</v>
      </c>
    </row>
    <row r="166" spans="47:59" x14ac:dyDescent="0.2"/>
    <row r="167" spans="47:59" x14ac:dyDescent="0.2">
      <c r="AU167" s="12" t="s">
        <v>115</v>
      </c>
      <c r="AV167" s="12" t="s">
        <v>114</v>
      </c>
      <c r="BE167" s="22">
        <f>IF(BE164="",0,BE165*BE164)</f>
        <v>0</v>
      </c>
      <c r="BG167" s="13"/>
    </row>
    <row r="168" spans="47:59" x14ac:dyDescent="0.2"/>
    <row r="169" spans="47:59" x14ac:dyDescent="0.2">
      <c r="AU169" s="18" t="s">
        <v>113</v>
      </c>
      <c r="AV169" s="12" t="s">
        <v>109</v>
      </c>
    </row>
    <row r="170" spans="47:59" x14ac:dyDescent="0.2">
      <c r="AU170" s="12" t="s">
        <v>109</v>
      </c>
      <c r="AV170" s="20" t="s">
        <v>112</v>
      </c>
    </row>
    <row r="171" spans="47:59" x14ac:dyDescent="0.2">
      <c r="AU171" s="1" t="s">
        <v>75</v>
      </c>
      <c r="AV171" s="1" t="s">
        <v>74</v>
      </c>
      <c r="BE171" s="17">
        <f>IF(AO64="x",AP64,IF(AO65="x",AP65,0))</f>
        <v>0</v>
      </c>
    </row>
    <row r="172" spans="47:59" x14ac:dyDescent="0.2">
      <c r="AU172" s="1" t="s">
        <v>73</v>
      </c>
      <c r="AV172" s="1" t="s">
        <v>72</v>
      </c>
      <c r="BE172" s="17">
        <f>IF(AO64="x",AQ64,IF(AO65="x",AQ65,0))</f>
        <v>0</v>
      </c>
    </row>
    <row r="173" spans="47:59" x14ac:dyDescent="0.2">
      <c r="AU173" s="1" t="s">
        <v>71</v>
      </c>
      <c r="AV173" s="1" t="s">
        <v>70</v>
      </c>
      <c r="BE173" s="17">
        <f>IF(AO64="x",AR64,IF(AO65="x",AR65,0))</f>
        <v>0</v>
      </c>
    </row>
    <row r="174" spans="47:59" x14ac:dyDescent="0.2">
      <c r="AU174" s="1" t="s">
        <v>69</v>
      </c>
      <c r="AV174" s="1" t="s">
        <v>68</v>
      </c>
      <c r="BE174" s="17">
        <f>IF($R$22="Techo flotante externo",0.7,0)</f>
        <v>0</v>
      </c>
    </row>
    <row r="175" spans="47:59" x14ac:dyDescent="0.2">
      <c r="AU175" s="1" t="s">
        <v>67</v>
      </c>
      <c r="AV175" s="1" t="s">
        <v>66</v>
      </c>
      <c r="BE175" s="4">
        <f>(V/0.44704)</f>
        <v>0</v>
      </c>
    </row>
    <row r="176" spans="47:59" x14ac:dyDescent="0.2"/>
    <row r="177" spans="47:59" x14ac:dyDescent="0.2">
      <c r="AU177" s="1" t="s">
        <v>65</v>
      </c>
      <c r="AV177" s="1" t="s">
        <v>64</v>
      </c>
      <c r="BE177" s="21" t="str">
        <f>IF(BE171=0,"",BE171+(BE172*((BE174*BE175)^BE173)))</f>
        <v/>
      </c>
    </row>
    <row r="178" spans="47:59" x14ac:dyDescent="0.2">
      <c r="AU178" s="1" t="s">
        <v>111</v>
      </c>
      <c r="AV178" s="1" t="s">
        <v>62</v>
      </c>
      <c r="BE178" s="17">
        <f>IF(AO64="x",AS64,IF(AO65="x",AS65,0))</f>
        <v>0</v>
      </c>
    </row>
    <row r="179" spans="47:59" x14ac:dyDescent="0.2"/>
    <row r="180" spans="47:59" x14ac:dyDescent="0.2">
      <c r="AU180" s="12" t="s">
        <v>110</v>
      </c>
      <c r="AV180" s="12" t="s">
        <v>109</v>
      </c>
      <c r="BE180" s="24">
        <f>IF(BE177="",0,BE178*BE177)</f>
        <v>0</v>
      </c>
      <c r="BG180" s="13"/>
    </row>
    <row r="181" spans="47:59" x14ac:dyDescent="0.2"/>
    <row r="182" spans="47:59" x14ac:dyDescent="0.2">
      <c r="AU182" s="18" t="s">
        <v>108</v>
      </c>
      <c r="AV182" s="12" t="s">
        <v>107</v>
      </c>
      <c r="AX182" s="8" t="s">
        <v>106</v>
      </c>
      <c r="BA182" s="8" t="s">
        <v>105</v>
      </c>
    </row>
    <row r="183" spans="47:59" x14ac:dyDescent="0.2">
      <c r="AU183" s="12" t="s">
        <v>104</v>
      </c>
      <c r="AV183" s="20" t="s">
        <v>103</v>
      </c>
    </row>
    <row r="184" spans="47:59" x14ac:dyDescent="0.2">
      <c r="AU184" s="1" t="s">
        <v>75</v>
      </c>
      <c r="AV184" s="1" t="s">
        <v>74</v>
      </c>
      <c r="BE184" s="17" t="e">
        <f>VLOOKUP("x",AJ98:AM99,2,FALSE)</f>
        <v>#N/A</v>
      </c>
    </row>
    <row r="185" spans="47:59" x14ac:dyDescent="0.2">
      <c r="AU185" s="1" t="s">
        <v>73</v>
      </c>
      <c r="AV185" s="1" t="s">
        <v>72</v>
      </c>
      <c r="BE185" s="17">
        <v>0</v>
      </c>
    </row>
    <row r="186" spans="47:59" x14ac:dyDescent="0.2">
      <c r="AU186" s="1" t="s">
        <v>71</v>
      </c>
      <c r="AV186" s="1" t="s">
        <v>70</v>
      </c>
      <c r="BE186" s="17">
        <v>0</v>
      </c>
    </row>
    <row r="187" spans="47:59" x14ac:dyDescent="0.2">
      <c r="AU187" s="1" t="s">
        <v>69</v>
      </c>
      <c r="AV187" s="1" t="s">
        <v>68</v>
      </c>
      <c r="BE187" s="17">
        <f>IF($R$22="Techo flotante externo",0.7,0)</f>
        <v>0</v>
      </c>
      <c r="BF187" s="23" t="s">
        <v>102</v>
      </c>
    </row>
    <row r="188" spans="47:59" x14ac:dyDescent="0.2">
      <c r="AU188" s="1" t="s">
        <v>67</v>
      </c>
      <c r="AV188" s="1" t="s">
        <v>66</v>
      </c>
      <c r="BE188" s="4">
        <f>(V/0.44704)</f>
        <v>0</v>
      </c>
    </row>
    <row r="189" spans="47:59" x14ac:dyDescent="0.2"/>
    <row r="190" spans="47:59" x14ac:dyDescent="0.2">
      <c r="AU190" s="1" t="s">
        <v>65</v>
      </c>
      <c r="AV190" s="1" t="s">
        <v>64</v>
      </c>
      <c r="BE190" s="21" t="e">
        <f>BE184</f>
        <v>#N/A</v>
      </c>
    </row>
    <row r="191" spans="47:59" x14ac:dyDescent="0.2">
      <c r="AU191" s="1" t="s">
        <v>101</v>
      </c>
      <c r="AV191" s="1" t="s">
        <v>62</v>
      </c>
      <c r="BE191" s="17" t="e">
        <f>VLOOKUP("x",AJ98:AN99,5,FALSE)</f>
        <v>#N/A</v>
      </c>
    </row>
    <row r="192" spans="47:59" x14ac:dyDescent="0.2"/>
    <row r="193" spans="47:59" x14ac:dyDescent="0.2">
      <c r="AU193" s="12" t="s">
        <v>100</v>
      </c>
      <c r="AV193" s="20" t="s">
        <v>99</v>
      </c>
      <c r="BE193" s="21"/>
    </row>
    <row r="194" spans="47:59" x14ac:dyDescent="0.2"/>
    <row r="195" spans="47:59" x14ac:dyDescent="0.2">
      <c r="AU195" s="18" t="s">
        <v>98</v>
      </c>
      <c r="AV195" s="12" t="s">
        <v>97</v>
      </c>
    </row>
    <row r="196" spans="47:59" x14ac:dyDescent="0.2">
      <c r="AU196" s="12" t="s">
        <v>96</v>
      </c>
      <c r="AV196" s="20" t="s">
        <v>95</v>
      </c>
    </row>
    <row r="197" spans="47:59" x14ac:dyDescent="0.2">
      <c r="AU197" s="1" t="s">
        <v>75</v>
      </c>
      <c r="AV197" s="1" t="s">
        <v>74</v>
      </c>
      <c r="BE197" s="17">
        <f>IF(AJ79="X",AK79,IF(AJ80="X",AK80,IF(AJ81="X",AK81,IF(AJ82="X",AK82,IF(AJ83="X",AK83,0)))))</f>
        <v>0</v>
      </c>
    </row>
    <row r="198" spans="47:59" x14ac:dyDescent="0.2">
      <c r="AU198" s="1" t="s">
        <v>73</v>
      </c>
      <c r="AV198" s="1" t="s">
        <v>72</v>
      </c>
      <c r="BE198" s="17">
        <f>IF(AJ79="X",AL79,IF(AJ80="X",AL80,IF(AJ81="X",AL81,IF(AJ82="X",AL82,IF(AJ83="X",AL83,0)))))</f>
        <v>0</v>
      </c>
    </row>
    <row r="199" spans="47:59" x14ac:dyDescent="0.2">
      <c r="AU199" s="1" t="s">
        <v>71</v>
      </c>
      <c r="AV199" s="1" t="s">
        <v>70</v>
      </c>
      <c r="BE199" s="17">
        <f>IF(AJ79="X",AM79,IF(AJ80="X",AM80,IF(AJ81="X",AM81,IF(AJ82="X",AM82,IF(AJ83="X",AL83,0)))))</f>
        <v>0</v>
      </c>
    </row>
    <row r="200" spans="47:59" x14ac:dyDescent="0.2">
      <c r="AU200" s="1" t="s">
        <v>69</v>
      </c>
      <c r="AV200" s="1" t="s">
        <v>68</v>
      </c>
      <c r="BE200" s="17">
        <f>IF($R$22="Techo flotante externo",0.7,0)</f>
        <v>0</v>
      </c>
    </row>
    <row r="201" spans="47:59" x14ac:dyDescent="0.2">
      <c r="AU201" s="1" t="s">
        <v>67</v>
      </c>
      <c r="AV201" s="1" t="s">
        <v>66</v>
      </c>
      <c r="BE201" s="4">
        <f>(V/0.44704)</f>
        <v>0</v>
      </c>
    </row>
    <row r="202" spans="47:59" x14ac:dyDescent="0.2"/>
    <row r="203" spans="47:59" x14ac:dyDescent="0.2">
      <c r="AU203" s="1" t="s">
        <v>65</v>
      </c>
      <c r="AV203" s="1" t="s">
        <v>64</v>
      </c>
      <c r="BE203" s="21" t="str">
        <f>IF(BE197=0,"",BE197+(BE198*((BE200*BE201)^BE199)))</f>
        <v/>
      </c>
    </row>
    <row r="204" spans="47:59" x14ac:dyDescent="0.2">
      <c r="AU204" s="1" t="s">
        <v>94</v>
      </c>
      <c r="AV204" s="1" t="s">
        <v>62</v>
      </c>
      <c r="BE204" s="17">
        <f>IF(AJ79="X",AN79,IF(AJ80="X",AN80,IF(AJ81="X",AN81,IF(AJ82="X",AN82,IF(AJ83="X",AN83,0)))))</f>
        <v>0</v>
      </c>
    </row>
    <row r="205" spans="47:59" x14ac:dyDescent="0.2"/>
    <row r="206" spans="47:59" x14ac:dyDescent="0.2">
      <c r="AU206" s="12" t="s">
        <v>93</v>
      </c>
      <c r="AV206" s="20" t="s">
        <v>92</v>
      </c>
      <c r="BE206" s="22">
        <f>IF(BE204=0,0,BE203*BE204)</f>
        <v>0</v>
      </c>
      <c r="BG206" s="13"/>
    </row>
    <row r="207" spans="47:59" x14ac:dyDescent="0.2"/>
    <row r="208" spans="47:59" x14ac:dyDescent="0.2">
      <c r="AU208" s="18" t="s">
        <v>91</v>
      </c>
      <c r="AV208" s="12" t="s">
        <v>90</v>
      </c>
      <c r="AX208" s="12" t="s">
        <v>89</v>
      </c>
    </row>
    <row r="209" spans="47:59" x14ac:dyDescent="0.2">
      <c r="AU209" s="12" t="s">
        <v>88</v>
      </c>
      <c r="AV209" s="20" t="s">
        <v>87</v>
      </c>
    </row>
    <row r="210" spans="47:59" x14ac:dyDescent="0.2">
      <c r="AU210" s="1" t="s">
        <v>75</v>
      </c>
      <c r="AV210" s="1" t="s">
        <v>86</v>
      </c>
      <c r="BE210" s="17" t="e">
        <f>VLOOKUP("x",AJ103:AM107,2,FALSE)</f>
        <v>#N/A</v>
      </c>
    </row>
    <row r="211" spans="47:59" x14ac:dyDescent="0.2">
      <c r="AU211" s="1" t="s">
        <v>73</v>
      </c>
      <c r="AV211" s="1" t="s">
        <v>72</v>
      </c>
      <c r="BE211" s="17">
        <v>0</v>
      </c>
    </row>
    <row r="212" spans="47:59" x14ac:dyDescent="0.2">
      <c r="AU212" s="1" t="s">
        <v>71</v>
      </c>
      <c r="AV212" s="1" t="s">
        <v>70</v>
      </c>
      <c r="BE212" s="17">
        <v>0</v>
      </c>
    </row>
    <row r="213" spans="47:59" x14ac:dyDescent="0.2">
      <c r="AU213" s="1" t="s">
        <v>69</v>
      </c>
      <c r="AV213" s="1" t="s">
        <v>68</v>
      </c>
      <c r="BE213" s="17">
        <f>IF($R$22="Techo flotante externo",0.7,0)</f>
        <v>0</v>
      </c>
    </row>
    <row r="214" spans="47:59" x14ac:dyDescent="0.2">
      <c r="AU214" s="1" t="s">
        <v>67</v>
      </c>
      <c r="AV214" s="1" t="s">
        <v>66</v>
      </c>
      <c r="BE214" s="4">
        <v>0</v>
      </c>
    </row>
    <row r="215" spans="47:59" x14ac:dyDescent="0.2"/>
    <row r="216" spans="47:59" x14ac:dyDescent="0.2">
      <c r="AU216" s="1" t="s">
        <v>65</v>
      </c>
      <c r="AV216" s="1" t="s">
        <v>64</v>
      </c>
      <c r="BE216" s="21" t="e">
        <f>BE210</f>
        <v>#N/A</v>
      </c>
    </row>
    <row r="217" spans="47:59" x14ac:dyDescent="0.2">
      <c r="AU217" s="1" t="s">
        <v>12</v>
      </c>
      <c r="AV217" s="1" t="s">
        <v>62</v>
      </c>
      <c r="BE217" s="17" t="e">
        <f>VLOOKUP("x",AJ103:AN107,5,FALSE)</f>
        <v>#N/A</v>
      </c>
    </row>
    <row r="218" spans="47:59" x14ac:dyDescent="0.2"/>
    <row r="219" spans="47:59" x14ac:dyDescent="0.2">
      <c r="AU219" s="12" t="s">
        <v>85</v>
      </c>
      <c r="BE219" s="21"/>
      <c r="BG219" s="13"/>
    </row>
    <row r="220" spans="47:59" x14ac:dyDescent="0.2"/>
    <row r="221" spans="47:59" x14ac:dyDescent="0.2">
      <c r="AU221" s="18" t="s">
        <v>84</v>
      </c>
      <c r="AV221" s="12" t="s">
        <v>83</v>
      </c>
    </row>
    <row r="222" spans="47:59" x14ac:dyDescent="0.2">
      <c r="AU222" s="12" t="s">
        <v>82</v>
      </c>
      <c r="AV222" s="20" t="s">
        <v>81</v>
      </c>
    </row>
    <row r="223" spans="47:59" x14ac:dyDescent="0.2">
      <c r="AU223" s="1" t="s">
        <v>75</v>
      </c>
      <c r="AV223" s="1" t="s">
        <v>74</v>
      </c>
      <c r="BE223" s="17">
        <f>IF(AO52="x",AP52,IF(AO53="x",AP53,IF(AO54="x",AP54,0)))</f>
        <v>0</v>
      </c>
    </row>
    <row r="224" spans="47:59" x14ac:dyDescent="0.2">
      <c r="AU224" s="1" t="s">
        <v>73</v>
      </c>
      <c r="AV224" s="1" t="s">
        <v>72</v>
      </c>
      <c r="BE224" s="17">
        <f>IF(AO52="x",AQ52,IF(AO53="x",AQ53,IF(AO54="x",AQ54,0)))</f>
        <v>0</v>
      </c>
    </row>
    <row r="225" spans="47:59" x14ac:dyDescent="0.2">
      <c r="AU225" s="1" t="s">
        <v>71</v>
      </c>
      <c r="AV225" s="1" t="s">
        <v>70</v>
      </c>
      <c r="BE225" s="17">
        <f>IF(AO52="x",AR52,IF(AO53="x",AR53,IF(AO54="x",AR54,0)))</f>
        <v>0</v>
      </c>
    </row>
    <row r="226" spans="47:59" x14ac:dyDescent="0.2">
      <c r="AU226" s="1" t="s">
        <v>69</v>
      </c>
      <c r="AV226" s="1" t="s">
        <v>68</v>
      </c>
      <c r="BE226" s="17">
        <f>IF($R$22="Techo flotante externo",0.7,0)</f>
        <v>0</v>
      </c>
    </row>
    <row r="227" spans="47:59" x14ac:dyDescent="0.2">
      <c r="AU227" s="1" t="s">
        <v>67</v>
      </c>
      <c r="AV227" s="1" t="s">
        <v>66</v>
      </c>
      <c r="BE227" s="4">
        <f>(V/0.44704)</f>
        <v>0</v>
      </c>
    </row>
    <row r="228" spans="47:59" x14ac:dyDescent="0.2"/>
    <row r="229" spans="47:59" x14ac:dyDescent="0.2">
      <c r="AU229" s="1" t="s">
        <v>65</v>
      </c>
      <c r="AV229" s="1" t="s">
        <v>64</v>
      </c>
      <c r="BE229" s="21" t="str">
        <f>IF(BE223=0,"",BE223+(BE224*((BE226*BE227)^BE225)))</f>
        <v/>
      </c>
    </row>
    <row r="230" spans="47:59" x14ac:dyDescent="0.2">
      <c r="AU230" s="1" t="s">
        <v>80</v>
      </c>
      <c r="AV230" s="1" t="s">
        <v>62</v>
      </c>
      <c r="BE230" s="17">
        <f>IF(AO52="x",AS52,IF(AO53="x",AS53,IF(AO54="x",AS54,0)))</f>
        <v>0</v>
      </c>
    </row>
    <row r="231" spans="47:59" x14ac:dyDescent="0.2"/>
    <row r="232" spans="47:59" x14ac:dyDescent="0.2">
      <c r="AU232" s="12" t="s">
        <v>79</v>
      </c>
      <c r="BE232" s="22">
        <f>IF(BE229="",0,BE230*BE229)</f>
        <v>0</v>
      </c>
      <c r="BG232" s="13"/>
    </row>
    <row r="233" spans="47:59" x14ac:dyDescent="0.2"/>
    <row r="234" spans="47:59" x14ac:dyDescent="0.2">
      <c r="AU234" s="18" t="s">
        <v>78</v>
      </c>
      <c r="AV234" s="20" t="s">
        <v>77</v>
      </c>
    </row>
    <row r="235" spans="47:59" x14ac:dyDescent="0.2">
      <c r="AU235" s="12" t="s">
        <v>76</v>
      </c>
    </row>
    <row r="236" spans="47:59" x14ac:dyDescent="0.2">
      <c r="AU236" s="1" t="s">
        <v>75</v>
      </c>
      <c r="AV236" s="1" t="s">
        <v>74</v>
      </c>
      <c r="BE236" s="17">
        <f>IF(AJ58="x",AK58,IF(AJ59="x",AK59,IF(AJ60="x",AK60,0)))</f>
        <v>0</v>
      </c>
    </row>
    <row r="237" spans="47:59" x14ac:dyDescent="0.2">
      <c r="AU237" s="1" t="s">
        <v>73</v>
      </c>
      <c r="AV237" s="1" t="s">
        <v>72</v>
      </c>
      <c r="BE237" s="17">
        <f>IF(AJ58="x",AL58,IF(AJ59="x",AL59,IF(AJ60="x",AL60,0)))</f>
        <v>0</v>
      </c>
    </row>
    <row r="238" spans="47:59" x14ac:dyDescent="0.2">
      <c r="AU238" s="1" t="s">
        <v>71</v>
      </c>
      <c r="AV238" s="1" t="s">
        <v>70</v>
      </c>
      <c r="BE238" s="17">
        <f>IF(AJ58="x",AM58,IF(AJ59="x",AM59,IF(AJ60="x",AM60,0)))</f>
        <v>0</v>
      </c>
    </row>
    <row r="239" spans="47:59" x14ac:dyDescent="0.2">
      <c r="AU239" s="1" t="s">
        <v>69</v>
      </c>
      <c r="AV239" s="1" t="s">
        <v>68</v>
      </c>
      <c r="BE239" s="17">
        <f>IF($R$22="Techo flotante externo",0.7,0)</f>
        <v>0</v>
      </c>
    </row>
    <row r="240" spans="47:59" x14ac:dyDescent="0.2">
      <c r="AU240" s="1" t="s">
        <v>67</v>
      </c>
      <c r="AV240" s="1" t="s">
        <v>66</v>
      </c>
      <c r="BE240" s="4">
        <f>(V/0.44704)</f>
        <v>0</v>
      </c>
    </row>
    <row r="241" spans="47:59" x14ac:dyDescent="0.2"/>
    <row r="242" spans="47:59" x14ac:dyDescent="0.2">
      <c r="AU242" s="1" t="s">
        <v>65</v>
      </c>
      <c r="AV242" s="1" t="s">
        <v>64</v>
      </c>
      <c r="BE242" s="21" t="str">
        <f>IF(BE236=0,"",BE236+(BE237*((BE239*BE240)^BE238)))</f>
        <v/>
      </c>
    </row>
    <row r="243" spans="47:59" x14ac:dyDescent="0.2">
      <c r="AU243" s="1" t="s">
        <v>63</v>
      </c>
      <c r="AV243" s="1" t="s">
        <v>62</v>
      </c>
      <c r="BE243" s="17">
        <f>IF(AJ52="x",AN52,IF(AJ53="x",AN53,IF(AJ54="x",AN54,0)))</f>
        <v>0</v>
      </c>
    </row>
    <row r="244" spans="47:59" x14ac:dyDescent="0.2"/>
    <row r="245" spans="47:59" x14ac:dyDescent="0.2">
      <c r="AU245" s="12" t="s">
        <v>61</v>
      </c>
      <c r="AV245" s="20" t="s">
        <v>60</v>
      </c>
      <c r="BE245" s="19">
        <f>IF(BE242="",0,BE243*BE242)</f>
        <v>0</v>
      </c>
      <c r="BG245" s="13"/>
    </row>
    <row r="246" spans="47:59" x14ac:dyDescent="0.2"/>
    <row r="247" spans="47:59" x14ac:dyDescent="0.2">
      <c r="AU247" s="10" t="s">
        <v>59</v>
      </c>
      <c r="AV247" s="12" t="s">
        <v>58</v>
      </c>
      <c r="AX247" s="18" t="s">
        <v>57</v>
      </c>
    </row>
    <row r="248" spans="47:59" x14ac:dyDescent="0.2"/>
    <row r="249" spans="47:59" x14ac:dyDescent="0.2">
      <c r="AU249" s="1" t="s">
        <v>56</v>
      </c>
      <c r="AV249" s="1" t="s">
        <v>55</v>
      </c>
      <c r="BE249" s="17">
        <v>0</v>
      </c>
    </row>
    <row r="250" spans="47:59" x14ac:dyDescent="0.2">
      <c r="AU250" s="1" t="s">
        <v>54</v>
      </c>
      <c r="BE250" s="17">
        <v>0</v>
      </c>
    </row>
    <row r="251" spans="47:59" x14ac:dyDescent="0.2">
      <c r="AU251" s="1" t="s">
        <v>14</v>
      </c>
      <c r="AV251" s="1" t="s">
        <v>53</v>
      </c>
      <c r="BE251" s="17">
        <f>AR82</f>
        <v>0</v>
      </c>
    </row>
    <row r="252" spans="47:59" x14ac:dyDescent="0.2"/>
    <row r="253" spans="47:59" x14ac:dyDescent="0.2">
      <c r="AU253" s="12" t="s">
        <v>52</v>
      </c>
      <c r="AV253" s="12" t="s">
        <v>51</v>
      </c>
      <c r="BE253" s="16">
        <f>BE249*BE250*BE251^2</f>
        <v>0</v>
      </c>
    </row>
    <row r="254" spans="47:59" x14ac:dyDescent="0.2"/>
    <row r="255" spans="47:59" x14ac:dyDescent="0.2">
      <c r="AU255" s="10" t="s">
        <v>50</v>
      </c>
      <c r="AV255" s="4"/>
    </row>
    <row r="256" spans="47:59" x14ac:dyDescent="0.2"/>
    <row r="257" spans="47:61" x14ac:dyDescent="0.2"/>
    <row r="258" spans="47:61" x14ac:dyDescent="0.2">
      <c r="AU258" s="1" t="s">
        <v>49</v>
      </c>
      <c r="AV258" s="1" t="s">
        <v>48</v>
      </c>
      <c r="BE258" s="13" t="str">
        <f>BE259</f>
        <v/>
      </c>
      <c r="BF258" s="8"/>
    </row>
    <row r="259" spans="47:61" x14ac:dyDescent="0.2">
      <c r="BE259" s="7" t="str">
        <f>IF($R$22="Techo flotante externo",(BE261/BE260)/(1+(1-(BE261/BE260))^0.5)^2,"")</f>
        <v/>
      </c>
      <c r="BF259" s="8" t="s">
        <v>47</v>
      </c>
    </row>
    <row r="260" spans="47:61" x14ac:dyDescent="0.2">
      <c r="AU260" s="1" t="s">
        <v>46</v>
      </c>
      <c r="AV260" s="1" t="s">
        <v>45</v>
      </c>
      <c r="BE260" s="1">
        <f>(Pa/68.9475728)</f>
        <v>0</v>
      </c>
    </row>
    <row r="261" spans="47:61" x14ac:dyDescent="0.2">
      <c r="AU261" s="1" t="s">
        <v>44</v>
      </c>
      <c r="AV261" s="1" t="s">
        <v>43</v>
      </c>
      <c r="BE261" s="1" t="e">
        <f>ROUND(EXP(BE262-(BE263/(BE264+459.6))),2)</f>
        <v>#NUM!</v>
      </c>
    </row>
    <row r="262" spans="47:61" x14ac:dyDescent="0.2">
      <c r="AU262" s="15" t="s">
        <v>42</v>
      </c>
      <c r="AV262" s="1" t="s">
        <v>41</v>
      </c>
      <c r="BE262" s="1" t="e">
        <f>IF($O$7="Refinado",15.64-(1.854*(S^0.5))-((0.8742-(0.328*(S^0.5)))*LN(RVP)),12.82-0.9672*LN(RVP))</f>
        <v>#NUM!</v>
      </c>
    </row>
    <row r="263" spans="47:61" x14ac:dyDescent="0.2">
      <c r="AU263" s="15" t="s">
        <v>40</v>
      </c>
      <c r="AV263" s="1" t="s">
        <v>39</v>
      </c>
      <c r="BE263" s="1" t="e">
        <f>IF($O$7="Refinado",8742-(1042*(S^0.5))-((1049-(179.4*(S^0.5)))*LN(RVP)),7261-1216*LN(RVP))</f>
        <v>#NUM!</v>
      </c>
      <c r="BG263" s="14" t="s">
        <v>38</v>
      </c>
      <c r="BI263" s="14" t="s">
        <v>37</v>
      </c>
    </row>
    <row r="264" spans="47:61" x14ac:dyDescent="0.2">
      <c r="AU264" s="1" t="s">
        <v>36</v>
      </c>
      <c r="AV264" s="1" t="s">
        <v>35</v>
      </c>
      <c r="BB264" s="1" t="s">
        <v>34</v>
      </c>
      <c r="BE264" s="7" t="str">
        <f>IF(COLOR="Blanco",(Ta*1.8+32)+0,IF(COLOR="Negro",(Ta*1.8+32)+5,""))</f>
        <v/>
      </c>
      <c r="BF264" s="8"/>
    </row>
    <row r="265" spans="47:61" x14ac:dyDescent="0.2"/>
    <row r="266" spans="47:61" x14ac:dyDescent="0.2">
      <c r="AU266" s="12" t="s">
        <v>33</v>
      </c>
      <c r="BE266" s="13" t="str">
        <f>IF(Mv="","",Mv)</f>
        <v/>
      </c>
      <c r="BF266" s="6" t="s">
        <v>32</v>
      </c>
    </row>
    <row r="267" spans="47:61" x14ac:dyDescent="0.2">
      <c r="AU267" s="12" t="s">
        <v>31</v>
      </c>
      <c r="BE267" s="13">
        <f>IF(Producto="Refinado",1,0.4)</f>
        <v>0.4</v>
      </c>
      <c r="BF267" s="6" t="s">
        <v>30</v>
      </c>
    </row>
    <row r="268" spans="47:61" x14ac:dyDescent="0.2"/>
    <row r="269" spans="47:61" x14ac:dyDescent="0.2">
      <c r="AU269" s="12" t="s">
        <v>29</v>
      </c>
      <c r="AV269" s="12"/>
      <c r="AW269" s="12"/>
      <c r="BE269" s="13" t="str">
        <f>IF(BE266="","",0.08*BE266)</f>
        <v/>
      </c>
    </row>
    <row r="270" spans="47:61" ht="14.25" x14ac:dyDescent="0.25">
      <c r="AU270" s="10" t="s">
        <v>28</v>
      </c>
      <c r="AV270" s="12" t="s">
        <v>27</v>
      </c>
      <c r="BE270" s="11" t="e">
        <f>SUM($BE$106,$BE$119,$BE$128,$BE$141,$BE$154,$BE$167,$BE$180,$BE$193,$BE$206,$BE$219,$BE$232,$BE$245)</f>
        <v>#REF!</v>
      </c>
    </row>
    <row r="271" spans="47:61" x14ac:dyDescent="0.2">
      <c r="AU271" s="10" t="s">
        <v>26</v>
      </c>
      <c r="AV271" s="4"/>
      <c r="AW271" s="4"/>
      <c r="BE271" s="3" t="str">
        <f>IF($R$22="","",IF($R$22="Techo fijo cónico","",IF($R$22="Techo flotante externo",(BE90+BE270+BE253)*BE258*BE266*BE267)))</f>
        <v/>
      </c>
    </row>
    <row r="272" spans="47:61" x14ac:dyDescent="0.2"/>
    <row r="273" spans="47:58" x14ac:dyDescent="0.2">
      <c r="AU273" s="10" t="s">
        <v>25</v>
      </c>
      <c r="AV273" s="4"/>
      <c r="AW273" s="4"/>
      <c r="BE273" s="9" t="str">
        <f>IF(BE271="","",BE271/(42*BE269))</f>
        <v/>
      </c>
    </row>
    <row r="274" spans="47:58" x14ac:dyDescent="0.2">
      <c r="AU274" s="10" t="s">
        <v>24</v>
      </c>
      <c r="AV274" s="4"/>
      <c r="AW274" s="4"/>
      <c r="BE274" s="9" t="str">
        <f>IF(BE271="","",BE273/365*AL7)</f>
        <v/>
      </c>
    </row>
    <row r="275" spans="47:58" x14ac:dyDescent="0.2"/>
    <row r="276" spans="47:58" x14ac:dyDescent="0.2">
      <c r="AU276" s="5" t="s">
        <v>23</v>
      </c>
      <c r="AV276" s="4"/>
    </row>
    <row r="277" spans="47:58" x14ac:dyDescent="0.2">
      <c r="AU277" s="1" t="s">
        <v>22</v>
      </c>
      <c r="AV277" s="1" t="s">
        <v>21</v>
      </c>
      <c r="BE277" s="1">
        <f>Q</f>
        <v>0</v>
      </c>
    </row>
    <row r="278" spans="47:58" x14ac:dyDescent="0.2">
      <c r="AU278" s="1" t="s">
        <v>20</v>
      </c>
      <c r="AV278" s="1" t="s">
        <v>19</v>
      </c>
      <c r="AX278" s="8" t="s">
        <v>18</v>
      </c>
      <c r="AY278" s="8" t="s">
        <v>17</v>
      </c>
      <c r="BE278" s="7" t="str">
        <f>IF(L19="Óxido Ligero",0.006,IF(L19="Óxido Denso",0.03,IF(L19="Revestimiento",0.6,"")))</f>
        <v/>
      </c>
    </row>
    <row r="279" spans="47:58" x14ac:dyDescent="0.2">
      <c r="AU279" s="1" t="s">
        <v>16</v>
      </c>
      <c r="AV279" s="1" t="s">
        <v>15</v>
      </c>
      <c r="BE279" s="7" t="str">
        <f>RHO</f>
        <v/>
      </c>
    </row>
    <row r="280" spans="47:58" x14ac:dyDescent="0.2">
      <c r="AU280" s="1" t="s">
        <v>14</v>
      </c>
      <c r="AV280" s="1" t="s">
        <v>13</v>
      </c>
      <c r="BE280" s="1">
        <f>D*3.2808</f>
        <v>0</v>
      </c>
    </row>
    <row r="281" spans="47:58" x14ac:dyDescent="0.2">
      <c r="AU281" s="1" t="s">
        <v>12</v>
      </c>
      <c r="AV281" s="1" t="s">
        <v>11</v>
      </c>
      <c r="BE281" s="1">
        <v>0</v>
      </c>
      <c r="BF281" s="6" t="s">
        <v>10</v>
      </c>
    </row>
    <row r="282" spans="47:58" x14ac:dyDescent="0.2">
      <c r="AU282" s="1" t="s">
        <v>9</v>
      </c>
      <c r="AV282" s="1" t="s">
        <v>8</v>
      </c>
      <c r="BE282" s="1">
        <v>0</v>
      </c>
    </row>
    <row r="283" spans="47:58" x14ac:dyDescent="0.2"/>
    <row r="284" spans="47:58" x14ac:dyDescent="0.2">
      <c r="AU284" s="1" t="s">
        <v>5</v>
      </c>
      <c r="AV284" s="1" t="s">
        <v>7</v>
      </c>
      <c r="BE284" s="3" t="str">
        <f>IF(R22="Techo Fijo Cónico","",IF(R22="","",0.943*BE277*BE278*BE279/BE280*(1+(BE281*BE282)/BE280)))</f>
        <v/>
      </c>
    </row>
    <row r="285" spans="47:58" x14ac:dyDescent="0.2">
      <c r="AU285" s="1" t="s">
        <v>5</v>
      </c>
      <c r="AV285" s="1" t="s">
        <v>6</v>
      </c>
      <c r="BE285" s="3" t="str">
        <f>IF(BE284="","",BE284/(42*RHO))</f>
        <v/>
      </c>
    </row>
    <row r="286" spans="47:58" x14ac:dyDescent="0.2">
      <c r="AU286" s="1" t="s">
        <v>5</v>
      </c>
      <c r="AV286" s="1" t="s">
        <v>4</v>
      </c>
      <c r="BE286" s="3" t="str">
        <f>IF(BE284="","",BE285/365*AL7)</f>
        <v/>
      </c>
    </row>
    <row r="287" spans="47:58" x14ac:dyDescent="0.2">
      <c r="AU287" s="5" t="s">
        <v>3</v>
      </c>
      <c r="AV287" s="4"/>
    </row>
    <row r="288" spans="47:58" x14ac:dyDescent="0.2">
      <c r="AU288" s="1" t="s">
        <v>2</v>
      </c>
      <c r="BE288" s="3" t="str">
        <f>IF(BE271="","",BE271+BE284)</f>
        <v/>
      </c>
    </row>
    <row r="289" spans="47:57" x14ac:dyDescent="0.2">
      <c r="AU289" s="1" t="s">
        <v>1</v>
      </c>
      <c r="BE289" s="3" t="str">
        <f>IF(BE273="","",BE273+BE285)</f>
        <v/>
      </c>
    </row>
    <row r="290" spans="47:57" x14ac:dyDescent="0.2">
      <c r="AU290" s="1" t="s">
        <v>0</v>
      </c>
      <c r="BE290" s="3" t="str">
        <f>IF(BE274="","",BE274+BE286)</f>
        <v/>
      </c>
    </row>
    <row r="291" spans="47:57" x14ac:dyDescent="0.2">
      <c r="BE291" s="2"/>
    </row>
    <row r="292" spans="47:57" x14ac:dyDescent="0.2"/>
    <row r="293" spans="47:57" x14ac:dyDescent="0.2"/>
    <row r="294" spans="47:57" x14ac:dyDescent="0.2"/>
    <row r="295" spans="47:57" x14ac:dyDescent="0.2"/>
    <row r="296" spans="47:57" x14ac:dyDescent="0.2"/>
    <row r="297" spans="47:57" x14ac:dyDescent="0.2"/>
    <row r="298" spans="47:57" x14ac:dyDescent="0.2"/>
  </sheetData>
  <sheetProtection selectLockedCells="1"/>
  <mergeCells count="74">
    <mergeCell ref="T104:W104"/>
    <mergeCell ref="Y104:AB104"/>
    <mergeCell ref="Y103:AB103"/>
    <mergeCell ref="O102:R102"/>
    <mergeCell ref="T102:W102"/>
    <mergeCell ref="O103:R103"/>
    <mergeCell ref="T103:W103"/>
    <mergeCell ref="C4:J4"/>
    <mergeCell ref="Z4:AG4"/>
    <mergeCell ref="K4:Q4"/>
    <mergeCell ref="R4:Y4"/>
    <mergeCell ref="AP63:AQ63"/>
    <mergeCell ref="K3:AG3"/>
    <mergeCell ref="O7:Q7"/>
    <mergeCell ref="M21:N21"/>
    <mergeCell ref="M22:N22"/>
    <mergeCell ref="Y102:AB102"/>
    <mergeCell ref="G100:AB100"/>
    <mergeCell ref="AB35:AF35"/>
    <mergeCell ref="B24:P24"/>
    <mergeCell ref="AC13:AD13"/>
    <mergeCell ref="AC14:AD14"/>
    <mergeCell ref="AC15:AD15"/>
    <mergeCell ref="AC16:AD16"/>
    <mergeCell ref="AC17:AD17"/>
    <mergeCell ref="B11:P11"/>
    <mergeCell ref="R11:AG11"/>
    <mergeCell ref="G7:J7"/>
    <mergeCell ref="K2:AG2"/>
    <mergeCell ref="O9:R9"/>
    <mergeCell ref="T111:W111"/>
    <mergeCell ref="Y111:AB111"/>
    <mergeCell ref="J108:Z108"/>
    <mergeCell ref="AE9:AF9"/>
    <mergeCell ref="AC18:AD18"/>
    <mergeCell ref="AC19:AE19"/>
    <mergeCell ref="M13:N13"/>
    <mergeCell ref="M14:N14"/>
    <mergeCell ref="M15:N15"/>
    <mergeCell ref="M16:N16"/>
    <mergeCell ref="X7:Z7"/>
    <mergeCell ref="X9:Z9"/>
    <mergeCell ref="G109:AB109"/>
    <mergeCell ref="M18:N18"/>
    <mergeCell ref="O105:R105"/>
    <mergeCell ref="T105:W105"/>
    <mergeCell ref="Y105:AB105"/>
    <mergeCell ref="M17:N17"/>
    <mergeCell ref="M20:N20"/>
    <mergeCell ref="M27:O27"/>
    <mergeCell ref="M28:O28"/>
    <mergeCell ref="M29:O29"/>
    <mergeCell ref="M30:O30"/>
    <mergeCell ref="M31:O31"/>
    <mergeCell ref="R21:AG21"/>
    <mergeCell ref="R24:AG24"/>
    <mergeCell ref="B33:AG33"/>
    <mergeCell ref="R22:X22"/>
    <mergeCell ref="M26:O26"/>
    <mergeCell ref="O104:R104"/>
    <mergeCell ref="O111:R111"/>
    <mergeCell ref="T126:AE126"/>
    <mergeCell ref="D126:O126"/>
    <mergeCell ref="T124:AE125"/>
    <mergeCell ref="D124:O125"/>
    <mergeCell ref="T114:W114"/>
    <mergeCell ref="Y114:AB114"/>
    <mergeCell ref="O112:R112"/>
    <mergeCell ref="T112:W112"/>
    <mergeCell ref="Y112:AB112"/>
    <mergeCell ref="O113:R113"/>
    <mergeCell ref="T113:W113"/>
    <mergeCell ref="Y113:AB113"/>
    <mergeCell ref="O114:R114"/>
  </mergeCells>
  <dataValidations count="22">
    <dataValidation allowBlank="1" showInputMessage="1" showErrorMessage="1" prompt="Requerido para todo tipo de tanque y producto." sqref="AC17:AD17" xr:uid="{00000000-0002-0000-0000-000015000000}"/>
    <dataValidation allowBlank="1" showInputMessage="1" showErrorMessage="1" prompt="Opcional. Dato de carácter meramente informativo." sqref="AC15:AD15" xr:uid="{00000000-0002-0000-0000-000014000000}"/>
    <dataValidation allowBlank="1" showInputMessage="1" showErrorMessage="1" prompt="No requerido para tanques de techo fijo." sqref="AC13:AD13" xr:uid="{00000000-0002-0000-0000-000013000000}"/>
    <dataValidation allowBlank="1" showInputMessage="1" showErrorMessage="1" prompt="Requerido solo para productos refinados." sqref="AC16:AD16" xr:uid="{00000000-0002-0000-0000-000012000000}"/>
    <dataValidation allowBlank="1" showInputMessage="1" showErrorMessage="1" prompt="Requerida para tanques de techo flotante externo" sqref="M31:N31" xr:uid="{00000000-0002-0000-0000-000011000000}"/>
    <dataValidation allowBlank="1" showInputMessage="1" showErrorMessage="1" prompt="Requerido para tanques de techo fijo" sqref="M30:N30" xr:uid="{00000000-0002-0000-0000-000010000000}"/>
    <dataValidation allowBlank="1" showInputMessage="1" showErrorMessage="1" prompt="Requerida para tanques de techo flotante" sqref="M28:N29" xr:uid="{00000000-0002-0000-0000-00000F000000}"/>
    <dataValidation allowBlank="1" showInputMessage="1" showErrorMessage="1" prompt="Requerida para tanques de techo fijo" sqref="M27:N27 M26" xr:uid="{00000000-0002-0000-0000-00000E000000}"/>
    <dataValidation allowBlank="1" showInputMessage="1" showErrorMessage="1" promptTitle="FECHA FINAL DEL PERÍODO" prompt="dd/mm/aaaa" sqref="X9:Z9" xr:uid="{00000000-0002-0000-0000-00000D000000}"/>
    <dataValidation allowBlank="1" showInputMessage="1" showErrorMessage="1" promptTitle="FECHA INICIAL DEL PERÍODO" prompt="dd/mm/aaaa" sqref="X7:Z7" xr:uid="{00000000-0002-0000-0000-00000C000000}"/>
    <dataValidation allowBlank="1" showInputMessage="1" showErrorMessage="1" prompt="No requerido en tanques de techo flotante" sqref="M14:N16" xr:uid="{00000000-0002-0000-0000-00000B000000}"/>
    <dataValidation allowBlank="1" showInputMessage="1" showErrorMessage="1" promptTitle="SELLOS DE LA CUBIERTA" prompt="Seleccionar únicamente un tipo de sello." sqref="AB35:AF35" xr:uid="{00000000-0002-0000-0000-00000A000000}"/>
    <dataValidation allowBlank="1" showInputMessage="1" showErrorMessage="1" prompt="Para tanques de techo fijo se asocia con recibos de producto._x000a_Para tanques de techo flotante se asocia con despachos de producto." sqref="AC19:AE19" xr:uid="{00000000-0002-0000-0000-000009000000}"/>
    <dataValidation allowBlank="1" showInputMessage="1" showErrorMessage="1" promptTitle="ÚNICAMENTE TANQUES DE TECHO FIJO" prompt="Valor típico 0,0625" sqref="M22:N22" xr:uid="{00000000-0002-0000-0000-000008000000}"/>
    <dataValidation allowBlank="1" showInputMessage="1" showErrorMessage="1" promptTitle="ÚNICAMENTE TANQUES DE TECHO FIJO" prompt="Ajuste de vacío: típico -0,03" sqref="M21:N21" xr:uid="{00000000-0002-0000-0000-000007000000}"/>
    <dataValidation allowBlank="1" showInputMessage="1" showErrorMessage="1" promptTitle="ÚNICAMENTE TANQUES DE TECHO FIJO" prompt="Ajuste de presión: típico 0,03" sqref="M20:N20" xr:uid="{00000000-0002-0000-0000-000006000000}"/>
    <dataValidation type="list" allowBlank="1" showInputMessage="1" showErrorMessage="1" sqref="R22" xr:uid="{00000000-0002-0000-0000-000005000000}">
      <formula1>$AK$9:$AK$11</formula1>
    </dataValidation>
    <dataValidation type="list" allowBlank="1" showInputMessage="1" showErrorMessage="1" sqref="O7:Q8" xr:uid="{00000000-0002-0000-0000-000004000000}">
      <formula1>$AK$13:$AK$15</formula1>
    </dataValidation>
    <dataValidation type="list" allowBlank="1" showInputMessage="1" showErrorMessage="1" prompt="Requerido solo para tanques de techo fijo. Opcional para tanques EFRT." sqref="M18:N18" xr:uid="{00000000-0002-0000-0000-000003000000}">
      <formula1>$AM$18:$AM$20</formula1>
    </dataValidation>
    <dataValidation type="list" allowBlank="1" showInputMessage="1" showErrorMessage="1" prompt="Solamente se consideran colores BLANCO y NEGRO." sqref="M17:N17" xr:uid="{00000000-0002-0000-0000-000002000000}">
      <formula1>$AK$16:$AK$18</formula1>
    </dataValidation>
    <dataValidation type="list" allowBlank="1" showInputMessage="1" showErrorMessage="1" prompt="Ingresar solo para tanques de techo flotante" sqref="L19:N19" xr:uid="{00000000-0002-0000-0000-000001000000}">
      <formula1>$AM$13:$AM$16</formula1>
    </dataValidation>
    <dataValidation type="list" allowBlank="1" showInputMessage="1" showErrorMessage="1" sqref="S7:S8" xr:uid="{00000000-0002-0000-0000-000000000000}">
      <formula1>$AK$13:$AK$14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scale="66" fitToHeight="0" orientation="portrait" verticalDpi="597" r:id="rId1"/>
  <headerFooter alignWithMargins="0"/>
  <rowBreaks count="1" manualBreakCount="1">
    <brk id="84" min="1" max="32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48216-CF72-40C2-8D99-4FFAB4745C9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24</vt:i4>
      </vt:variant>
    </vt:vector>
  </HeadingPairs>
  <TitlesOfParts>
    <vt:vector size="26" baseType="lpstr">
      <vt:lpstr>ECP-VIN-P-MBC-FT-038</vt:lpstr>
      <vt:lpstr>Hoja1</vt:lpstr>
      <vt:lpstr>API</vt:lpstr>
      <vt:lpstr>'ECP-VIN-P-MBC-FT-038'!Área_de_impresión</vt:lpstr>
      <vt:lpstr>CL</vt:lpstr>
      <vt:lpstr>COLOR</vt:lpstr>
      <vt:lpstr>D</vt:lpstr>
      <vt:lpstr>HL</vt:lpstr>
      <vt:lpstr>HLX</vt:lpstr>
      <vt:lpstr>HS</vt:lpstr>
      <vt:lpstr>I</vt:lpstr>
      <vt:lpstr>Mv</vt:lpstr>
      <vt:lpstr>Pa</vt:lpstr>
      <vt:lpstr>PER</vt:lpstr>
      <vt:lpstr>Producto</vt:lpstr>
      <vt:lpstr>Q</vt:lpstr>
      <vt:lpstr>RHO</vt:lpstr>
      <vt:lpstr>RVP</vt:lpstr>
      <vt:lpstr>S</vt:lpstr>
      <vt:lpstr>SR</vt:lpstr>
      <vt:lpstr>Ta</vt:lpstr>
      <vt:lpstr>'ECP-VIN-P-MBC-FT-038'!Títulos_a_imprimir</vt:lpstr>
      <vt:lpstr>TMAX</vt:lpstr>
      <vt:lpstr>TMIN</vt:lpstr>
      <vt:lpstr>Ts</vt:lpstr>
      <vt:lpstr>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Gisselle Herrera</dc:creator>
  <cp:lastModifiedBy>Aurelio Esquivia Lopez</cp:lastModifiedBy>
  <dcterms:created xsi:type="dcterms:W3CDTF">2021-10-22T22:13:43Z</dcterms:created>
  <dcterms:modified xsi:type="dcterms:W3CDTF">2021-10-27T15:02:50Z</dcterms:modified>
</cp:coreProperties>
</file>