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Marco Aurelio\Proyectos\GDA\Portafolio\Excel\"/>
    </mc:Choice>
  </mc:AlternateContent>
  <xr:revisionPtr revIDLastSave="0" documentId="13_ncr:1_{9DB18FE6-36F2-4FC4-93E6-94B2D8B277EA}" xr6:coauthVersionLast="47" xr6:coauthVersionMax="47" xr10:uidLastSave="{00000000-0000-0000-0000-000000000000}"/>
  <bookViews>
    <workbookView xWindow="-120" yWindow="-120" windowWidth="20640" windowHeight="11160" xr2:uid="{C4986699-226B-46A4-86E9-70E05F8705BF}"/>
  </bookViews>
  <sheets>
    <sheet name="Análisis de varianza" sheetId="1" r:id="rId1"/>
    <sheet name="Regresión lineal" sheetId="2" r:id="rId2"/>
    <sheet name="Normalidad,exactitud,yprecisión" sheetId="3" r:id="rId3"/>
    <sheet name="Estudio de dureza" sheetId="6" r:id="rId4"/>
    <sheet name="ANOVA 2F" sheetId="5" r:id="rId5"/>
  </sheets>
  <definedNames>
    <definedName name="Valor">'Estudio de dureza'!$C$6:$E$15</definedName>
    <definedName name="Valore">'Estudio de dureza'!$C$6:$E$15</definedName>
    <definedName name="Valores">'Estudio de dureza'!$C$6:$E$15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5" l="1"/>
  <c r="L12" i="5"/>
  <c r="K12" i="1"/>
  <c r="J12" i="1"/>
  <c r="H12" i="5"/>
  <c r="I12" i="5"/>
  <c r="I4" i="5"/>
  <c r="G6" i="5"/>
  <c r="G7" i="5"/>
  <c r="G6" i="1"/>
  <c r="G5" i="5"/>
  <c r="G4" i="5"/>
  <c r="G12" i="5"/>
  <c r="AB16" i="6"/>
  <c r="Z16" i="6"/>
  <c r="Y17" i="6"/>
  <c r="X17" i="6"/>
  <c r="M5" i="6"/>
  <c r="J5" i="6"/>
  <c r="H17" i="6"/>
  <c r="H20" i="6"/>
  <c r="H19" i="6"/>
  <c r="H18" i="6"/>
  <c r="C20" i="6"/>
  <c r="Q18" i="6" l="1"/>
  <c r="P18" i="6"/>
  <c r="R22" i="3"/>
  <c r="N22" i="3"/>
  <c r="M6" i="3"/>
  <c r="W11" i="3"/>
  <c r="G20" i="3"/>
  <c r="G12" i="3"/>
  <c r="F12" i="3"/>
  <c r="F6" i="3"/>
  <c r="R11" i="2"/>
  <c r="Q11" i="2"/>
  <c r="H14" i="2"/>
  <c r="H13" i="2"/>
  <c r="H12" i="2"/>
  <c r="H11" i="2"/>
  <c r="H10" i="2"/>
  <c r="K18" i="2" s="1"/>
  <c r="H9" i="2"/>
  <c r="H8" i="2"/>
  <c r="H7" i="2"/>
  <c r="H6" i="2"/>
  <c r="H15" i="2" l="1"/>
  <c r="G4" i="1"/>
  <c r="I4" i="1" s="1"/>
  <c r="I6" i="1"/>
  <c r="G5" i="1"/>
  <c r="I5" i="1" s="1"/>
  <c r="H13" i="1" l="1"/>
  <c r="H14" i="1"/>
  <c r="H12" i="1"/>
  <c r="N23" i="3" l="1"/>
  <c r="O23" i="3"/>
  <c r="L6" i="3" l="1"/>
  <c r="G12" i="1" l="1"/>
  <c r="G13" i="1"/>
  <c r="I6" i="5"/>
  <c r="G13" i="5"/>
  <c r="I7" i="5"/>
  <c r="G14" i="5"/>
  <c r="K13" i="5" s="1"/>
  <c r="I5" i="5"/>
  <c r="K12" i="5"/>
  <c r="K8" i="2"/>
  <c r="K9" i="2"/>
  <c r="K11" i="2"/>
  <c r="K12" i="2"/>
  <c r="K13" i="2"/>
  <c r="K14" i="2"/>
  <c r="G6" i="2"/>
  <c r="G7" i="2"/>
  <c r="J7" i="2" s="1"/>
  <c r="G8" i="2"/>
  <c r="J8" i="2" s="1"/>
  <c r="G9" i="2"/>
  <c r="G10" i="2"/>
  <c r="J10" i="2" s="1"/>
  <c r="G11" i="2"/>
  <c r="G12" i="2"/>
  <c r="I12" i="2" s="1"/>
  <c r="G13" i="2"/>
  <c r="J13" i="2" s="1"/>
  <c r="G14" i="2"/>
  <c r="H7" i="6"/>
  <c r="H6" i="6"/>
  <c r="R12" i="2"/>
  <c r="Q12" i="2"/>
  <c r="F5" i="3"/>
  <c r="K6" i="2"/>
  <c r="K10" i="2"/>
  <c r="G15" i="5"/>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X16" i="6"/>
  <c r="C17" i="6"/>
  <c r="D17" i="6"/>
  <c r="E17" i="6"/>
  <c r="E20" i="6" s="1"/>
  <c r="C18" i="6"/>
  <c r="D18" i="6"/>
  <c r="E18" i="6"/>
  <c r="H5" i="6"/>
  <c r="C19" i="6"/>
  <c r="D19" i="6"/>
  <c r="E19" i="6"/>
  <c r="F7" i="3"/>
  <c r="F8" i="3"/>
  <c r="G6" i="3"/>
  <c r="G5" i="3"/>
  <c r="F17" i="3" s="1"/>
  <c r="G7" i="3"/>
  <c r="G8" i="3"/>
  <c r="G17" i="3"/>
  <c r="H6" i="3"/>
  <c r="H5" i="3"/>
  <c r="F19" i="3" s="1"/>
  <c r="G18" i="3"/>
  <c r="H7" i="3"/>
  <c r="G19" i="3" s="1"/>
  <c r="H8" i="3"/>
  <c r="R23" i="3"/>
  <c r="G14" i="1"/>
  <c r="P6" i="3"/>
  <c r="Q6" i="3" s="1"/>
  <c r="R6" i="3" s="1"/>
  <c r="P7" i="3"/>
  <c r="Q7" i="3"/>
  <c r="R7" i="3" s="1"/>
  <c r="P8" i="3"/>
  <c r="Q8" i="3" s="1"/>
  <c r="R8" i="3" s="1"/>
  <c r="P9" i="3"/>
  <c r="Q9" i="3"/>
  <c r="R9" i="3" s="1"/>
  <c r="P10" i="3"/>
  <c r="Q10" i="3" s="1"/>
  <c r="R10" i="3" s="1"/>
  <c r="P11" i="3"/>
  <c r="Q11" i="3" s="1"/>
  <c r="R11" i="3" s="1"/>
  <c r="P12" i="3"/>
  <c r="Q12" i="3"/>
  <c r="R12" i="3" s="1"/>
  <c r="P13" i="3"/>
  <c r="Q13" i="3" s="1"/>
  <c r="R13" i="3" s="1"/>
  <c r="P14" i="3"/>
  <c r="Q14" i="3" s="1"/>
  <c r="R14" i="3" s="1"/>
  <c r="W9" i="3"/>
  <c r="L7" i="3"/>
  <c r="N7" i="3" s="1"/>
  <c r="L8" i="3"/>
  <c r="N8" i="3" s="1"/>
  <c r="L9" i="3"/>
  <c r="N9" i="3" s="1"/>
  <c r="L10" i="3"/>
  <c r="N10" i="3" s="1"/>
  <c r="L11" i="3"/>
  <c r="N11" i="3" s="1"/>
  <c r="L12" i="3"/>
  <c r="N12" i="3"/>
  <c r="L13" i="3"/>
  <c r="N13" i="3" s="1"/>
  <c r="L14" i="3"/>
  <c r="N14" i="3" s="1"/>
  <c r="N6" i="3"/>
  <c r="F13" i="3"/>
  <c r="F18" i="3"/>
  <c r="F20" i="3"/>
  <c r="D20" i="6" l="1"/>
  <c r="Y16" i="6"/>
  <c r="AB6" i="6"/>
  <c r="AB5" i="6"/>
  <c r="AB7" i="6" s="1"/>
  <c r="AB17" i="6"/>
  <c r="Z17" i="6"/>
  <c r="G14" i="3"/>
  <c r="G16" i="3"/>
  <c r="G13" i="3"/>
  <c r="F15" i="3"/>
  <c r="F16" i="3"/>
  <c r="F14" i="3"/>
  <c r="I13" i="2"/>
  <c r="J11" i="2"/>
  <c r="I11" i="2"/>
  <c r="G15" i="2"/>
  <c r="K17" i="2"/>
  <c r="I7" i="2"/>
  <c r="J6" i="2"/>
  <c r="I6" i="2"/>
  <c r="K7" i="2"/>
  <c r="K15" i="2" s="1"/>
  <c r="I9" i="2"/>
  <c r="J9" i="2"/>
  <c r="J12" i="2"/>
  <c r="I14" i="2"/>
  <c r="I13" i="1"/>
  <c r="I12" i="1"/>
  <c r="H13" i="5"/>
  <c r="I13" i="5" s="1"/>
  <c r="W6" i="3"/>
  <c r="G15" i="3"/>
  <c r="K13" i="3" s="1"/>
  <c r="H14" i="5"/>
  <c r="I14" i="5" s="1"/>
  <c r="J13" i="5" s="1"/>
  <c r="H15" i="5"/>
  <c r="K7" i="3"/>
  <c r="K8" i="3"/>
  <c r="K12" i="3"/>
  <c r="K15" i="1"/>
  <c r="I8" i="2"/>
  <c r="I10" i="2"/>
  <c r="J14" i="2"/>
  <c r="J12" i="5" l="1"/>
  <c r="I15" i="2"/>
  <c r="J15" i="2"/>
  <c r="L12" i="1"/>
  <c r="M13" i="5"/>
  <c r="S7" i="3"/>
  <c r="Y5" i="6"/>
  <c r="Y6" i="6"/>
  <c r="S12" i="3"/>
  <c r="N18" i="2"/>
  <c r="O18" i="2"/>
  <c r="S8" i="3"/>
  <c r="K9" i="3"/>
  <c r="S13" i="3"/>
  <c r="K14" i="3"/>
  <c r="K11" i="3"/>
  <c r="K10" i="3"/>
  <c r="K6" i="3"/>
  <c r="M12" i="5" l="1"/>
  <c r="Y7" i="6"/>
  <c r="K16" i="3"/>
  <c r="K17" i="3"/>
  <c r="H17" i="2"/>
  <c r="H19" i="2"/>
  <c r="S10" i="3"/>
  <c r="S14" i="3"/>
  <c r="T14" i="3"/>
  <c r="R24" i="3"/>
  <c r="M10" i="3"/>
  <c r="O10" i="3" s="1"/>
  <c r="S6" i="3"/>
  <c r="T6" i="3"/>
  <c r="O6" i="3"/>
  <c r="S11" i="3"/>
  <c r="T11" i="3"/>
  <c r="T9" i="3"/>
  <c r="S9" i="3"/>
  <c r="M9" i="3"/>
  <c r="O9" i="3" s="1"/>
  <c r="K5" i="6"/>
  <c r="J6" i="6" l="1"/>
  <c r="M11" i="3"/>
  <c r="O11" i="3" s="1"/>
  <c r="H18" i="2"/>
  <c r="N5" i="2"/>
  <c r="W5" i="3"/>
  <c r="M14" i="3"/>
  <c r="O14" i="3" s="1"/>
  <c r="N24" i="3"/>
  <c r="T7" i="3"/>
  <c r="M12" i="3"/>
  <c r="O12" i="3" s="1"/>
  <c r="M8" i="3"/>
  <c r="O8" i="3" s="1"/>
  <c r="T13" i="3"/>
  <c r="M7" i="3"/>
  <c r="O7" i="3" s="1"/>
  <c r="T12" i="3"/>
  <c r="T8" i="3"/>
  <c r="M13" i="3"/>
  <c r="O13" i="3" s="1"/>
  <c r="K6" i="6"/>
  <c r="L6" i="6" s="1"/>
  <c r="L5" i="6"/>
  <c r="T10" i="3"/>
  <c r="M6" i="6" l="1"/>
  <c r="N6" i="6" s="1"/>
  <c r="L14" i="2"/>
  <c r="L9" i="2"/>
  <c r="L10" i="2"/>
  <c r="L11" i="2"/>
  <c r="L7" i="2"/>
  <c r="L13" i="2"/>
  <c r="L6" i="2"/>
  <c r="L8" i="2"/>
  <c r="L12" i="2"/>
  <c r="N7" i="2"/>
  <c r="O7" i="2" s="1"/>
  <c r="P11" i="2" s="1"/>
  <c r="S11" i="2" s="1"/>
  <c r="O5" i="2"/>
  <c r="P12" i="2" s="1"/>
  <c r="S12" i="2" s="1"/>
  <c r="W7" i="3"/>
  <c r="W8" i="3" s="1"/>
  <c r="P5" i="6"/>
  <c r="N5" i="6"/>
  <c r="J7" i="6"/>
  <c r="K7" i="6" l="1"/>
  <c r="P6" i="6"/>
  <c r="J8" i="6" l="1"/>
  <c r="L7" i="6"/>
  <c r="M7" i="6"/>
  <c r="K8" i="6" l="1"/>
  <c r="M8" i="6"/>
  <c r="L8" i="6"/>
  <c r="P7" i="6"/>
  <c r="N7" i="6"/>
  <c r="P8" i="6" l="1"/>
  <c r="N8" i="6"/>
  <c r="J9" i="6"/>
  <c r="K9" i="6" l="1"/>
  <c r="L9" i="6" s="1"/>
  <c r="M9" i="6"/>
  <c r="N9" i="6" l="1"/>
  <c r="P9" i="6"/>
  <c r="J10" i="6"/>
  <c r="K10" i="6" l="1"/>
  <c r="M10" i="6" s="1"/>
  <c r="P10" i="6" l="1"/>
  <c r="J11" i="6"/>
  <c r="L10" i="6"/>
  <c r="N10" i="6" s="1"/>
  <c r="K11" i="6" l="1"/>
  <c r="J12" i="6" l="1"/>
  <c r="M11" i="6"/>
  <c r="L11" i="6"/>
  <c r="N11" i="6" l="1"/>
  <c r="M13" i="6"/>
  <c r="P11" i="6"/>
  <c r="K12" i="6"/>
  <c r="M12" i="6" s="1"/>
  <c r="L12" i="6" l="1"/>
  <c r="P12" i="6"/>
  <c r="Q12" i="6" s="1"/>
  <c r="Q11" i="6"/>
  <c r="V11" i="6" s="1"/>
  <c r="N12" i="6"/>
  <c r="N13" i="6" s="1"/>
  <c r="H8" i="6" s="1"/>
  <c r="Q5" i="6"/>
  <c r="Q6" i="6"/>
  <c r="V6" i="6" s="1"/>
  <c r="Q7" i="6"/>
  <c r="V7" i="6" s="1"/>
  <c r="Q8" i="6"/>
  <c r="V8" i="6" s="1"/>
  <c r="Q9" i="6"/>
  <c r="V9" i="6" s="1"/>
  <c r="Q10" i="6"/>
  <c r="V10" i="6" s="1"/>
  <c r="O5" i="6" l="1"/>
  <c r="O6" i="6"/>
  <c r="O7" i="6"/>
  <c r="O8" i="6"/>
  <c r="O9" i="6"/>
  <c r="O10" i="6"/>
  <c r="O11" i="6"/>
  <c r="O12" i="6"/>
  <c r="O13" i="6" l="1"/>
  <c r="H9" i="6" s="1"/>
  <c r="R5" i="6" l="1"/>
  <c r="S5" i="6"/>
  <c r="T5" i="6" s="1"/>
  <c r="U5" i="6" s="1"/>
  <c r="R9" i="6"/>
  <c r="S10" i="6"/>
  <c r="R12" i="6"/>
  <c r="R7" i="6"/>
  <c r="R6" i="6"/>
  <c r="S6" i="6"/>
  <c r="R8" i="6"/>
  <c r="R11" i="6"/>
  <c r="S12" i="6"/>
  <c r="S7" i="6"/>
  <c r="S8" i="6"/>
  <c r="S11" i="6"/>
  <c r="S9" i="6"/>
  <c r="T9" i="6" s="1"/>
  <c r="R10" i="6"/>
  <c r="T7" i="6" l="1"/>
  <c r="T11" i="6"/>
  <c r="T8" i="6"/>
  <c r="T6" i="6"/>
  <c r="U6" i="6" s="1"/>
  <c r="U7" i="6" s="1"/>
  <c r="U8" i="6" s="1"/>
  <c r="U9" i="6" s="1"/>
  <c r="T10" i="6"/>
  <c r="T12" i="6"/>
  <c r="U10" i="6" l="1"/>
  <c r="U11" i="6" s="1"/>
  <c r="U1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tc={FE4A55F8-8D9C-48B8-BCF5-01A7B9CCC827}</author>
    <author>tc={20C8665E-6031-4BD9-BC3F-E640D8A3CCC4}</author>
    <author>tc={61E1C212-9173-4B72-9FF8-EC0A95360137}</author>
    <author>tc={59DEDFCA-D757-4D87-B787-FD3D1E3B77CE}</author>
    <author>tc={A9BB36FC-EA4C-4163-9E58-D809A1B386AD}</author>
    <author>tc={D0EFCCE7-522E-48CF-8F59-8704573A5A43}</author>
    <author>tc={092D716A-0BBC-45C7-8B16-F933AA364220}</author>
    <author>tc={8DC6A040-A9D0-4D03-91F7-92261272E61C}</author>
    <author>tc={F465370E-5D53-436C-AFFF-76AF057DF172}</author>
    <author>tc={91D289DE-C71E-43F9-B1DA-0942BBFC861B}</author>
    <author>tc={54121F65-BDCA-4835-AE88-81CCD3C90FF2}</author>
    <author>tc={B718804E-F310-425F-A256-0DD2498FEA98}</author>
    <author>tc={799590EA-8600-473B-A96A-1AFDCD234B5C}</author>
    <author>tc={A398E3F2-FD56-4337-A6EA-7D05E9EDC729}</author>
    <author>tc={6008BB89-EFF6-4831-AF31-0BF4758CD12D}</author>
    <author>tc={72458FF1-A192-4B8F-85B1-24B6A1583478}</author>
  </authors>
  <commentList>
    <comment ref="D4" authorId="0" shapeId="0" xr:uid="{FE4A55F8-8D9C-48B8-BCF5-01A7B9CCC827}">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desviación estándar relativa del contenido del granulado utilizando distintos tipos de mezclador.</t>
      </text>
    </comment>
    <comment ref="G4" authorId="1" shapeId="0" xr:uid="{20C8665E-6031-4BD9-BC3F-E640D8A3CCC4}">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por cada mezclador al cuadrado.</t>
      </text>
    </comment>
    <comment ref="I4" authorId="2" shapeId="0" xr:uid="{61E1C212-9173-4B72-9FF8-EC0A95360137}">
      <text>
        <t>[Comentario encadenado]
Su versión de Excel le permite leer este comentario encadenado; sin embargo, las ediciones que se apliquen se quitarán si el archivo se abre en una versión más reciente de Excel. Más información: https://go.microsoft.com/fwlink/?linkid=870924
Comentario:
    Términos para sumas de cuadrados, columna morada.</t>
      </text>
    </comment>
    <comment ref="G5" authorId="3" shapeId="0" xr:uid="{59DEDFCA-D757-4D87-B787-FD3D1E3B77CE}">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total al cuadrado.</t>
      </text>
    </comment>
    <comment ref="G6" authorId="4" shapeId="0" xr:uid="{A9BB36FC-EA4C-4163-9E58-D809A1B386AD}">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de cuadrados.</t>
      </text>
    </comment>
    <comment ref="B8" authorId="5" shapeId="0" xr:uid="{D0EFCCE7-522E-48CF-8F59-8704573A5A43}">
      <text>
        <t>[Comentario encadenado]
Su versión de Excel le permite leer este comentario encadenado; sin embargo, las ediciones que se apliquen se quitarán si el archivo se abre en una versión más reciente de Excel. Más información: https://go.microsoft.com/fwlink/?linkid=870924
Comentario:
    Planteamiento y supuestos del modelo.</t>
      </text>
    </comment>
    <comment ref="F11" authorId="6" shapeId="0" xr:uid="{092D716A-0BBC-45C7-8B16-F933AA364220}">
      <text>
        <t>[Comentario encadenado]
Su versión de Excel le permite leer este comentario encadenado; sin embargo, las ediciones que se apliquen se quitarán si el archivo se abre en una versión más reciente de Excel. Más información: https://go.microsoft.com/fwlink/?linkid=870924
Comentario:
    Fuente de variación.</t>
      </text>
    </comment>
    <comment ref="G11" authorId="7" shapeId="0" xr:uid="{8DC6A040-A9D0-4D03-91F7-92261272E61C}">
      <text>
        <t>[Comentario encadenado]
Su versión de Excel le permite leer este comentario encadenado; sin embargo, las ediciones que se apliquen se quitarán si el archivo se abre en una versión más reciente de Excel. Más información: https://go.microsoft.com/fwlink/?linkid=870924
Comentario:
    Grados de libertad.</t>
      </text>
    </comment>
    <comment ref="H11" authorId="8" shapeId="0" xr:uid="{F465370E-5D53-436C-AFFF-76AF057DF172}">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de cuadrados.</t>
      </text>
    </comment>
    <comment ref="I11" authorId="9" shapeId="0" xr:uid="{91D289DE-C71E-43F9-B1DA-0942BBFC861B}">
      <text>
        <t>[Comentario encadenado]
Su versión de Excel le permite leer este comentario encadenado; sin embargo, las ediciones que se apliquen se quitarán si el archivo se abre en una versión más reciente de Excel. Más información: https://go.microsoft.com/fwlink/?linkid=870924
Comentario:
    Media de cuadrados.</t>
      </text>
    </comment>
    <comment ref="J11" authorId="10" shapeId="0" xr:uid="{54121F65-BDCA-4835-AE88-81CCD3C90FF2}">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del factor.</t>
      </text>
    </comment>
    <comment ref="K11" authorId="11" shapeId="0" xr:uid="{B718804E-F310-425F-A256-0DD2498FEA9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 tablas.</t>
      </text>
    </comment>
    <comment ref="L11" authorId="12" shapeId="0" xr:uid="{799590EA-8600-473B-A96A-1AFDCD234B5C}">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p.</t>
      </text>
    </comment>
    <comment ref="D15" authorId="13" shapeId="0" xr:uid="{A398E3F2-FD56-4337-A6EA-7D05E9EDC729}">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“Tipos de mezclador”.</t>
      </text>
    </comment>
    <comment ref="H15" authorId="14" shapeId="0" xr:uid="{6008BB89-EFF6-4831-AF31-0BF4758CD12D}">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 estadística.</t>
      </text>
    </comment>
    <comment ref="D16" authorId="15" shapeId="0" xr:uid="{72458FF1-A192-4B8F-85B1-24B6A1583478}">
      <text>
        <t>[Comentario encadenado]
Su versión de Excel le permite leer este comentario encadenado; sin embargo, las ediciones que se apliquen se quitarán si el archivo se abre en una versión más reciente de Excel. Más información: https://go.microsoft.com/fwlink/?linkid=870924
Comentario:
    Cantidad de repeticiones.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tc={5C85A6E3-344F-4116-BE35-29C27ACCAF16}</author>
    <author>tc={01930ABB-D101-49C8-B5F2-BB755A0248C8}</author>
    <author>tc={D8963EEF-DE66-4474-9537-28FF231F173F}</author>
    <author>tc={4B6C3E1D-293D-4376-9892-B7DA7AC57961}</author>
    <author>tc={5DE3786F-3651-4570-B4F0-88D86574CFCE}</author>
    <author>tc={8B061F37-0788-4D41-9DD6-13E089B2CA09}</author>
    <author>tc={E02E4F76-0F33-4B76-8E6B-30A4B08A3643}</author>
    <author>tc={22379559-F891-47DD-9794-DDFAB7ED919A}</author>
  </authors>
  <commentList>
    <comment ref="B4" authorId="0" shapeId="0" xr:uid="{5C85A6E3-344F-4116-BE35-29C27ACCAF16}">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1, datos de cantidad agregada en función del nivel de concentración 8, 10 ó 12 µg/mL.</t>
      </text>
    </comment>
    <comment ref="F4" authorId="1" shapeId="0" xr:uid="{01930ABB-D101-49C8-B5F2-BB755A0248C8}">
      <text>
        <t>[Comentario encadenado]
Su versión de Excel le permite leer este comentario encadenado; sin embargo, las ediciones que se apliquen se quitarán si el archivo se abre en una versión más reciente de Excel. Más información: https://go.microsoft.com/fwlink/?linkid=870924
Comentario:
    Desarrollo del método de mínimos cuadrados, todas las celdas azules.</t>
      </text>
    </comment>
    <comment ref="B10" authorId="2" shapeId="0" xr:uid="{D8963EEF-DE66-4474-9537-28FF231F173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Concentración del estándar (Por norma general al nivel del 100%).</t>
      </text>
    </comment>
    <comment ref="S10" authorId="3" shapeId="0" xr:uid="{4B6C3E1D-293D-4376-9892-B7DA7AC57961}">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estadística, debido a la cantidad de datos se utiliza la distribución t de student.</t>
      </text>
    </comment>
    <comment ref="O14" authorId="4" shapeId="0" xr:uid="{5DE3786F-3651-4570-B4F0-88D86574CFCE}">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de la prueba estadística.</t>
      </text>
    </comment>
    <comment ref="G17" authorId="5" shapeId="0" xr:uid="{8B061F37-0788-4D41-9DD6-13E089B2CA09}">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t>
      </text>
    </comment>
    <comment ref="G18" authorId="6" shapeId="0" xr:uid="{E02E4F76-0F33-4B76-8E6B-30A4B08A3643}">
      <text>
        <t>[Comentario encadenado]
Su versión de Excel le permite leer este comentario encadenado; sin embargo, las ediciones que se apliquen se quitarán si el archivo se abre en una versión más reciente de Excel. Más información: https://go.microsoft.com/fwlink/?linkid=870924
Comentario:
    Ordenada al origen.</t>
      </text>
    </comment>
    <comment ref="G19" authorId="7" shapeId="0" xr:uid="{22379559-F891-47DD-9794-DDFAB7ED919A}">
      <text>
        <t>[Comentario encadenado]
Su versión de Excel le permite leer este comentario encadenado; sin embargo, las ediciones que se apliquen se quitarán si el archivo se abre en una versión más reciente de Excel. Más información: https://go.microsoft.com/fwlink/?linkid=870924
Comentario:
    Coeficiente de correlación de Pearson.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tc={312C69FE-FB00-4593-99FC-C38F0815895B}</author>
    <author>tc={F4767FDA-9518-47D8-B9A9-B9B6508069CF}</author>
    <author>tc={F103526D-385A-4701-BFB3-FAE62A155CB2}</author>
    <author>tc={40304C11-F798-40D3-B729-FFCBB1281CDF}</author>
    <author>tc={C5736850-20F9-4106-B70A-8F4DCE8DAD4B}</author>
    <author>tc={80D3CB57-1A34-47CD-8854-44E48FE95AC5}</author>
    <author>tc={A95F6109-AD4A-4621-A1E9-3D5D14AA48A5}</author>
    <author>tc={9315D768-2C0A-4A02-8AFE-8E08181E4010}</author>
    <author>tc={200F55FB-8FA5-49A9-ABEC-68FEDD773582}</author>
    <author>tc={D431C193-69E2-4ECF-BA68-7E9C2866DD7C}</author>
  </authors>
  <commentList>
    <comment ref="B4" authorId="0" shapeId="0" xr:uid="{312C69FE-FB00-4593-99FC-C38F0815895B}">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1, datos de cantidad agregada en función del nivel de concentración 8, 10 ó 12 µg/mL.</t>
      </text>
    </comment>
    <comment ref="F4" authorId="1" shapeId="0" xr:uid="{F4767FDA-9518-47D8-B9A9-B9B6508069CF}">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adicionado respecto al estándar.</t>
      </text>
    </comment>
    <comment ref="L4" authorId="2" shapeId="0" xr:uid="{F103526D-385A-4701-BFB3-FAE62A155CB2}">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de normalidad Z normal vs. Z datos. Incluye al gráfico.</t>
      </text>
    </comment>
    <comment ref="P4" authorId="3" shapeId="0" xr:uid="{40304C11-F798-40D3-B729-FFCBB1281CDF}">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de normalidad de Ryan-Joiner.</t>
      </text>
    </comment>
    <comment ref="B10" authorId="4" shapeId="0" xr:uid="{C5736850-20F9-4106-B70A-8F4DCE8DAD4B}">
      <text>
        <t>[Comentario encadenado]
Su versión de Excel le permite leer este comentario encadenado; sin embargo, las ediciones que se apliquen se quitarán si el archivo se abre en una versión más reciente de Excel. Más información: https://go.microsoft.com/fwlink/?linkid=870924
Comentario:
    Concentración del estándar (Por norma general al nivel del 100%).</t>
      </text>
    </comment>
    <comment ref="F10" authorId="5" shapeId="0" xr:uid="{80D3CB57-1A34-47CD-8854-44E48FE95AC5}">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obtenido respecto al que se debería obtener.</t>
      </text>
    </comment>
    <comment ref="M16" authorId="6" shapeId="0" xr:uid="{A95F6109-AD4A-4621-A1E9-3D5D14AA48A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Pruebas de hipótesis. </t>
      </text>
    </comment>
    <comment ref="P20" authorId="7" shapeId="0" xr:uid="{9315D768-2C0A-4A02-8AFE-8E08181E4010}">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t>
      </text>
    </comment>
    <comment ref="N22" authorId="8" shapeId="0" xr:uid="{200F55FB-8FA5-49A9-ABEC-68FEDD773582}">
      <text>
        <t>[Comentario encadenado]
Su versión de Excel le permite leer este comentario encadenado; sin embargo, las ediciones que se apliquen se quitarán si el archivo se abre en una versión más reciente de Excel. Más información: https://go.microsoft.com/fwlink/?linkid=870924
Comentario:
    En esta prueba se utiliza t de student porque se trata de una media y se involucran menos de 30 datos.</t>
      </text>
    </comment>
    <comment ref="R22" authorId="9" shapeId="0" xr:uid="{D431C193-69E2-4ECF-BA68-7E9C2866DD7C}">
      <text>
        <t>[Comentario encadenado]
Su versión de Excel le permite leer este comentario encadenado; sin embargo, las ediciones que se apliquen se quitarán si el archivo se abre en una versión más reciente de Excel. Más información: https://go.microsoft.com/fwlink/?linkid=870924
Comentario:
    En esta prueba se utiliza chi cuadrada al tratarse la desviación estándar de una medida de dispersión.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tc={8C3F005D-6D72-4A4F-A28E-AB9F5725B9A7}</author>
    <author>tc={75A95025-F43E-4455-9D48-E307FE777EE9}</author>
    <author>tc={B19357CE-FBD4-462D-9108-8A8A959D8D5E}</author>
    <author>tc={70D7DCF7-50F2-482A-A97E-00BC64B686A0}</author>
    <author>tc={9CF2852F-AB8F-4AB9-8B4F-DD77C8A5544C}</author>
    <author>tc={2F25F150-1668-45E3-8FA1-ADB24B25B1C5}</author>
    <author>tc={0215BE25-AD75-4EBA-A71A-4A9C1202FC86}</author>
    <author>tc={9B8A32EF-7651-4D7C-BC68-3C48CEB033F7}</author>
    <author>tc={8316C196-C696-43B5-8753-AECFE7F4B6FA}</author>
    <author>tc={05E975D3-E2E2-483E-931C-6BE6123289CD}</author>
    <author>tc={BDF92D50-A8EC-47AC-86BE-0A3D8D58719B}</author>
    <author>tc={64C95030-13FF-45CF-9903-B4C9A05B890D}</author>
    <author>tc={D0F9E604-5906-4112-9447-52E24CA6BC25}</author>
    <author>tc={CC8885A4-F1C1-407F-AA70-9A61E7846BAD}</author>
    <author>tc={33976380-63FD-4EA3-9ED0-76E8DCADE316}</author>
    <author>tc={08FCC20C-C524-4228-B6C2-3146F71BDFC5}</author>
    <author>tc={5E6EE586-9F9A-45E1-8498-8069784E350C}</author>
    <author>tc={016D049F-47A7-4FE8-8414-3E0D7F86D1BB}</author>
    <author>tc={DC4E1C88-3399-4045-A22C-129811367C07}</author>
    <author>tc={2D4F62B4-ED96-4F3F-9104-39D9AA05763A}</author>
  </authors>
  <commentList>
    <comment ref="B4" authorId="0" shapeId="0" xr:uid="{8C3F005D-6D72-4A4F-A28E-AB9F5725B9A7}">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dureza de las tabletas obtenidas en los diferentes muestreos.</t>
      </text>
    </comment>
    <comment ref="J4" authorId="1" shapeId="0" xr:uid="{75A95025-F43E-4455-9D48-E307FE777EE9}">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inferior de la clase.</t>
      </text>
    </comment>
    <comment ref="K4" authorId="2" shapeId="0" xr:uid="{B19357CE-FBD4-462D-9108-8A8A959D8D5E}">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superior de la clase.</t>
      </text>
    </comment>
    <comment ref="L4" authorId="3" shapeId="0" xr:uid="{70D7DCF7-50F2-482A-A97E-00BC64B686A0}">
      <text>
        <t>[Comentario encadenado]
Su versión de Excel le permite leer este comentario encadenado; sin embargo, las ediciones que se apliquen se quitarán si el archivo se abre en una versión más reciente de Excel. Más información: https://go.microsoft.com/fwlink/?linkid=870924
Comentario:
    Marca de clase.</t>
      </text>
    </comment>
    <comment ref="M4" authorId="4" shapeId="0" xr:uid="{9CF2852F-AB8F-4AB9-8B4F-DD77C8A5544C}">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de clase.</t>
      </text>
    </comment>
    <comment ref="N4" authorId="5" shapeId="0" xr:uid="{2F25F150-1668-45E3-8FA1-ADB24B25B1C5}">
      <text>
        <t>[Comentario encadenado]
Su versión de Excel le permite leer este comentario encadenado; sin embargo, las ediciones que se apliquen se quitarán si el archivo se abre en una versión más reciente de Excel. Más información: https://go.microsoft.com/fwlink/?linkid=870924
Comentario:
    Marca de clase por frecuencia.</t>
      </text>
    </comment>
    <comment ref="P4" authorId="6" shapeId="0" xr:uid="{0215BE25-AD75-4EBA-A71A-4A9C1202FC86}">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acumulada.</t>
      </text>
    </comment>
    <comment ref="Q4" authorId="7" shapeId="0" xr:uid="{9B8A32EF-7651-4D7C-BC68-3C48CEB033F7}">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de frecuencia acumulada.</t>
      </text>
    </comment>
    <comment ref="R4" authorId="8" shapeId="0" xr:uid="{8316C196-C696-43B5-8753-AECFE7F4B6FA}">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inferior de la clase en Z.</t>
      </text>
    </comment>
    <comment ref="S4" authorId="9" shapeId="0" xr:uid="{05E975D3-E2E2-483E-931C-6BE6123289CD}">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superior de la clase en Z.</t>
      </text>
    </comment>
    <comment ref="T4" authorId="10" shapeId="0" xr:uid="{BDF92D50-A8EC-47AC-86BE-0A3D8D58719B}">
      <text>
        <t>[Comentario encadenado]
Su versión de Excel le permite leer este comentario encadenado; sin embargo, las ediciones que se apliquen se quitarán si el archivo se abre en una versión más reciente de Excel. Más información: https://go.microsoft.com/fwlink/?linkid=870924
Comentario:
    Área bajo la curva.</t>
      </text>
    </comment>
    <comment ref="U4" authorId="11" shapeId="0" xr:uid="{64C95030-13FF-45CF-9903-B4C9A05B890D}">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normal acumulada.</t>
      </text>
    </comment>
    <comment ref="V4" authorId="12" shapeId="0" xr:uid="{D0F9E604-5906-4112-9447-52E24CA6BC25}">
      <text>
        <t>[Comentario encadenado]
Su versión de Excel le permite leer este comentario encadenado; sin embargo, las ediciones que se apliquen se quitarán si el archivo se abre en una versión más reciente de Excel. Más información: https://go.microsoft.com/fwlink/?linkid=870924
Comentario:
    Parámetro Z de los datos.</t>
      </text>
    </comment>
    <comment ref="X4" authorId="13" shapeId="0" xr:uid="{CC8885A4-F1C1-407F-AA70-9A61E7846BAD}">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de proceso a corto plazo.</t>
      </text>
    </comment>
    <comment ref="AA4" authorId="14" shapeId="0" xr:uid="{33976380-63FD-4EA3-9ED0-76E8DCADE316}">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de proceso a largo plazo.</t>
      </text>
    </comment>
    <comment ref="H16" authorId="15" shapeId="0" xr:uid="{08FCC20C-C524-4228-B6C2-3146F71BDFC5}">
      <text>
        <t>[Comentario encadenado]
Su versión de Excel le permite leer este comentario encadenado; sin embargo, las ediciones que se apliquen se quitarán si el archivo se abre en una versión más reciente de Excel. Más información: https://go.microsoft.com/fwlink/?linkid=870924
Comentario:
    Decimales utilizados para la amplitud.</t>
      </text>
    </comment>
    <comment ref="E17" authorId="16" shapeId="0" xr:uid="{5E6EE586-9F9A-45E1-8498-8069784E350C}">
      <text>
        <t>[Comentario encadenado]
Su versión de Excel le permite leer este comentario encadenado; sin embargo, las ediciones que se apliquen se quitarán si el archivo se abre en una versión más reciente de Excel. Más información: https://go.microsoft.com/fwlink/?linkid=870924
Comentario:
    Métricas de los datos por muestreo.</t>
      </text>
    </comment>
    <comment ref="H17" authorId="17" shapeId="0" xr:uid="{016D049F-47A7-4FE8-8414-3E0D7F86D1BB}">
      <text>
        <t>[Comentario encadenado]
Su versión de Excel le permite leer este comentario encadenado; sin embargo, las ediciones que se apliquen se quitarán si el archivo se abre en una versión más reciente de Excel. Más información: https://go.microsoft.com/fwlink/?linkid=870924
Comentario:
    Amplitud de las clases.</t>
      </text>
    </comment>
    <comment ref="O17" authorId="18" shapeId="0" xr:uid="{DC4E1C88-3399-4045-A22C-129811367C07}">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t>
      </text>
    </comment>
    <comment ref="H18" authorId="19" shapeId="0" xr:uid="{2D4F62B4-ED96-4F3F-9104-39D9AA05763A}">
      <text>
        <t>[Comentario encadenado]
Su versión de Excel le permite leer este comentario encadenado; sin embargo, las ediciones que se apliquen se quitarán si el archivo se abre en una versión más reciente de Excel. Más información: https://go.microsoft.com/fwlink/?linkid=870924
Comentario:
    Métricas de los datos en general.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tc={EEFB6895-F355-4D2B-8FD9-E9C202AE0134}</author>
    <author>tc={3327B0CA-0C4F-4DCE-9AAA-03F3D24C1570}</author>
    <author>tc={D6A0AE94-9D31-4E99-A0FB-B811E5946410}</author>
    <author>tc={1615D248-3C75-42DB-A4DA-7433DA9C0107}</author>
    <author>tc={B4964984-112E-4F1B-A658-8DB6AAE5C8D2}</author>
    <author>tc={F8AC90CD-95E0-4578-A9BC-CE2A57FEFCE8}</author>
    <author>tc={35E2F4C1-495E-4EEA-82C7-867495AFE0FC}</author>
    <author>tc={F0784EE0-AC45-45A6-A005-36A2EC25272A}</author>
    <author>tc={F5A19C8F-BBBB-4C9F-8BDF-74A9D832F5EF}</author>
    <author>tc={9520AFC8-2DC5-4D11-AEA8-0D62AEBBDEDB}</author>
    <author>tc={BFCF2B4F-EAD8-4F37-B1BE-093A0004700B}</author>
    <author>tc={406D783C-6779-4087-91B0-F92D3D579338}</author>
    <author>tc={4000C781-567E-429E-B4F2-5960AD545AF9}</author>
    <author>tc={7B7F0E4C-FE55-4134-A79C-E018D4C14543}</author>
    <author>tc={FEA1A42A-8CD9-4FD9-8395-C6E253051A18}</author>
    <author>tc={B3225FA0-8EF0-4A1E-9820-D516E80565A3}</author>
    <author>tc={63E1D098-31E9-4F07-B6D8-C48A76860C2D}</author>
    <author>tc={C42ADEE7-F105-49C1-AED7-B567EF8DA5D1}</author>
  </authors>
  <commentList>
    <comment ref="D4" authorId="0" shapeId="0" xr:uid="{EEFB6895-F355-4D2B-8FD9-E9C202AE0134}">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Cpk del contenido para cada repetición y condiciones de mezclado. Se generalizan las velocidades como velocidad baja y velocidad alta.</t>
      </text>
    </comment>
    <comment ref="G4" authorId="1" shapeId="0" xr:uid="{3327B0CA-0C4F-4DCE-9AAA-03F3D24C1570}">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por cada equipo al cuadrado.</t>
      </text>
    </comment>
    <comment ref="I4" authorId="2" shapeId="0" xr:uid="{D6A0AE94-9D31-4E99-A0FB-B811E5946410}">
      <text>
        <t>[Comentario encadenado]
Su versión de Excel le permite leer este comentario encadenado; sin embargo, las ediciones que se apliquen se quitarán si el archivo se abre en una versión más reciente de Excel. Más información: https://go.microsoft.com/fwlink/?linkid=870924
Comentario:
    Términos para sumas de cuadrados, columna morada.</t>
      </text>
    </comment>
    <comment ref="G5" authorId="3" shapeId="0" xr:uid="{1615D248-3C75-42DB-A4DA-7433DA9C0107}">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total al cuadrado.</t>
      </text>
    </comment>
    <comment ref="G6" authorId="4" shapeId="0" xr:uid="{B4964984-112E-4F1B-A658-8DB6AAE5C8D2}">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por condiciones de equipo y velocidad al cuadrado.</t>
      </text>
    </comment>
    <comment ref="G7" authorId="5" shapeId="0" xr:uid="{F8AC90CD-95E0-4578-A9BC-CE2A57FEFCE8}">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de cuadrados.</t>
      </text>
    </comment>
    <comment ref="B10" authorId="6" shapeId="0" xr:uid="{35E2F4C1-495E-4EEA-82C7-867495AFE0FC}">
      <text>
        <t>[Comentario encadenado]
Su versión de Excel le permite leer este comentario encadenado; sin embargo, las ediciones que se apliquen se quitarán si el archivo se abre en una versión más reciente de Excel. Más información: https://go.microsoft.com/fwlink/?linkid=870924
Comentario:
    Planteamiento y supuestos del modelo.</t>
      </text>
    </comment>
    <comment ref="F11" authorId="7" shapeId="0" xr:uid="{F0784EE0-AC45-45A6-A005-36A2EC25272A}">
      <text>
        <t>[Comentario encadenado]
Su versión de Excel le permite leer este comentario encadenado; sin embargo, las ediciones que se apliquen se quitarán si el archivo se abre en una versión más reciente de Excel. Más información: https://go.microsoft.com/fwlink/?linkid=870924
Comentario:
    Fuente de variación.</t>
      </text>
    </comment>
    <comment ref="G11" authorId="8" shapeId="0" xr:uid="{F5A19C8F-BBBB-4C9F-8BDF-74A9D832F5EF}">
      <text>
        <t>[Comentario encadenado]
Su versión de Excel le permite leer este comentario encadenado; sin embargo, las ediciones que se apliquen se quitarán si el archivo se abre en una versión más reciente de Excel. Más información: https://go.microsoft.com/fwlink/?linkid=870924
Comentario:
    Grados de libertad.</t>
      </text>
    </comment>
    <comment ref="H11" authorId="9" shapeId="0" xr:uid="{9520AFC8-2DC5-4D11-AEA8-0D62AEBBDEDB}">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de cuadrados.</t>
      </text>
    </comment>
    <comment ref="I11" authorId="10" shapeId="0" xr:uid="{BFCF2B4F-EAD8-4F37-B1BE-093A0004700B}">
      <text>
        <t>[Comentario encadenado]
Su versión de Excel le permite leer este comentario encadenado; sin embargo, las ediciones que se apliquen se quitarán si el archivo se abre en una versión más reciente de Excel. Más información: https://go.microsoft.com/fwlink/?linkid=870924
Comentario:
    Media de cuadrados.</t>
      </text>
    </comment>
    <comment ref="J11" authorId="11" shapeId="0" xr:uid="{406D783C-6779-4087-91B0-F92D3D57933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del factor.</t>
      </text>
    </comment>
    <comment ref="K11" authorId="12" shapeId="0" xr:uid="{4000C781-567E-429E-B4F2-5960AD545AF9}">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 tablas.</t>
      </text>
    </comment>
    <comment ref="L11" authorId="13" shapeId="0" xr:uid="{7B7F0E4C-FE55-4134-A79C-E018D4C14543}">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p.</t>
      </text>
    </comment>
    <comment ref="C16" authorId="14" shapeId="0" xr:uid="{FEA1A42A-8CD9-4FD9-8395-C6E253051A18}">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"Equipo".</t>
      </text>
    </comment>
    <comment ref="J16" authorId="15" shapeId="0" xr:uid="{B3225FA0-8EF0-4A1E-9820-D516E80565A3}">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 estadística.</t>
      </text>
    </comment>
    <comment ref="C17" authorId="16" shapeId="0" xr:uid="{63E1D098-31E9-4F07-B6D8-C48A76860C2D}">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"Velocidad".</t>
      </text>
    </comment>
    <comment ref="C18" authorId="17" shapeId="0" xr:uid="{C42ADEE7-F105-49C1-AED7-B567EF8DA5D1}">
      <text>
        <t>[Comentario encadenado]
Su versión de Excel le permite leer este comentario encadenado; sin embargo, las ediciones que se apliquen se quitarán si el archivo se abre en una versión más reciente de Excel. Más información: https://go.microsoft.com/fwlink/?linkid=870924
Comentario:
    Cantidad de repeticiones.</t>
      </text>
    </comment>
  </commentList>
</comments>
</file>

<file path=xl/sharedStrings.xml><?xml version="1.0" encoding="utf-8"?>
<sst xmlns="http://schemas.openxmlformats.org/spreadsheetml/2006/main" count="213" uniqueCount="172">
  <si>
    <t>Doble Cono</t>
  </si>
  <si>
    <t>Doble Cono Slant</t>
  </si>
  <si>
    <t>Mezclador Pantalón</t>
  </si>
  <si>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t>
    </r>
  </si>
  <si>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t>
    </r>
    <r>
      <rPr>
        <b/>
        <sz val="11"/>
        <color theme="0"/>
        <rFont val="Calibri"/>
        <family val="1"/>
        <charset val="2"/>
        <scheme val="minor"/>
      </rPr>
      <t>/r</t>
    </r>
  </si>
  <si>
    <r>
      <t>y</t>
    </r>
    <r>
      <rPr>
        <b/>
        <vertAlign val="superscript"/>
        <sz val="11"/>
        <color theme="0"/>
        <rFont val="Calibri"/>
        <family val="2"/>
        <scheme val="minor"/>
      </rPr>
      <t>2</t>
    </r>
    <r>
      <rPr>
        <b/>
        <vertAlign val="subscript"/>
        <sz val="11"/>
        <color theme="0"/>
        <rFont val="Calibri"/>
        <family val="2"/>
        <scheme val="minor"/>
      </rPr>
      <t>..</t>
    </r>
  </si>
  <si>
    <r>
      <t>y</t>
    </r>
    <r>
      <rPr>
        <b/>
        <vertAlign val="superscript"/>
        <sz val="11"/>
        <color theme="0"/>
        <rFont val="Calibri"/>
        <family val="2"/>
        <scheme val="minor"/>
      </rPr>
      <t>2</t>
    </r>
    <r>
      <rPr>
        <b/>
        <vertAlign val="subscript"/>
        <sz val="11"/>
        <color theme="0"/>
        <rFont val="Calibri"/>
        <family val="2"/>
        <scheme val="minor"/>
      </rPr>
      <t>..</t>
    </r>
    <r>
      <rPr>
        <b/>
        <sz val="11"/>
        <color theme="0"/>
        <rFont val="Calibri"/>
        <family val="2"/>
        <scheme val="minor"/>
      </rPr>
      <t>/tr</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</si>
  <si>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ij</t>
    </r>
  </si>
  <si>
    <t>Modelo</t>
  </si>
  <si>
    <r>
      <t>Y</t>
    </r>
    <r>
      <rPr>
        <vertAlign val="subscript"/>
        <sz val="11"/>
        <color theme="0"/>
        <rFont val="Calibri"/>
        <family val="2"/>
        <scheme val="minor"/>
      </rPr>
      <t>ij</t>
    </r>
    <r>
      <rPr>
        <sz val="11"/>
        <color theme="0"/>
        <rFont val="Calibri"/>
        <family val="2"/>
        <scheme val="minor"/>
      </rPr>
      <t>=</t>
    </r>
    <r>
      <rPr>
        <sz val="11"/>
        <color theme="0"/>
        <rFont val="Arial"/>
        <family val="2"/>
      </rPr>
      <t>μ</t>
    </r>
    <r>
      <rPr>
        <sz val="11"/>
        <color theme="0"/>
        <rFont val="Calibri"/>
        <family val="2"/>
      </rPr>
      <t>+M</t>
    </r>
    <r>
      <rPr>
        <vertAlign val="subscript"/>
        <sz val="11"/>
        <color theme="0"/>
        <rFont val="Calibri"/>
        <family val="2"/>
      </rPr>
      <t>k</t>
    </r>
    <r>
      <rPr>
        <sz val="11"/>
        <color theme="0"/>
        <rFont val="Calibri"/>
        <family val="2"/>
      </rPr>
      <t>+e</t>
    </r>
    <r>
      <rPr>
        <vertAlign val="subscript"/>
        <sz val="11"/>
        <color theme="0"/>
        <rFont val="Calibri"/>
        <family val="2"/>
      </rPr>
      <t>j(i)</t>
    </r>
  </si>
  <si>
    <r>
      <t>Y</t>
    </r>
    <r>
      <rPr>
        <vertAlign val="subscript"/>
        <sz val="11"/>
        <color theme="1"/>
        <rFont val="Calibri"/>
        <family val="2"/>
        <scheme val="minor"/>
      </rPr>
      <t>ij</t>
    </r>
    <r>
      <rPr>
        <sz val="11"/>
        <color theme="1"/>
        <rFont val="Calibri"/>
        <family val="2"/>
        <scheme val="minor"/>
      </rPr>
      <t xml:space="preserve"> Es una variable dependiente cuantitativa</t>
    </r>
  </si>
  <si>
    <t>Análisis de varianza</t>
  </si>
  <si>
    <r>
      <t>Y</t>
    </r>
    <r>
      <rPr>
        <vertAlign val="subscript"/>
        <sz val="11"/>
        <color theme="1"/>
        <rFont val="Calibri"/>
        <family val="2"/>
        <scheme val="minor"/>
      </rPr>
      <t>ij</t>
    </r>
    <r>
      <rPr>
        <sz val="11"/>
        <color theme="1"/>
        <rFont val="Calibri"/>
        <family val="2"/>
        <scheme val="minor"/>
      </rPr>
      <t xml:space="preserve"> Se aproxima a la distribución normal</t>
    </r>
  </si>
  <si>
    <t>Fuente</t>
  </si>
  <si>
    <t>g.l</t>
  </si>
  <si>
    <t>SC</t>
  </si>
  <si>
    <t>MC</t>
  </si>
  <si>
    <r>
      <t>F</t>
    </r>
    <r>
      <rPr>
        <b/>
        <vertAlign val="subscript"/>
        <sz val="11"/>
        <color theme="0"/>
        <rFont val="Calibri"/>
        <family val="2"/>
        <scheme val="minor"/>
      </rPr>
      <t>calculada</t>
    </r>
  </si>
  <si>
    <r>
      <t>F</t>
    </r>
    <r>
      <rPr>
        <b/>
        <vertAlign val="subscript"/>
        <sz val="11"/>
        <color theme="0"/>
        <rFont val="Calibri"/>
        <family val="2"/>
        <scheme val="minor"/>
      </rPr>
      <t>tablas</t>
    </r>
  </si>
  <si>
    <t>P</t>
  </si>
  <si>
    <r>
      <t>e</t>
    </r>
    <r>
      <rPr>
        <vertAlign val="subscript"/>
        <sz val="11"/>
        <color theme="1"/>
        <rFont val="Calibri"/>
        <family val="2"/>
        <scheme val="minor"/>
      </rPr>
      <t xml:space="preserve">j(i) </t>
    </r>
    <r>
      <rPr>
        <sz val="11"/>
        <color theme="1"/>
        <rFont val="Calibri"/>
        <family val="2"/>
        <scheme val="minor"/>
      </rPr>
      <t>Es inddependiente</t>
    </r>
  </si>
  <si>
    <t>Mk</t>
  </si>
  <si>
    <t>ej(i)</t>
  </si>
  <si>
    <t>Total</t>
  </si>
  <si>
    <t>t</t>
  </si>
  <si>
    <t>α</t>
  </si>
  <si>
    <t>Conclusión</t>
  </si>
  <si>
    <t>r</t>
  </si>
  <si>
    <t>μg/mL</t>
  </si>
  <si>
    <t>Minimos cuadrados</t>
  </si>
  <si>
    <r>
      <t xml:space="preserve">S² </t>
    </r>
    <r>
      <rPr>
        <b/>
        <vertAlign val="subscript"/>
        <sz val="11"/>
        <color theme="0"/>
        <rFont val="Calibri"/>
        <family val="2"/>
        <scheme val="minor"/>
      </rPr>
      <t>y/x</t>
    </r>
  </si>
  <si>
    <r>
      <t>S</t>
    </r>
    <r>
      <rPr>
        <b/>
        <vertAlign val="subscript"/>
        <sz val="11"/>
        <color theme="0"/>
        <rFont val="Calibri"/>
        <family val="2"/>
        <scheme val="minor"/>
      </rPr>
      <t>y/x</t>
    </r>
  </si>
  <si>
    <t>#</t>
  </si>
  <si>
    <t>Nivel</t>
  </si>
  <si>
    <t>% Agregado</t>
  </si>
  <si>
    <t>Nivel*%Agregado</t>
  </si>
  <si>
    <t>Nivel²</t>
  </si>
  <si>
    <t>%Agregado²</t>
  </si>
  <si>
    <t>%Recobro</t>
  </si>
  <si>
    <r>
      <t>S</t>
    </r>
    <r>
      <rPr>
        <b/>
        <vertAlign val="subscript"/>
        <sz val="11"/>
        <color theme="0"/>
        <rFont val="Calibri"/>
        <family val="2"/>
        <scheme val="minor"/>
      </rPr>
      <t>b</t>
    </r>
    <r>
      <rPr>
        <b/>
        <sz val="11"/>
        <color theme="0"/>
        <rFont val="Calibri"/>
        <family val="2"/>
        <scheme val="minor"/>
      </rPr>
      <t>²</t>
    </r>
  </si>
  <si>
    <r>
      <t>S</t>
    </r>
    <r>
      <rPr>
        <b/>
        <vertAlign val="subscript"/>
        <sz val="11"/>
        <color theme="0"/>
        <rFont val="Calibri"/>
        <family val="2"/>
      </rPr>
      <t>b</t>
    </r>
  </si>
  <si>
    <t>Estandar</t>
  </si>
  <si>
    <t>Prueba</t>
  </si>
  <si>
    <t>Valor</t>
  </si>
  <si>
    <r>
      <t>t</t>
    </r>
    <r>
      <rPr>
        <b/>
        <vertAlign val="subscript"/>
        <sz val="11"/>
        <color theme="0"/>
        <rFont val="Calibri"/>
        <family val="2"/>
        <scheme val="minor"/>
      </rPr>
      <t>c</t>
    </r>
  </si>
  <si>
    <r>
      <t>t</t>
    </r>
    <r>
      <rPr>
        <b/>
        <vertAlign val="subscript"/>
        <sz val="11"/>
        <color theme="0"/>
        <rFont val="Calibri"/>
        <family val="2"/>
        <scheme val="minor"/>
      </rPr>
      <t>tablas</t>
    </r>
  </si>
  <si>
    <t>conclusion</t>
  </si>
  <si>
    <t>Pendiente</t>
  </si>
  <si>
    <t>Ordenada</t>
  </si>
  <si>
    <t>S</t>
  </si>
  <si>
    <t>Intervalo De Confianza</t>
  </si>
  <si>
    <t>b</t>
  </si>
  <si>
    <r>
      <t>S</t>
    </r>
    <r>
      <rPr>
        <b/>
        <vertAlign val="subscript"/>
        <sz val="11"/>
        <color theme="0"/>
        <rFont val="Calibri"/>
        <family val="2"/>
        <scheme val="minor"/>
      </rPr>
      <t>x</t>
    </r>
  </si>
  <si>
    <t>a</t>
  </si>
  <si>
    <r>
      <t>S</t>
    </r>
    <r>
      <rPr>
        <b/>
        <vertAlign val="subscript"/>
        <sz val="11"/>
        <color theme="0"/>
        <rFont val="Calibri"/>
        <family val="2"/>
        <scheme val="minor"/>
      </rPr>
      <t>y</t>
    </r>
  </si>
  <si>
    <t>% Recuperado ordenado</t>
  </si>
  <si>
    <t>Z VS Y</t>
  </si>
  <si>
    <t>Ryan Joiner</t>
  </si>
  <si>
    <t># Dato</t>
  </si>
  <si>
    <t>% Recuperado</t>
  </si>
  <si>
    <r>
      <t>%F</t>
    </r>
    <r>
      <rPr>
        <b/>
        <vertAlign val="subscript"/>
        <sz val="11"/>
        <color theme="0"/>
        <rFont val="Calibri"/>
        <family val="2"/>
        <scheme val="minor"/>
      </rPr>
      <t>Acumulada</t>
    </r>
  </si>
  <si>
    <r>
      <t>Z</t>
    </r>
    <r>
      <rPr>
        <b/>
        <vertAlign val="subscript"/>
        <sz val="11"/>
        <color theme="0"/>
        <rFont val="Calibri"/>
        <family val="2"/>
        <scheme val="minor"/>
      </rPr>
      <t>normal</t>
    </r>
  </si>
  <si>
    <r>
      <t>Z</t>
    </r>
    <r>
      <rPr>
        <b/>
        <vertAlign val="subscript"/>
        <sz val="11"/>
        <color theme="0"/>
        <rFont val="Calibri"/>
        <family val="2"/>
        <scheme val="minor"/>
      </rPr>
      <t>Datos</t>
    </r>
  </si>
  <si>
    <r>
      <t>Q</t>
    </r>
    <r>
      <rPr>
        <b/>
        <vertAlign val="subscript"/>
        <sz val="11"/>
        <color theme="0"/>
        <rFont val="Calibri"/>
        <family val="2"/>
        <scheme val="minor"/>
      </rPr>
      <t>Datos</t>
    </r>
  </si>
  <si>
    <r>
      <t>b</t>
    </r>
    <r>
      <rPr>
        <b/>
        <vertAlign val="subscript"/>
        <sz val="11"/>
        <color theme="0"/>
        <rFont val="Calibri"/>
        <family val="2"/>
        <scheme val="minor"/>
      </rPr>
      <t>i</t>
    </r>
  </si>
  <si>
    <r>
      <t>Z</t>
    </r>
    <r>
      <rPr>
        <b/>
        <vertAlign val="subscript"/>
        <sz val="11"/>
        <color theme="0"/>
        <rFont val="Calibri"/>
        <family val="2"/>
        <scheme val="minor"/>
      </rPr>
      <t>bi</t>
    </r>
  </si>
  <si>
    <r>
      <t>Z</t>
    </r>
    <r>
      <rPr>
        <b/>
        <vertAlign val="subscript"/>
        <sz val="11"/>
        <color theme="0"/>
        <rFont val="Calibri"/>
        <family val="2"/>
        <scheme val="minor"/>
      </rPr>
      <t>bi</t>
    </r>
    <r>
      <rPr>
        <b/>
        <vertAlign val="superscript"/>
        <sz val="11"/>
        <color theme="0"/>
        <rFont val="Calibri"/>
        <family val="2"/>
        <scheme val="minor"/>
      </rPr>
      <t>2</t>
    </r>
  </si>
  <si>
    <r>
      <t>Y</t>
    </r>
    <r>
      <rPr>
        <b/>
        <vertAlign val="subscript"/>
        <sz val="11"/>
        <color theme="0"/>
        <rFont val="Calibri"/>
        <family val="2"/>
        <scheme val="minor"/>
      </rPr>
      <t>i</t>
    </r>
    <r>
      <rPr>
        <b/>
        <sz val="11"/>
        <color theme="0"/>
        <rFont val="Calibri"/>
        <family val="2"/>
        <scheme val="minor"/>
      </rPr>
      <t>*Z</t>
    </r>
    <r>
      <rPr>
        <b/>
        <vertAlign val="subscript"/>
        <sz val="11"/>
        <color theme="0"/>
        <rFont val="Calibri"/>
        <family val="2"/>
        <scheme val="minor"/>
      </rPr>
      <t>bi</t>
    </r>
  </si>
  <si>
    <r>
      <t>(y</t>
    </r>
    <r>
      <rPr>
        <b/>
        <vertAlign val="subscript"/>
        <sz val="11"/>
        <color theme="0"/>
        <rFont val="Calibri"/>
        <family val="2"/>
        <scheme val="minor"/>
      </rPr>
      <t>i</t>
    </r>
    <r>
      <rPr>
        <b/>
        <sz val="11"/>
        <color theme="0"/>
        <rFont val="Calibri"/>
        <family val="2"/>
        <scheme val="minor"/>
      </rPr>
      <t>-</t>
    </r>
    <r>
      <rPr>
        <b/>
        <sz val="11"/>
        <color theme="0"/>
        <rFont val="Arial"/>
        <family val="2"/>
      </rPr>
      <t>ȳ)</t>
    </r>
    <r>
      <rPr>
        <b/>
        <vertAlign val="superscript"/>
        <sz val="11"/>
        <color theme="0"/>
        <rFont val="Arial"/>
        <family val="2"/>
      </rPr>
      <t>2</t>
    </r>
  </si>
  <si>
    <r>
      <rPr>
        <b/>
        <sz val="11"/>
        <color theme="0"/>
        <rFont val="Symbol"/>
        <family val="1"/>
        <charset val="2"/>
      </rPr>
      <t>S</t>
    </r>
    <r>
      <rPr>
        <b/>
        <sz val="11"/>
        <color theme="0"/>
        <rFont val="Calibri"/>
        <family val="2"/>
        <scheme val="minor"/>
      </rPr>
      <t>(Y</t>
    </r>
    <r>
      <rPr>
        <b/>
        <vertAlign val="subscript"/>
        <sz val="11"/>
        <color theme="0"/>
        <rFont val="Calibri"/>
        <family val="2"/>
        <scheme val="minor"/>
      </rPr>
      <t>i</t>
    </r>
    <r>
      <rPr>
        <b/>
        <sz val="11"/>
        <color theme="0"/>
        <rFont val="Calibri"/>
        <family val="2"/>
        <scheme val="minor"/>
      </rPr>
      <t>*Z</t>
    </r>
    <r>
      <rPr>
        <b/>
        <vertAlign val="subscript"/>
        <sz val="11"/>
        <color theme="0"/>
        <rFont val="Calibri"/>
        <family val="2"/>
        <scheme val="minor"/>
      </rPr>
      <t>bi</t>
    </r>
    <r>
      <rPr>
        <b/>
        <sz val="11"/>
        <color theme="0"/>
        <rFont val="Calibri"/>
        <family val="2"/>
        <scheme val="minor"/>
      </rPr>
      <t>)</t>
    </r>
  </si>
  <si>
    <r>
      <rPr>
        <b/>
        <sz val="11"/>
        <color theme="0"/>
        <rFont val="Symbol"/>
        <family val="1"/>
        <charset val="2"/>
      </rPr>
      <t>S</t>
    </r>
    <r>
      <rPr>
        <b/>
        <sz val="11"/>
        <color theme="0"/>
        <rFont val="Calibri"/>
        <family val="2"/>
        <scheme val="minor"/>
      </rPr>
      <t>(Z</t>
    </r>
    <r>
      <rPr>
        <b/>
        <vertAlign val="subscript"/>
        <sz val="11"/>
        <color theme="0"/>
        <rFont val="Calibri"/>
        <family val="2"/>
        <scheme val="minor"/>
      </rPr>
      <t>bi</t>
    </r>
    <r>
      <rPr>
        <b/>
        <sz val="11"/>
        <color theme="0"/>
        <rFont val="Calibri"/>
        <family val="2"/>
        <scheme val="minor"/>
      </rPr>
      <t>)</t>
    </r>
    <r>
      <rPr>
        <b/>
        <vertAlign val="superscript"/>
        <sz val="11"/>
        <color theme="0"/>
        <rFont val="Calibri"/>
        <family val="2"/>
        <scheme val="minor"/>
      </rPr>
      <t>2</t>
    </r>
  </si>
  <si>
    <r>
      <rPr>
        <b/>
        <sz val="11"/>
        <color theme="0"/>
        <rFont val="Symbol"/>
        <family val="1"/>
        <charset val="2"/>
      </rPr>
      <t>S</t>
    </r>
    <r>
      <rPr>
        <b/>
        <sz val="11"/>
        <color theme="0"/>
        <rFont val="Calibri"/>
        <family val="2"/>
        <scheme val="minor"/>
      </rPr>
      <t>(yi-ȳ)</t>
    </r>
    <r>
      <rPr>
        <b/>
        <vertAlign val="superscript"/>
        <sz val="11"/>
        <color theme="0"/>
        <rFont val="Calibri"/>
        <family val="2"/>
        <scheme val="minor"/>
      </rPr>
      <t>2</t>
    </r>
  </si>
  <si>
    <t>RJ</t>
  </si>
  <si>
    <t>CV</t>
  </si>
  <si>
    <t xml:space="preserve">Estándar </t>
  </si>
  <si>
    <t>% Recuperado desordenado</t>
  </si>
  <si>
    <t xml:space="preserve"> μg/mL</t>
  </si>
  <si>
    <t>Promedio</t>
  </si>
  <si>
    <t>Hipotesis</t>
  </si>
  <si>
    <r>
      <t>S</t>
    </r>
    <r>
      <rPr>
        <b/>
        <vertAlign val="subscript"/>
        <sz val="11"/>
        <color theme="0"/>
        <rFont val="Calibri"/>
        <family val="2"/>
        <scheme val="minor"/>
      </rPr>
      <t>X</t>
    </r>
  </si>
  <si>
    <t>Exactitud</t>
  </si>
  <si>
    <t>Precisión</t>
  </si>
  <si>
    <r>
      <t xml:space="preserve"> H</t>
    </r>
    <r>
      <rPr>
        <b/>
        <vertAlign val="subscript"/>
        <sz val="11"/>
        <color theme="0"/>
        <rFont val="Calibri"/>
        <family val="2"/>
        <scheme val="minor"/>
      </rPr>
      <t>0</t>
    </r>
    <r>
      <rPr>
        <b/>
        <sz val="11"/>
        <color theme="0"/>
        <rFont val="Calibri"/>
        <family val="2"/>
        <scheme val="minor"/>
      </rPr>
      <t>:</t>
    </r>
  </si>
  <si>
    <t>μ =</t>
  </si>
  <si>
    <t>%</t>
  </si>
  <si>
    <r>
      <t>H</t>
    </r>
    <r>
      <rPr>
        <b/>
        <vertAlign val="subscript"/>
        <sz val="11"/>
        <color theme="0"/>
        <rFont val="Calibri"/>
        <family val="2"/>
        <scheme val="minor"/>
      </rPr>
      <t>0</t>
    </r>
    <r>
      <rPr>
        <b/>
        <sz val="11"/>
        <color theme="0"/>
        <rFont val="Calibri"/>
        <family val="2"/>
        <scheme val="minor"/>
      </rPr>
      <t>:</t>
    </r>
  </si>
  <si>
    <t>σ ≤</t>
  </si>
  <si>
    <r>
      <t>H</t>
    </r>
    <r>
      <rPr>
        <b/>
        <vertAlign val="subscript"/>
        <sz val="11"/>
        <color theme="0"/>
        <rFont val="Calibri"/>
        <family val="2"/>
        <scheme val="minor"/>
      </rPr>
      <t>1</t>
    </r>
    <r>
      <rPr>
        <b/>
        <sz val="11"/>
        <color theme="0"/>
        <rFont val="Calibri"/>
        <family val="2"/>
        <scheme val="minor"/>
      </rPr>
      <t>:</t>
    </r>
  </si>
  <si>
    <t>μ ≠</t>
  </si>
  <si>
    <t>σ &gt;</t>
  </si>
  <si>
    <r>
      <t>t</t>
    </r>
    <r>
      <rPr>
        <b/>
        <vertAlign val="subscript"/>
        <sz val="11"/>
        <color theme="0"/>
        <rFont val="Calibri"/>
        <family val="2"/>
        <scheme val="minor"/>
      </rPr>
      <t>Calculada</t>
    </r>
  </si>
  <si>
    <r>
      <rPr>
        <b/>
        <sz val="11"/>
        <color theme="0"/>
        <rFont val="Calibri"/>
        <family val="2"/>
      </rPr>
      <t>χ</t>
    </r>
    <r>
      <rPr>
        <b/>
        <vertAlign val="superscript"/>
        <sz val="11"/>
        <color theme="0"/>
        <rFont val="Calibri"/>
        <family val="2"/>
      </rPr>
      <t>2</t>
    </r>
    <r>
      <rPr>
        <b/>
        <vertAlign val="subscript"/>
        <sz val="11"/>
        <color theme="0"/>
        <rFont val="Calibri"/>
        <family val="2"/>
        <scheme val="minor"/>
      </rPr>
      <t>Calculada</t>
    </r>
  </si>
  <si>
    <r>
      <t>t</t>
    </r>
    <r>
      <rPr>
        <b/>
        <vertAlign val="subscript"/>
        <sz val="11"/>
        <color theme="0"/>
        <rFont val="Calibri"/>
        <family val="2"/>
        <scheme val="minor"/>
      </rPr>
      <t>Tablas</t>
    </r>
  </si>
  <si>
    <r>
      <rPr>
        <b/>
        <sz val="11"/>
        <color theme="0"/>
        <rFont val="Calibri"/>
        <family val="2"/>
      </rPr>
      <t>χ</t>
    </r>
    <r>
      <rPr>
        <b/>
        <vertAlign val="superscript"/>
        <sz val="11"/>
        <color theme="0"/>
        <rFont val="Calibri"/>
        <family val="2"/>
      </rPr>
      <t>2</t>
    </r>
    <r>
      <rPr>
        <b/>
        <vertAlign val="subscript"/>
        <sz val="11"/>
        <color theme="0"/>
        <rFont val="Calibri"/>
        <family val="2"/>
        <scheme val="minor"/>
      </rPr>
      <t>Tablas</t>
    </r>
  </si>
  <si>
    <t>Inferior</t>
  </si>
  <si>
    <t>Superior</t>
  </si>
  <si>
    <t>F</t>
  </si>
  <si>
    <t>MC*F</t>
  </si>
  <si>
    <r>
      <t>F*(MC-Y</t>
    </r>
    <r>
      <rPr>
        <b/>
        <vertAlign val="subscript"/>
        <sz val="11"/>
        <color theme="0"/>
        <rFont val="Calibri"/>
        <family val="2"/>
        <scheme val="minor"/>
      </rPr>
      <t>Prom</t>
    </r>
    <r>
      <rPr>
        <b/>
        <sz val="11"/>
        <color theme="0"/>
        <rFont val="Calibri"/>
        <family val="2"/>
        <scheme val="minor"/>
      </rPr>
      <t>)</t>
    </r>
    <r>
      <rPr>
        <b/>
        <vertAlign val="superscript"/>
        <sz val="11"/>
        <color theme="0"/>
        <rFont val="Calibri"/>
        <family val="2"/>
        <scheme val="minor"/>
      </rPr>
      <t>2</t>
    </r>
  </si>
  <si>
    <r>
      <t>F</t>
    </r>
    <r>
      <rPr>
        <b/>
        <vertAlign val="subscript"/>
        <sz val="11"/>
        <color theme="0"/>
        <rFont val="Calibri"/>
        <family val="2"/>
        <scheme val="minor"/>
      </rPr>
      <t>acumulada</t>
    </r>
  </si>
  <si>
    <r>
      <t>%F</t>
    </r>
    <r>
      <rPr>
        <b/>
        <vertAlign val="subscript"/>
        <sz val="11"/>
        <color theme="0"/>
        <rFont val="Calibri"/>
        <family val="2"/>
        <scheme val="minor"/>
      </rPr>
      <t>acumulada</t>
    </r>
  </si>
  <si>
    <t>Zinf</t>
  </si>
  <si>
    <t>Zsup</t>
  </si>
  <si>
    <t>ABC</t>
  </si>
  <si>
    <r>
      <t>%F</t>
    </r>
    <r>
      <rPr>
        <b/>
        <vertAlign val="subscript"/>
        <sz val="11"/>
        <color theme="0"/>
        <rFont val="Calibri"/>
        <family val="2"/>
        <scheme val="minor"/>
      </rPr>
      <t>AcuNorm</t>
    </r>
  </si>
  <si>
    <r>
      <t>Calculo de Cp</t>
    </r>
    <r>
      <rPr>
        <b/>
        <vertAlign val="subscript"/>
        <sz val="11"/>
        <color theme="0"/>
        <rFont val="Calibri"/>
        <family val="2"/>
        <scheme val="minor"/>
      </rPr>
      <t>K</t>
    </r>
  </si>
  <si>
    <t>Calculo de PpK</t>
  </si>
  <si>
    <t>Nº</t>
  </si>
  <si>
    <t>M1</t>
  </si>
  <si>
    <t>M2</t>
  </si>
  <si>
    <t>M3</t>
  </si>
  <si>
    <t>√n</t>
  </si>
  <si>
    <t>-----</t>
  </si>
  <si>
    <r>
      <t>Cp</t>
    </r>
    <r>
      <rPr>
        <b/>
        <vertAlign val="subscript"/>
        <sz val="11"/>
        <rFont val="Calibri"/>
        <family val="2"/>
        <scheme val="minor"/>
      </rPr>
      <t>S</t>
    </r>
  </si>
  <si>
    <r>
      <t>Pp</t>
    </r>
    <r>
      <rPr>
        <b/>
        <vertAlign val="subscript"/>
        <sz val="11"/>
        <rFont val="Calibri"/>
        <family val="2"/>
        <scheme val="minor"/>
      </rPr>
      <t>S</t>
    </r>
  </si>
  <si>
    <r>
      <t>Cp</t>
    </r>
    <r>
      <rPr>
        <b/>
        <vertAlign val="subscript"/>
        <sz val="11"/>
        <rFont val="Calibri"/>
        <family val="2"/>
        <scheme val="minor"/>
      </rPr>
      <t>i</t>
    </r>
  </si>
  <si>
    <r>
      <t>Pp</t>
    </r>
    <r>
      <rPr>
        <b/>
        <vertAlign val="subscript"/>
        <sz val="11"/>
        <rFont val="Calibri"/>
        <family val="2"/>
        <scheme val="minor"/>
      </rPr>
      <t>i</t>
    </r>
  </si>
  <si>
    <r>
      <t>Cp</t>
    </r>
    <r>
      <rPr>
        <b/>
        <vertAlign val="subscript"/>
        <sz val="11"/>
        <rFont val="Calibri"/>
        <family val="2"/>
        <scheme val="minor"/>
      </rPr>
      <t>K</t>
    </r>
  </si>
  <si>
    <r>
      <t>Pp</t>
    </r>
    <r>
      <rPr>
        <b/>
        <vertAlign val="subscript"/>
        <sz val="11"/>
        <rFont val="Calibri"/>
        <family val="2"/>
        <scheme val="minor"/>
      </rPr>
      <t>K</t>
    </r>
  </si>
  <si>
    <r>
      <t>Promedio</t>
    </r>
    <r>
      <rPr>
        <b/>
        <vertAlign val="subscript"/>
        <sz val="11"/>
        <color theme="0"/>
        <rFont val="Calibri"/>
        <family val="2"/>
        <scheme val="minor"/>
      </rPr>
      <t>Agrupados</t>
    </r>
  </si>
  <si>
    <r>
      <t>S</t>
    </r>
    <r>
      <rPr>
        <b/>
        <vertAlign val="subscript"/>
        <sz val="11"/>
        <color theme="0"/>
        <rFont val="Calibri"/>
        <family val="2"/>
        <scheme val="minor"/>
      </rPr>
      <t xml:space="preserve"> Agrupados</t>
    </r>
  </si>
  <si>
    <r>
      <t>L</t>
    </r>
    <r>
      <rPr>
        <b/>
        <vertAlign val="subscript"/>
        <sz val="11"/>
        <rFont val="Calibri"/>
        <family val="2"/>
        <scheme val="minor"/>
      </rPr>
      <t>s</t>
    </r>
  </si>
  <si>
    <r>
      <t>L</t>
    </r>
    <r>
      <rPr>
        <b/>
        <vertAlign val="subscript"/>
        <sz val="11"/>
        <rFont val="Calibri"/>
        <family val="2"/>
        <scheme val="minor"/>
      </rPr>
      <t>i</t>
    </r>
  </si>
  <si>
    <r>
      <t>d</t>
    </r>
    <r>
      <rPr>
        <b/>
        <vertAlign val="subscript"/>
        <sz val="11"/>
        <rFont val="Calibri"/>
        <family val="2"/>
        <scheme val="minor"/>
      </rPr>
      <t>2</t>
    </r>
  </si>
  <si>
    <t xml:space="preserve"> </t>
  </si>
  <si>
    <t>∑</t>
  </si>
  <si>
    <t>Datos Ordenados</t>
  </si>
  <si>
    <t>Probabilidades</t>
  </si>
  <si>
    <t>Intervalo de confianza (Datos individuales)</t>
  </si>
  <si>
    <t>Dureza</t>
  </si>
  <si>
    <t>P≥6.6</t>
  </si>
  <si>
    <t>7.6≤P≤8.0</t>
  </si>
  <si>
    <t>P≥6.6∩7.6≤P≤8.0</t>
  </si>
  <si>
    <t>y≥9.5 U y≤6.6</t>
  </si>
  <si>
    <t>Redondeo</t>
  </si>
  <si>
    <t>Datos Crudos</t>
  </si>
  <si>
    <t>Min</t>
  </si>
  <si>
    <t>Amplitud</t>
  </si>
  <si>
    <t>De</t>
  </si>
  <si>
    <t>Hasta</t>
  </si>
  <si>
    <t>Normal</t>
  </si>
  <si>
    <t>Máx</t>
  </si>
  <si>
    <t>MIN</t>
  </si>
  <si>
    <t>MÁX</t>
  </si>
  <si>
    <r>
      <t>R</t>
    </r>
    <r>
      <rPr>
        <b/>
        <vertAlign val="subscript"/>
        <sz val="11"/>
        <color theme="0"/>
        <rFont val="Calibri"/>
        <family val="2"/>
        <scheme val="minor"/>
      </rPr>
      <t>promedio</t>
    </r>
  </si>
  <si>
    <t>Equipo 1</t>
  </si>
  <si>
    <t>Equipo 2</t>
  </si>
  <si>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t>
    </r>
  </si>
  <si>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t>
    </r>
    <r>
      <rPr>
        <b/>
        <sz val="11"/>
        <color theme="0"/>
        <rFont val="Calibri"/>
        <family val="1"/>
        <charset val="2"/>
        <scheme val="minor"/>
      </rPr>
      <t>/br</t>
    </r>
  </si>
  <si>
    <t>Velocidad Baja</t>
  </si>
  <si>
    <r>
      <t>y</t>
    </r>
    <r>
      <rPr>
        <b/>
        <vertAlign val="superscript"/>
        <sz val="11"/>
        <color theme="0"/>
        <rFont val="Calibri"/>
        <family val="2"/>
        <scheme val="minor"/>
      </rPr>
      <t>2</t>
    </r>
    <r>
      <rPr>
        <b/>
        <vertAlign val="subscript"/>
        <sz val="11"/>
        <color theme="0"/>
        <rFont val="Calibri"/>
        <family val="2"/>
        <scheme val="minor"/>
      </rPr>
      <t>…</t>
    </r>
  </si>
  <si>
    <r>
      <t>y</t>
    </r>
    <r>
      <rPr>
        <b/>
        <vertAlign val="superscript"/>
        <sz val="11"/>
        <color theme="0"/>
        <rFont val="Calibri"/>
        <family val="2"/>
        <scheme val="minor"/>
      </rPr>
      <t>2</t>
    </r>
    <r>
      <rPr>
        <b/>
        <vertAlign val="subscript"/>
        <sz val="11"/>
        <color theme="0"/>
        <rFont val="Calibri"/>
        <family val="2"/>
        <scheme val="minor"/>
      </rPr>
      <t>...</t>
    </r>
    <r>
      <rPr>
        <b/>
        <sz val="11"/>
        <color theme="0"/>
        <rFont val="Calibri"/>
        <family val="2"/>
        <scheme val="minor"/>
      </rPr>
      <t>/abr</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</si>
  <si>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</si>
  <si>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t>
    </r>
    <r>
      <rPr>
        <b/>
        <sz val="11"/>
        <color theme="0"/>
        <rFont val="Calibri"/>
        <family val="1"/>
        <charset val="2"/>
        <scheme val="minor"/>
      </rPr>
      <t>/r</t>
    </r>
  </si>
  <si>
    <t>Velocidad Alta</t>
  </si>
  <si>
    <r>
      <rPr>
        <b/>
        <sz val="11"/>
        <color theme="0"/>
        <rFont val="Symbol"/>
        <family val="1"/>
        <charset val="2"/>
      </rPr>
      <t>SSS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klj</t>
    </r>
  </si>
  <si>
    <r>
      <t>Y</t>
    </r>
    <r>
      <rPr>
        <vertAlign val="subscript"/>
        <sz val="11"/>
        <color theme="0"/>
        <rFont val="Calibri"/>
        <family val="2"/>
        <scheme val="minor"/>
      </rPr>
      <t>ij</t>
    </r>
    <r>
      <rPr>
        <sz val="11"/>
        <color theme="0"/>
        <rFont val="Calibri"/>
        <family val="2"/>
        <scheme val="minor"/>
      </rPr>
      <t>=</t>
    </r>
    <r>
      <rPr>
        <sz val="11"/>
        <color theme="0"/>
        <rFont val="Arial"/>
        <family val="2"/>
      </rPr>
      <t>μ</t>
    </r>
    <r>
      <rPr>
        <sz val="11"/>
        <color theme="0"/>
        <rFont val="Calibri"/>
        <family val="2"/>
      </rPr>
      <t>+M</t>
    </r>
    <r>
      <rPr>
        <vertAlign val="subscript"/>
        <sz val="11"/>
        <color theme="0"/>
        <rFont val="Calibri"/>
        <family val="2"/>
      </rPr>
      <t>k</t>
    </r>
    <r>
      <rPr>
        <sz val="11"/>
        <color theme="0"/>
        <rFont val="Calibri"/>
        <family val="2"/>
      </rPr>
      <t>+V</t>
    </r>
    <r>
      <rPr>
        <vertAlign val="subscript"/>
        <sz val="11"/>
        <color theme="0"/>
        <rFont val="Calibri"/>
        <family val="2"/>
      </rPr>
      <t>l(k)</t>
    </r>
    <r>
      <rPr>
        <sz val="11"/>
        <color theme="0"/>
        <rFont val="Calibri"/>
        <family val="2"/>
      </rPr>
      <t>+e</t>
    </r>
    <r>
      <rPr>
        <vertAlign val="subscript"/>
        <sz val="11"/>
        <color theme="0"/>
        <rFont val="Calibri"/>
        <family val="2"/>
      </rPr>
      <t>j(i)</t>
    </r>
  </si>
  <si>
    <r>
      <t>E</t>
    </r>
    <r>
      <rPr>
        <vertAlign val="subscript"/>
        <sz val="11"/>
        <color theme="1"/>
        <rFont val="Calibri"/>
        <family val="2"/>
        <scheme val="minor"/>
      </rPr>
      <t>k</t>
    </r>
  </si>
  <si>
    <r>
      <t>V</t>
    </r>
    <r>
      <rPr>
        <vertAlign val="subscript"/>
        <sz val="11"/>
        <color theme="1"/>
        <rFont val="Calibri"/>
        <family val="2"/>
        <scheme val="minor"/>
      </rPr>
      <t>i(K)</t>
    </r>
  </si>
  <si>
    <r>
      <t>e</t>
    </r>
    <r>
      <rPr>
        <vertAlign val="subscript"/>
        <sz val="11"/>
        <color theme="1"/>
        <rFont val="Calibri"/>
        <family val="2"/>
        <scheme val="minor"/>
      </rPr>
      <t>j(kl)</t>
    </r>
  </si>
  <si>
    <t>=</t>
  </si>
  <si>
    <r>
      <t>e</t>
    </r>
    <r>
      <rPr>
        <vertAlign val="subscript"/>
        <sz val="11"/>
        <color theme="1"/>
        <rFont val="Calibri"/>
        <family val="2"/>
        <scheme val="minor"/>
      </rPr>
      <t xml:space="preserve">j(i) </t>
    </r>
    <r>
      <rPr>
        <sz val="11"/>
        <color theme="1"/>
        <rFont val="Calibri"/>
        <family val="2"/>
        <scheme val="minor"/>
      </rPr>
      <t>Es independiente</t>
    </r>
  </si>
  <si>
    <r>
      <rPr>
        <b/>
        <sz val="13"/>
        <color theme="1"/>
        <rFont val="Calibri"/>
        <family val="2"/>
        <scheme val="minor"/>
      </rPr>
      <t>Enunciado:</t>
    </r>
    <r>
      <rPr>
        <sz val="13"/>
        <color theme="1"/>
        <rFont val="Calibri"/>
        <family val="2"/>
        <scheme val="minor"/>
      </rPr>
      <t xml:space="preserve"> Para evaluar el efecto del tipo  de mezclador se decidió hacer dos lotes por cada mezclador y evaluar la DER del contenido del granulado. Con base en los siguientes resultados Doble Cono (7.1,8.2), Doble Cono Slant (5.2, 4.4), Mezclador Pantalón (3.1, 2.6). Proponga el modelo estadístico de análisis, cuales son sus supuestos y a que conclusión llega.</t>
    </r>
  </si>
  <si>
    <r>
      <rPr>
        <b/>
        <sz val="13"/>
        <color theme="1"/>
        <rFont val="Calibri"/>
        <family val="2"/>
        <scheme val="minor"/>
      </rPr>
      <t xml:space="preserve">Enunciado: </t>
    </r>
    <r>
      <rPr>
        <sz val="13"/>
        <color theme="1"/>
        <rFont val="Calibri"/>
        <family val="2"/>
        <scheme val="minor"/>
      </rPr>
      <t>Se realizo un estudio de linealidad de un método analítico. Con base en los datos de la tabla 1 pruebe que la pendiente es igual a 1 y la ordenada al origen es igual a cero. Calcule un intervalo de confianza para X</t>
    </r>
    <r>
      <rPr>
        <vertAlign val="subscript"/>
        <sz val="13"/>
        <color theme="1"/>
        <rFont val="Calibri"/>
        <family val="2"/>
        <scheme val="minor"/>
      </rPr>
      <t>0</t>
    </r>
    <r>
      <rPr>
        <sz val="13"/>
        <color theme="1"/>
        <rFont val="Calibri"/>
        <family val="2"/>
        <scheme val="minor"/>
      </rPr>
      <t xml:space="preserve"> igual a 100%. Los datos de la tabla 1 son las áreas bajo la curva y el 100% es 10 µg/mL.</t>
    </r>
  </si>
  <si>
    <t>m</t>
  </si>
  <si>
    <r>
      <rPr>
        <b/>
        <sz val="13"/>
        <color theme="1"/>
        <rFont val="Calibri"/>
        <family val="2"/>
        <scheme val="minor"/>
      </rPr>
      <t>Enunciado:</t>
    </r>
    <r>
      <rPr>
        <sz val="13"/>
        <color theme="1"/>
        <rFont val="Calibri"/>
        <family val="2"/>
        <scheme val="minor"/>
      </rPr>
      <t xml:space="preserve"> Se realizo el estudio para evaluar la exactitud y precisión del método analítico. Con base en los datos de la tabla 1, calcule el % de recuperación y pruebe si los datos cumplen normalidad, precisión y exactitud.</t>
    </r>
  </si>
  <si>
    <r>
      <rPr>
        <b/>
        <sz val="13"/>
        <color theme="1"/>
        <rFont val="Calibri"/>
        <family val="2"/>
        <scheme val="minor"/>
      </rPr>
      <t>Enunciado:</t>
    </r>
    <r>
      <rPr>
        <sz val="13"/>
        <color theme="1"/>
        <rFont val="Calibri"/>
        <family val="2"/>
        <scheme val="minor"/>
      </rPr>
      <t xml:space="preserve"> El Gerente de Validación requiere probar que el equipo de mezclado y la velocidad de mezclado son equivalentes. El gerente sabe que el equipo 1 mezcla a 10 y 15 rpm y el equipo 2 mezcla a 75 y 140 rpm y que los resultados del Cpk de contenido obtenidos en dos lotes por tratamiento son: E lVlO (1.1, 1.3), E1V15 (1.8, 2.2), E2V75 (1.7, 2.2 ), E2V140 (2.5, 2.8). Ayude al gerente realizando el análisis estadístico y dando su conclusión.</t>
    </r>
  </si>
  <si>
    <t>Tabla 1. Cantidad añadida en cada nivel de concentración en μg/mL</t>
  </si>
  <si>
    <r>
      <rPr>
        <b/>
        <sz val="11"/>
        <color theme="0"/>
        <rFont val="Arial"/>
        <family val="2"/>
      </rPr>
      <t>Tabla 1. Cantidad añadida en cada nivel de concentración en μ</t>
    </r>
    <r>
      <rPr>
        <b/>
        <sz val="11"/>
        <color theme="0"/>
        <rFont val="Calibri"/>
        <family val="2"/>
      </rPr>
      <t>g/mL</t>
    </r>
  </si>
  <si>
    <t>Dureza de las tabletas (Nt)</t>
  </si>
  <si>
    <t>Rango</t>
  </si>
  <si>
    <r>
      <rPr>
        <b/>
        <sz val="14"/>
        <color theme="1"/>
        <rFont val="Calibri"/>
        <family val="2"/>
        <scheme val="minor"/>
      </rPr>
      <t>Enunciado:</t>
    </r>
    <r>
      <rPr>
        <sz val="14"/>
        <color theme="1"/>
        <rFont val="Calibri"/>
        <family val="2"/>
        <scheme val="minor"/>
      </rPr>
      <t xml:space="preserve"> Con base en los datos de dureza de tabletas en mg de la tabla 2:
</t>
    </r>
    <r>
      <rPr>
        <sz val="14"/>
        <color theme="7" tint="-0.249977111117893"/>
        <rFont val="Calibri"/>
        <family val="2"/>
        <scheme val="minor"/>
      </rPr>
      <t>a) Calcule el Cpk y el Ppk consideran do una dureza teórica de 8 Kg y limites de dureza entre 4- 12 Kg.</t>
    </r>
    <r>
      <rPr>
        <sz val="14"/>
        <color theme="1"/>
        <rFont val="Calibri"/>
        <family val="2"/>
        <scheme val="minor"/>
      </rPr>
      <t xml:space="preserve">
</t>
    </r>
    <r>
      <rPr>
        <sz val="14"/>
        <color rgb="FFB400B4"/>
        <rFont val="Calibri"/>
        <family val="2"/>
        <scheme val="minor"/>
      </rPr>
      <t xml:space="preserve">b) Calcule un intervalo de confianza para durezas individuales al 99%.
</t>
    </r>
    <r>
      <rPr>
        <sz val="14"/>
        <color theme="4" tint="-0.249977111117893"/>
        <rFont val="Calibri"/>
        <family val="2"/>
        <scheme val="minor"/>
      </rPr>
      <t xml:space="preserve">c) Agrupe los datos sin considerar los tiempos de muestreo y elabore la gráfica de Z vs Y.
</t>
    </r>
    <r>
      <rPr>
        <sz val="14"/>
        <color theme="9"/>
        <rFont val="Calibri"/>
        <family val="2"/>
        <scheme val="minor"/>
      </rPr>
      <t>d) Calcule la probabilidad de que a) P(y≥6.6); b) P(7.6≤y≤8.0); c) P(y≥6.6 ∩ 7.6≤y≤8.0); y d) P(y≥9.5 U y≤6.6)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</si>
</sst>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3">
    <font>
      <sz val="11"/>
      <color theme="1"/>
      <name val="Calibri"/>
      <family val="2"/>
      <scheme val="minor"/>
    </font>
    <font>
      <sz val="11"/>
      <color theme="0"/>
      <name val="Calibri"/>
      <family val="2"/>
      <scheme val="minor"/>
    </font>
    <font>
      <b/>
      <sz val="11"/>
      <color theme="0"/>
      <name val="Calibri"/>
      <family val="2"/>
      <scheme val="minor"/>
    </font>
    <font>
      <b/>
      <sz val="11"/>
      <color theme="0"/>
      <name val="Calibri"/>
      <family val="2"/>
    </font>
    <font>
      <b/>
      <sz val="11"/>
      <color theme="0"/>
      <name val="Arial"/>
      <family val="2"/>
    </font>
    <font>
      <b/>
      <vertAlign val="subscript"/>
      <sz val="11"/>
      <color theme="0"/>
      <name val="Calibri"/>
      <family val="2"/>
      <scheme val="minor"/>
    </font>
    <font>
      <b/>
      <sz val="11"/>
      <color theme="0"/>
      <name val="Calibri"/>
      <family val="1"/>
      <charset val="2"/>
      <scheme val="minor"/>
    </font>
    <font>
      <b/>
      <sz val="11"/>
      <color theme="0"/>
      <name val="Symbol"/>
      <family val="1"/>
      <charset val="2"/>
    </font>
    <font>
      <b/>
      <vertAlign val="superscript"/>
      <sz val="11"/>
      <color theme="0"/>
      <name val="Calibri"/>
      <family val="2"/>
      <scheme val="minor"/>
    </font>
    <font>
      <b/>
      <sz val="11"/>
      <color theme="1"/>
      <name val="Calibri"/>
      <family val="2"/>
      <scheme val="minor"/>
    </font>
    <font>
      <b/>
      <vertAlign val="superscript"/>
      <sz val="11"/>
      <color theme="0"/>
      <name val="Arial"/>
      <family val="2"/>
    </font>
    <font>
      <b/>
      <i/>
      <sz val="11"/>
      <color theme="0"/>
      <name val="Calibri"/>
      <family val="2"/>
      <scheme val="minor"/>
    </font>
    <font>
      <vertAlign val="subscript"/>
      <sz val="11"/>
      <color theme="1"/>
      <name val="Calibri"/>
      <family val="2"/>
      <scheme val="minor"/>
    </font>
    <font>
      <vertAlign val="subscript"/>
      <sz val="11"/>
      <color theme="0"/>
      <name val="Calibri"/>
      <family val="2"/>
      <scheme val="minor"/>
    </font>
    <font>
      <sz val="11"/>
      <color theme="0"/>
      <name val="Arial"/>
      <family val="2"/>
    </font>
    <font>
      <sz val="11"/>
      <color theme="0"/>
      <name val="Calibri"/>
      <family val="2"/>
    </font>
    <font>
      <vertAlign val="subscript"/>
      <sz val="11"/>
      <color theme="0"/>
      <name val="Calibri"/>
      <family val="2"/>
    </font>
    <font>
      <b/>
      <vertAlign val="superscript"/>
      <sz val="11"/>
      <color theme="0"/>
      <name val="Calibri"/>
      <family val="2"/>
    </font>
    <font>
      <i/>
      <sz val="11"/>
      <color theme="1"/>
      <name val="Calibri"/>
      <family val="2"/>
      <scheme val="minor"/>
    </font>
    <font>
      <b/>
      <sz val="11"/>
      <name val="Calibri"/>
      <family val="2"/>
      <scheme val="minor"/>
    </font>
    <font>
      <b/>
      <vertAlign val="subscript"/>
      <sz val="11"/>
      <name val="Calibri"/>
      <family val="2"/>
      <scheme val="minor"/>
    </font>
    <font>
      <sz val="11"/>
      <color theme="1"/>
      <name val="Symbol"/>
      <family val="1"/>
      <charset val="2"/>
    </font>
    <font>
      <i/>
      <sz val="11"/>
      <color theme="0"/>
      <name val="Calibri"/>
      <family val="2"/>
      <scheme val="minor"/>
    </font>
    <font>
      <b/>
      <vertAlign val="subscript"/>
      <sz val="11"/>
      <color theme="0"/>
      <name val="Calibri"/>
      <family val="2"/>
    </font>
    <font>
      <sz val="13"/>
      <color theme="1"/>
      <name val="Calibri"/>
      <family val="2"/>
      <scheme val="minor"/>
    </font>
    <font>
      <b/>
      <sz val="13"/>
      <color theme="1"/>
      <name val="Calibri"/>
      <family val="2"/>
      <scheme val="minor"/>
    </font>
    <font>
      <vertAlign val="subscript"/>
      <sz val="13"/>
      <color theme="1"/>
      <name val="Calibri"/>
      <family val="2"/>
      <scheme val="minor"/>
    </font>
    <font>
      <sz val="14"/>
      <color theme="1"/>
      <name val="Calibri"/>
      <family val="2"/>
      <scheme val="minor"/>
    </font>
    <font>
      <b/>
      <sz val="14"/>
      <color theme="1"/>
      <name val="Calibri"/>
      <family val="2"/>
      <scheme val="minor"/>
    </font>
    <font>
      <sz val="14"/>
      <color rgb="FFB400B4"/>
      <name val="Calibri"/>
      <family val="2"/>
      <scheme val="minor"/>
    </font>
    <font>
      <sz val="14"/>
      <color theme="4" tint="-0.249977111117893"/>
      <name val="Calibri"/>
      <family val="2"/>
      <scheme val="minor"/>
    </font>
    <font>
      <sz val="14"/>
      <color theme="9"/>
      <name val="Calibri"/>
      <family val="2"/>
      <scheme val="minor"/>
    </font>
    <font>
      <sz val="14"/>
      <color theme="7" tint="-0.249977111117893"/>
      <name val="Calibri"/>
      <family val="2"/>
      <scheme val="minor"/>
    </font>
  </fonts>
  <fills count="37">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rgb="FF660066"/>
        <bgColor indexed="64"/>
      </patternFill>
    </fill>
    <fill>
      <patternFill patternType="solid">
        <fgColor rgb="FFB400B4"/>
        <bgColor indexed="64"/>
      </patternFill>
    </fill>
    <fill>
      <patternFill patternType="solid">
        <fgColor rgb="FFFFDDFF"/>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7030A0"/>
        <bgColor indexed="64"/>
      </patternFill>
    </fill>
    <fill>
      <patternFill patternType="solid">
        <fgColor rgb="FF5C0000"/>
        <bgColor indexed="64"/>
      </patternFill>
    </fill>
    <fill>
      <patternFill patternType="solid">
        <fgColor rgb="FFFFD5D5"/>
        <bgColor indexed="64"/>
      </patternFill>
    </fill>
    <fill>
      <patternFill patternType="solid">
        <fgColor rgb="FFEADCF4"/>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213414"/>
        <bgColor indexed="64"/>
      </patternFill>
    </fill>
    <fill>
      <patternFill patternType="solid">
        <fgColor rgb="FFC00000"/>
        <bgColor indexed="64"/>
      </patternFill>
    </fill>
    <fill>
      <patternFill patternType="solid">
        <fgColor theme="4" tint="0.39997558519241921"/>
        <bgColor indexed="64"/>
      </patternFill>
    </fill>
    <fill>
      <patternFill patternType="solid">
        <fgColor rgb="FFFFE7E7"/>
        <bgColor indexed="64"/>
      </patternFill>
    </fill>
    <fill>
      <patternFill patternType="solid">
        <fgColor theme="9"/>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9">
    <xf numFmtId="0" fontId="0" fillId="0" borderId="0" xfId="0"/>
    <xf numFmtId="0" fontId="0" fillId="0" borderId="0" xfId="0" applyAlignment="1">
      <alignment vertical="center"/>
    </xf>
    <xf numFmtId="0" fontId="0" fillId="0" borderId="0" xfId="0" applyAlignment="1">
      <alignment horizontal="left"/>
    </xf>
    <xf numFmtId="0" fontId="1" fillId="0" borderId="1" xfId="0" applyFont="1" applyBorder="1" applyAlignment="1">
      <alignment horizontal="center" vertical="center"/>
    </xf>
    <xf numFmtId="0" fontId="0" fillId="4" borderId="1" xfId="0" applyFill="1" applyBorder="1" applyAlignment="1">
      <alignment horizontal="center" vertical="center"/>
    </xf>
    <xf numFmtId="164" fontId="0" fillId="7"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10" borderId="1" xfId="0" applyNumberFormat="1" applyFill="1" applyBorder="1" applyAlignment="1">
      <alignment horizontal="center" vertical="center"/>
    </xf>
    <xf numFmtId="0" fontId="0" fillId="13" borderId="1" xfId="0" applyFill="1" applyBorder="1" applyAlignment="1">
      <alignment horizontal="center" vertical="center"/>
    </xf>
    <xf numFmtId="164" fontId="0" fillId="13" borderId="1" xfId="0" applyNumberFormat="1" applyFill="1" applyBorder="1" applyAlignment="1">
      <alignment horizontal="center" vertical="center"/>
    </xf>
    <xf numFmtId="0" fontId="3" fillId="11" borderId="1" xfId="0" applyFont="1" applyFill="1" applyBorder="1" applyAlignment="1">
      <alignment horizontal="left" vertical="center"/>
    </xf>
    <xf numFmtId="0" fontId="2" fillId="11" borderId="1" xfId="0" applyFont="1" applyFill="1" applyBorder="1"/>
    <xf numFmtId="164" fontId="0" fillId="13" borderId="1" xfId="0" applyNumberFormat="1" applyFill="1" applyBorder="1"/>
    <xf numFmtId="164" fontId="0" fillId="16" borderId="1" xfId="0" applyNumberFormat="1" applyFill="1" applyBorder="1" applyAlignment="1">
      <alignment horizontal="center" vertical="center"/>
    </xf>
    <xf numFmtId="164" fontId="0" fillId="19" borderId="1" xfId="0" applyNumberFormat="1" applyFill="1" applyBorder="1" applyAlignment="1">
      <alignment horizontal="center" vertical="center"/>
    </xf>
    <xf numFmtId="0" fontId="6" fillId="17" borderId="1" xfId="0" applyFont="1" applyFill="1" applyBorder="1" applyAlignment="1">
      <alignment horizontal="left" vertical="center"/>
    </xf>
    <xf numFmtId="0" fontId="6" fillId="17" borderId="1" xfId="0" applyFont="1" applyFill="1" applyBorder="1" applyAlignment="1">
      <alignment horizontal="left"/>
    </xf>
    <xf numFmtId="0" fontId="2" fillId="17" borderId="1" xfId="0" applyFont="1" applyFill="1" applyBorder="1" applyAlignment="1">
      <alignment horizontal="left"/>
    </xf>
    <xf numFmtId="164" fontId="0" fillId="19" borderId="1" xfId="0" applyNumberFormat="1" applyFill="1" applyBorder="1"/>
    <xf numFmtId="0" fontId="2"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xf numFmtId="0" fontId="2" fillId="12" borderId="1" xfId="0" applyFont="1" applyFill="1" applyBorder="1" applyAlignment="1">
      <alignment horizontal="center" vertical="center"/>
    </xf>
    <xf numFmtId="0" fontId="2" fillId="18"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1" xfId="0" applyFont="1" applyFill="1" applyBorder="1" applyAlignment="1">
      <alignment horizontal="center"/>
    </xf>
    <xf numFmtId="0" fontId="0" fillId="0" borderId="0" xfId="0" applyAlignment="1">
      <alignment horizontal="center"/>
    </xf>
    <xf numFmtId="0" fontId="2" fillId="20" borderId="1" xfId="0" applyFont="1" applyFill="1" applyBorder="1" applyAlignment="1">
      <alignment horizontal="center" vertical="center"/>
    </xf>
    <xf numFmtId="0" fontId="0" fillId="0" borderId="1" xfId="0" applyBorder="1" applyAlignment="1">
      <alignment horizontal="center" vertical="center"/>
    </xf>
    <xf numFmtId="0" fontId="6" fillId="22" borderId="1" xfId="0" applyFont="1" applyFill="1" applyBorder="1" applyAlignment="1">
      <alignment horizontal="center" vertical="center"/>
    </xf>
    <xf numFmtId="0" fontId="2" fillId="22" borderId="1" xfId="0" applyFont="1" applyFill="1" applyBorder="1" applyAlignment="1">
      <alignment horizontal="center" vertical="center"/>
    </xf>
    <xf numFmtId="0" fontId="6" fillId="22" borderId="1" xfId="0" applyFont="1" applyFill="1" applyBorder="1" applyAlignment="1">
      <alignment horizontal="center"/>
    </xf>
    <xf numFmtId="0" fontId="6" fillId="2" borderId="1" xfId="0" applyFont="1" applyFill="1" applyBorder="1" applyAlignment="1">
      <alignment horizontal="center" vertical="center"/>
    </xf>
    <xf numFmtId="0" fontId="6" fillId="2" borderId="1" xfId="0" applyFont="1" applyFill="1" applyBorder="1"/>
    <xf numFmtId="0" fontId="0" fillId="4" borderId="1" xfId="0" applyFill="1" applyBorder="1"/>
    <xf numFmtId="0" fontId="2" fillId="23" borderId="1" xfId="0" applyFont="1" applyFill="1" applyBorder="1" applyAlignment="1">
      <alignment horizontal="center" vertical="center"/>
    </xf>
    <xf numFmtId="0" fontId="0" fillId="24" borderId="1" xfId="0" applyFill="1" applyBorder="1" applyAlignment="1">
      <alignment horizontal="center" vertical="center"/>
    </xf>
    <xf numFmtId="0" fontId="0" fillId="25" borderId="1" xfId="0" applyFill="1" applyBorder="1"/>
    <xf numFmtId="0" fontId="2" fillId="15" borderId="1" xfId="0" applyFont="1" applyFill="1" applyBorder="1" applyAlignment="1">
      <alignment horizontal="center"/>
    </xf>
    <xf numFmtId="0" fontId="0" fillId="26" borderId="1" xfId="0" applyFill="1" applyBorder="1"/>
    <xf numFmtId="0" fontId="0" fillId="16" borderId="1" xfId="0" applyFill="1" applyBorder="1" applyAlignment="1">
      <alignment horizontal="center" vertical="center"/>
    </xf>
    <xf numFmtId="0" fontId="0" fillId="16" borderId="1" xfId="0" applyFill="1" applyBorder="1" applyAlignment="1">
      <alignment horizontal="center"/>
    </xf>
    <xf numFmtId="0" fontId="2" fillId="9" borderId="2" xfId="0" applyFont="1" applyFill="1" applyBorder="1" applyAlignment="1">
      <alignment horizontal="right"/>
    </xf>
    <xf numFmtId="0" fontId="4" fillId="9" borderId="4" xfId="0" applyFont="1" applyFill="1" applyBorder="1" applyAlignment="1">
      <alignment horizontal="right" vertical="center"/>
    </xf>
    <xf numFmtId="0" fontId="0" fillId="27" borderId="4" xfId="0" applyFill="1" applyBorder="1" applyAlignment="1">
      <alignment horizontal="center" vertical="center"/>
    </xf>
    <xf numFmtId="0" fontId="1" fillId="9" borderId="3" xfId="0" applyFont="1" applyFill="1" applyBorder="1"/>
    <xf numFmtId="0" fontId="2" fillId="18" borderId="2" xfId="0" applyFont="1" applyFill="1" applyBorder="1" applyAlignment="1">
      <alignment horizontal="right"/>
    </xf>
    <xf numFmtId="0" fontId="4" fillId="18" borderId="4" xfId="0" applyFont="1" applyFill="1" applyBorder="1" applyAlignment="1">
      <alignment horizontal="right" vertical="center"/>
    </xf>
    <xf numFmtId="0" fontId="1" fillId="18" borderId="3" xfId="0" applyFont="1" applyFill="1" applyBorder="1"/>
    <xf numFmtId="0" fontId="0" fillId="19" borderId="4" xfId="0" applyFill="1" applyBorder="1" applyAlignment="1">
      <alignment horizontal="center" vertical="center"/>
    </xf>
    <xf numFmtId="0" fontId="3" fillId="22" borderId="1" xfId="0" applyFont="1" applyFill="1" applyBorder="1" applyAlignment="1">
      <alignment horizontal="right"/>
    </xf>
    <xf numFmtId="0" fontId="0" fillId="13" borderId="1" xfId="0" applyFill="1" applyBorder="1"/>
    <xf numFmtId="164" fontId="0" fillId="0" borderId="0" xfId="0" applyNumberFormat="1"/>
    <xf numFmtId="164" fontId="0" fillId="0" borderId="0" xfId="0" applyNumberFormat="1" applyAlignment="1">
      <alignment horizontal="center"/>
    </xf>
    <xf numFmtId="164" fontId="0" fillId="27" borderId="1" xfId="0" applyNumberFormat="1" applyFill="1" applyBorder="1" applyAlignment="1">
      <alignment horizontal="center" vertical="center"/>
    </xf>
    <xf numFmtId="0" fontId="5" fillId="20" borderId="1" xfId="0" applyFont="1" applyFill="1" applyBorder="1"/>
    <xf numFmtId="0" fontId="2" fillId="20" borderId="1" xfId="0" applyFont="1" applyFill="1" applyBorder="1"/>
    <xf numFmtId="164" fontId="0" fillId="4" borderId="1" xfId="0" applyNumberFormat="1" applyFill="1" applyBorder="1" applyAlignment="1">
      <alignment horizontal="center" vertical="center"/>
    </xf>
    <xf numFmtId="164" fontId="0" fillId="4" borderId="1" xfId="0" applyNumberFormat="1" applyFill="1" applyBorder="1" applyAlignment="1">
      <alignment horizontal="center"/>
    </xf>
    <xf numFmtId="0" fontId="18" fillId="29" borderId="1" xfId="0" applyFont="1" applyFill="1" applyBorder="1" applyAlignment="1">
      <alignment horizontal="center" vertical="center"/>
    </xf>
    <xf numFmtId="0" fontId="0" fillId="7" borderId="1" xfId="0" applyFill="1" applyBorder="1" applyAlignment="1">
      <alignment horizontal="center"/>
    </xf>
    <xf numFmtId="0" fontId="9" fillId="29" borderId="1" xfId="0" applyFont="1" applyFill="1" applyBorder="1"/>
    <xf numFmtId="0" fontId="2" fillId="5" borderId="1" xfId="0" applyFont="1" applyFill="1" applyBorder="1"/>
    <xf numFmtId="1"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0" fontId="3" fillId="5" borderId="1" xfId="0" applyFont="1" applyFill="1" applyBorder="1"/>
    <xf numFmtId="164" fontId="0" fillId="7" borderId="1" xfId="0" applyNumberFormat="1" applyFill="1" applyBorder="1" applyAlignment="1">
      <alignment horizontal="center"/>
    </xf>
    <xf numFmtId="0" fontId="3" fillId="17" borderId="1" xfId="0" applyFont="1" applyFill="1" applyBorder="1" applyAlignment="1">
      <alignment horizontal="center"/>
    </xf>
    <xf numFmtId="0" fontId="2" fillId="17" borderId="1" xfId="0" applyFont="1" applyFill="1" applyBorder="1" applyAlignment="1">
      <alignment horizontal="center" vertical="center"/>
    </xf>
    <xf numFmtId="2" fontId="0" fillId="19" borderId="1" xfId="0" applyNumberFormat="1" applyFill="1" applyBorder="1" applyAlignment="1">
      <alignment horizontal="center" vertical="center"/>
    </xf>
    <xf numFmtId="0" fontId="0" fillId="19" borderId="1" xfId="0" applyFill="1" applyBorder="1" applyAlignment="1">
      <alignment horizontal="center" vertical="center"/>
    </xf>
    <xf numFmtId="165" fontId="0" fillId="19" borderId="1" xfId="0" applyNumberFormat="1" applyFill="1" applyBorder="1" applyAlignment="1">
      <alignment horizontal="center" vertical="center"/>
    </xf>
    <xf numFmtId="164" fontId="0" fillId="19" borderId="1" xfId="0" applyNumberFormat="1" applyFill="1" applyBorder="1" applyAlignment="1">
      <alignment horizontal="center"/>
    </xf>
    <xf numFmtId="164" fontId="0" fillId="19" borderId="1" xfId="0" quotePrefix="1" applyNumberFormat="1" applyFill="1" applyBorder="1" applyAlignment="1">
      <alignment horizontal="center" vertical="center"/>
    </xf>
    <xf numFmtId="0" fontId="0" fillId="30" borderId="1" xfId="0" applyFill="1" applyBorder="1" applyAlignment="1">
      <alignment horizontal="center" vertical="center"/>
    </xf>
    <xf numFmtId="165" fontId="0" fillId="30" borderId="1" xfId="0" applyNumberFormat="1" applyFill="1" applyBorder="1" applyAlignment="1">
      <alignment horizontal="center"/>
    </xf>
    <xf numFmtId="164" fontId="0" fillId="30" borderId="1" xfId="0" applyNumberFormat="1" applyFill="1" applyBorder="1" applyAlignment="1">
      <alignment horizontal="center" vertical="center"/>
    </xf>
    <xf numFmtId="0" fontId="3" fillId="12" borderId="1" xfId="0" applyFont="1" applyFill="1" applyBorder="1" applyAlignment="1">
      <alignment horizontal="center" vertical="center"/>
    </xf>
    <xf numFmtId="0" fontId="2" fillId="17" borderId="1" xfId="0" applyFont="1" applyFill="1" applyBorder="1"/>
    <xf numFmtId="165" fontId="0" fillId="7" borderId="1" xfId="0" applyNumberFormat="1" applyFill="1" applyBorder="1" applyAlignment="1">
      <alignment horizontal="center"/>
    </xf>
    <xf numFmtId="0" fontId="0" fillId="7" borderId="1" xfId="0" applyFill="1" applyBorder="1" applyAlignment="1">
      <alignment horizontal="center" vertical="center"/>
    </xf>
    <xf numFmtId="0" fontId="19" fillId="31"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vertical="center"/>
    </xf>
    <xf numFmtId="164" fontId="0" fillId="29" borderId="1" xfId="0" applyNumberFormat="1" applyFill="1" applyBorder="1" applyAlignment="1">
      <alignment horizontal="center" vertical="center"/>
    </xf>
    <xf numFmtId="164" fontId="0" fillId="29" borderId="1" xfId="0" applyNumberFormat="1" applyFill="1" applyBorder="1" applyAlignment="1">
      <alignment horizontal="center"/>
    </xf>
    <xf numFmtId="0" fontId="0" fillId="25" borderId="1" xfId="0" applyFill="1" applyBorder="1" applyAlignment="1">
      <alignment horizontal="center" vertical="center"/>
    </xf>
    <xf numFmtId="2" fontId="0" fillId="16" borderId="1" xfId="0" applyNumberFormat="1" applyFill="1" applyBorder="1" applyAlignment="1">
      <alignment horizontal="center" vertical="center"/>
    </xf>
    <xf numFmtId="0" fontId="3" fillId="15" borderId="1" xfId="0" applyFont="1" applyFill="1" applyBorder="1" applyAlignment="1">
      <alignment horizontal="center" vertical="center"/>
    </xf>
    <xf numFmtId="0" fontId="2" fillId="11" borderId="1" xfId="0" applyFont="1" applyFill="1" applyBorder="1" applyAlignment="1">
      <alignment horizontal="center" vertical="center"/>
    </xf>
    <xf numFmtId="0" fontId="1" fillId="16" borderId="1" xfId="0" applyFont="1" applyFill="1" applyBorder="1" applyAlignment="1">
      <alignment horizontal="center"/>
    </xf>
    <xf numFmtId="0" fontId="21" fillId="0" borderId="0" xfId="0" applyFont="1"/>
    <xf numFmtId="1" fontId="0" fillId="19" borderId="1" xfId="0" applyNumberFormat="1" applyFill="1" applyBorder="1" applyAlignment="1">
      <alignment horizontal="center" vertical="center"/>
    </xf>
    <xf numFmtId="0" fontId="0" fillId="35" borderId="1" xfId="0" applyFill="1" applyBorder="1"/>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0" fillId="19" borderId="14" xfId="0" applyFill="1" applyBorder="1" applyAlignment="1">
      <alignment horizontal="center" vertical="center"/>
    </xf>
    <xf numFmtId="164" fontId="0" fillId="19" borderId="15" xfId="0" applyNumberFormat="1" applyFill="1" applyBorder="1" applyAlignment="1">
      <alignment horizontal="center" vertical="center"/>
    </xf>
    <xf numFmtId="0" fontId="0" fillId="19" borderId="16" xfId="0" applyFill="1" applyBorder="1" applyAlignment="1">
      <alignment horizontal="center" vertical="center"/>
    </xf>
    <xf numFmtId="0" fontId="0" fillId="19" borderId="17" xfId="0" applyFill="1" applyBorder="1" applyAlignment="1">
      <alignment horizontal="center" vertical="center"/>
    </xf>
    <xf numFmtId="164" fontId="0" fillId="19" borderId="17" xfId="0" applyNumberFormat="1" applyFill="1" applyBorder="1" applyAlignment="1">
      <alignment horizontal="center"/>
    </xf>
    <xf numFmtId="164" fontId="0" fillId="19" borderId="17" xfId="0" applyNumberFormat="1" applyFill="1" applyBorder="1" applyAlignment="1">
      <alignment horizontal="center" vertical="center"/>
    </xf>
    <xf numFmtId="1" fontId="0" fillId="19" borderId="17" xfId="0" applyNumberFormat="1" applyFill="1" applyBorder="1" applyAlignment="1">
      <alignment horizontal="center" vertical="center"/>
    </xf>
    <xf numFmtId="164" fontId="0" fillId="19" borderId="18" xfId="0" applyNumberFormat="1" applyFill="1" applyBorder="1" applyAlignment="1">
      <alignment horizontal="center" vertical="center"/>
    </xf>
    <xf numFmtId="0" fontId="7" fillId="17" borderId="21" xfId="0" applyFont="1" applyFill="1" applyBorder="1" applyAlignment="1">
      <alignment horizontal="center" vertical="center"/>
    </xf>
    <xf numFmtId="0" fontId="0" fillId="34" borderId="22" xfId="0" applyFill="1" applyBorder="1" applyAlignment="1">
      <alignment horizontal="center" vertical="center"/>
    </xf>
    <xf numFmtId="164" fontId="0" fillId="34" borderId="22" xfId="0" applyNumberFormat="1" applyFill="1" applyBorder="1" applyAlignment="1">
      <alignment horizontal="center" vertical="center"/>
    </xf>
    <xf numFmtId="1" fontId="0" fillId="34" borderId="23" xfId="0" applyNumberFormat="1" applyFill="1" applyBorder="1" applyAlignment="1">
      <alignment horizontal="center" vertical="center"/>
    </xf>
    <xf numFmtId="0" fontId="2" fillId="18" borderId="24" xfId="0" applyFont="1" applyFill="1" applyBorder="1" applyAlignment="1">
      <alignment horizontal="center" vertical="center"/>
    </xf>
    <xf numFmtId="0" fontId="2" fillId="18" borderId="8" xfId="0" applyFont="1" applyFill="1" applyBorder="1" applyAlignment="1">
      <alignment horizontal="center" vertical="center"/>
    </xf>
    <xf numFmtId="0" fontId="2" fillId="18" borderId="25" xfId="0" applyFont="1" applyFill="1" applyBorder="1" applyAlignment="1">
      <alignment horizontal="center" vertical="center"/>
    </xf>
    <xf numFmtId="0" fontId="22" fillId="5" borderId="24"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25" xfId="0" applyFont="1" applyFill="1" applyBorder="1" applyAlignment="1">
      <alignment horizontal="center" vertical="center"/>
    </xf>
    <xf numFmtId="0" fontId="2" fillId="17" borderId="12" xfId="0" applyFont="1" applyFill="1" applyBorder="1" applyAlignment="1">
      <alignment horizontal="center" vertical="center"/>
    </xf>
    <xf numFmtId="164" fontId="0" fillId="30" borderId="13" xfId="0" applyNumberFormat="1" applyFill="1" applyBorder="1" applyAlignment="1">
      <alignment horizontal="center" vertical="center"/>
    </xf>
    <xf numFmtId="0" fontId="2" fillId="17" borderId="14" xfId="0" applyFont="1" applyFill="1" applyBorder="1" applyAlignment="1">
      <alignment horizontal="center" vertical="center"/>
    </xf>
    <xf numFmtId="164" fontId="0" fillId="30" borderId="15" xfId="0" applyNumberFormat="1" applyFill="1" applyBorder="1" applyAlignment="1">
      <alignment horizontal="center" vertical="center"/>
    </xf>
    <xf numFmtId="0" fontId="2" fillId="17" borderId="16" xfId="0" applyFont="1" applyFill="1" applyBorder="1" applyAlignment="1">
      <alignment horizontal="center" vertical="center"/>
    </xf>
    <xf numFmtId="164" fontId="0" fillId="30" borderId="18" xfId="0" applyNumberFormat="1" applyFill="1" applyBorder="1" applyAlignment="1">
      <alignment horizontal="center" vertical="center"/>
    </xf>
    <xf numFmtId="0" fontId="0" fillId="19" borderId="13" xfId="0" applyFill="1" applyBorder="1" applyAlignment="1">
      <alignment horizontal="center" vertical="center"/>
    </xf>
    <xf numFmtId="0" fontId="0" fillId="19" borderId="18" xfId="0" applyFill="1" applyBorder="1" applyAlignment="1">
      <alignment horizontal="center" vertical="center"/>
    </xf>
    <xf numFmtId="0" fontId="2" fillId="17" borderId="13" xfId="0" applyFont="1" applyFill="1" applyBorder="1" applyAlignment="1">
      <alignment horizontal="center" vertical="center"/>
    </xf>
    <xf numFmtId="164" fontId="0" fillId="19" borderId="16" xfId="0" applyNumberFormat="1" applyFill="1" applyBorder="1" applyAlignment="1">
      <alignment horizontal="center" vertical="center"/>
    </xf>
    <xf numFmtId="0" fontId="2" fillId="17" borderId="24" xfId="0" applyFont="1" applyFill="1" applyBorder="1" applyAlignment="1">
      <alignment horizontal="center" vertical="center"/>
    </xf>
    <xf numFmtId="0" fontId="3" fillId="17" borderId="25" xfId="0" applyFont="1" applyFill="1" applyBorder="1" applyAlignment="1">
      <alignment horizontal="center" vertical="center"/>
    </xf>
    <xf numFmtId="0" fontId="3" fillId="11" borderId="1" xfId="0" applyFont="1" applyFill="1" applyBorder="1" applyAlignment="1">
      <alignment horizontal="center" vertical="center"/>
    </xf>
    <xf numFmtId="0" fontId="1" fillId="36" borderId="1" xfId="0" applyFont="1" applyFill="1" applyBorder="1" applyAlignment="1">
      <alignment horizontal="center" vertical="center"/>
    </xf>
    <xf numFmtId="0" fontId="19" fillId="9" borderId="1" xfId="0" applyFont="1" applyFill="1" applyBorder="1" applyAlignment="1">
      <alignment horizontal="center" vertical="center"/>
    </xf>
    <xf numFmtId="0" fontId="0" fillId="31" borderId="1" xfId="0" applyFill="1" applyBorder="1" applyAlignment="1">
      <alignment horizontal="center"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4" fillId="0" borderId="11" xfId="0" applyFont="1" applyBorder="1" applyAlignment="1">
      <alignment horizontal="left" vertical="center" wrapText="1"/>
    </xf>
    <xf numFmtId="0" fontId="0" fillId="21" borderId="2" xfId="0" applyFill="1" applyBorder="1" applyAlignment="1">
      <alignment horizontal="center" vertical="center"/>
    </xf>
    <xf numFmtId="0" fontId="0" fillId="21" borderId="4" xfId="0" applyFill="1" applyBorder="1" applyAlignment="1">
      <alignment horizontal="center" vertical="center"/>
    </xf>
    <xf numFmtId="0" fontId="0" fillId="21" borderId="3" xfId="0"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14"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2" fillId="33" borderId="2" xfId="0" applyFont="1" applyFill="1" applyBorder="1" applyAlignment="1">
      <alignment horizontal="center" vertical="center"/>
    </xf>
    <xf numFmtId="0" fontId="2" fillId="33" borderId="3" xfId="0" applyFont="1" applyFill="1" applyBorder="1" applyAlignment="1">
      <alignment horizontal="center" vertical="center"/>
    </xf>
    <xf numFmtId="0" fontId="3" fillId="6" borderId="21" xfId="0" applyFont="1" applyFill="1" applyBorder="1" applyAlignment="1">
      <alignment horizontal="center" wrapText="1"/>
    </xf>
    <xf numFmtId="0" fontId="2" fillId="6" borderId="22" xfId="0" applyFont="1" applyFill="1" applyBorder="1" applyAlignment="1">
      <alignment horizontal="center" wrapText="1"/>
    </xf>
    <xf numFmtId="0" fontId="2" fillId="6" borderId="23" xfId="0" applyFont="1" applyFill="1" applyBorder="1" applyAlignment="1">
      <alignment horizontal="center" wrapText="1"/>
    </xf>
    <xf numFmtId="0" fontId="2" fillId="17" borderId="26" xfId="0" applyFont="1" applyFill="1" applyBorder="1" applyAlignment="1">
      <alignment horizontal="center" vertical="center"/>
    </xf>
    <xf numFmtId="0" fontId="2" fillId="17" borderId="27" xfId="0" applyFont="1" applyFill="1" applyBorder="1" applyAlignment="1">
      <alignment horizontal="center" vertical="center"/>
    </xf>
    <xf numFmtId="0" fontId="2" fillId="17" borderId="28"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0" xfId="0" applyFont="1" applyFill="1" applyBorder="1" applyAlignment="1">
      <alignment horizontal="center" vertical="center"/>
    </xf>
    <xf numFmtId="0" fontId="2" fillId="11" borderId="2" xfId="0" applyFont="1" applyFill="1" applyBorder="1" applyAlignment="1">
      <alignment horizontal="center" vertical="center"/>
    </xf>
    <xf numFmtId="0" fontId="2" fillId="11" borderId="3" xfId="0" applyFont="1" applyFill="1"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164" fontId="0" fillId="27" borderId="1" xfId="0" applyNumberFormat="1" applyFill="1" applyBorder="1" applyAlignment="1">
      <alignment horizontal="center" vertical="center"/>
    </xf>
    <xf numFmtId="0" fontId="0" fillId="0" borderId="1" xfId="0" applyBorder="1" applyAlignment="1">
      <alignment horizontal="center" vertical="center"/>
    </xf>
    <xf numFmtId="0" fontId="2" fillId="9" borderId="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8" borderId="5" xfId="0" applyFont="1" applyFill="1" applyBorder="1" applyAlignment="1">
      <alignment horizontal="center" vertical="center"/>
    </xf>
    <xf numFmtId="0" fontId="2" fillId="28" borderId="6" xfId="0" applyFont="1" applyFill="1" applyBorder="1" applyAlignment="1">
      <alignment horizontal="center" vertical="center"/>
    </xf>
    <xf numFmtId="0" fontId="2" fillId="17" borderId="2" xfId="0" applyFont="1" applyFill="1" applyBorder="1" applyAlignment="1">
      <alignment horizontal="center" vertical="center"/>
    </xf>
    <xf numFmtId="0" fontId="2" fillId="17" borderId="4" xfId="0" applyFont="1" applyFill="1" applyBorder="1" applyAlignment="1">
      <alignment horizontal="center" vertical="center"/>
    </xf>
    <xf numFmtId="0" fontId="2" fillId="17" borderId="3" xfId="0" applyFont="1" applyFill="1" applyBorder="1" applyAlignment="1">
      <alignment horizontal="center" vertical="center"/>
    </xf>
    <xf numFmtId="0" fontId="2" fillId="8"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27" fillId="0" borderId="9" xfId="0" applyFont="1" applyBorder="1" applyAlignment="1">
      <alignment horizontal="left" vertical="center" wrapText="1"/>
    </xf>
    <xf numFmtId="0" fontId="27" fillId="0" borderId="10" xfId="0" applyFont="1" applyBorder="1" applyAlignment="1">
      <alignment horizontal="left" vertical="center"/>
    </xf>
    <xf numFmtId="0" fontId="27" fillId="0" borderId="11" xfId="0" applyFont="1" applyBorder="1" applyAlignment="1">
      <alignment horizontal="left" vertical="center"/>
    </xf>
    <xf numFmtId="164" fontId="0" fillId="29" borderId="1" xfId="0" applyNumberFormat="1" applyFill="1" applyBorder="1" applyAlignment="1">
      <alignment horizontal="center"/>
    </xf>
    <xf numFmtId="0" fontId="2" fillId="23"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1" fillId="6" borderId="1" xfId="0" applyFont="1" applyFill="1" applyBorder="1" applyAlignment="1">
      <alignment horizontal="center"/>
    </xf>
    <xf numFmtId="0" fontId="2" fillId="5" borderId="1" xfId="0" applyFont="1" applyFill="1" applyBorder="1" applyAlignment="1">
      <alignment horizontal="center" vertical="center"/>
    </xf>
    <xf numFmtId="164" fontId="0" fillId="7" borderId="1" xfId="0" applyNumberFormat="1" applyFill="1" applyBorder="1" applyAlignment="1">
      <alignment horizontal="center"/>
    </xf>
    <xf numFmtId="0" fontId="0" fillId="7" borderId="1" xfId="0" applyFill="1" applyBorder="1" applyAlignment="1">
      <alignment horizontal="center"/>
    </xf>
    <xf numFmtId="0" fontId="2" fillId="32" borderId="2" xfId="0" applyFont="1" applyFill="1" applyBorder="1" applyAlignment="1">
      <alignment horizontal="center" vertical="center"/>
    </xf>
    <xf numFmtId="0" fontId="2" fillId="32" borderId="4" xfId="0" applyFont="1" applyFill="1" applyBorder="1" applyAlignment="1">
      <alignment horizontal="center" vertical="center"/>
    </xf>
    <xf numFmtId="0" fontId="2" fillId="32" borderId="3" xfId="0" applyFont="1" applyFill="1" applyBorder="1" applyAlignment="1">
      <alignment horizontal="center" vertical="center"/>
    </xf>
    <xf numFmtId="0" fontId="24" fillId="0" borderId="9" xfId="0" applyFont="1" applyBorder="1" applyAlignment="1">
      <alignment wrapText="1"/>
    </xf>
    <xf numFmtId="0" fontId="24" fillId="0" borderId="10" xfId="0" applyFont="1" applyBorder="1" applyAlignment="1">
      <alignment wrapText="1"/>
    </xf>
    <xf numFmtId="0" fontId="24" fillId="0" borderId="11" xfId="0" applyFont="1" applyBorder="1" applyAlignment="1">
      <alignment wrapText="1"/>
    </xf>
    <xf numFmtId="0" fontId="2" fillId="14" borderId="5" xfId="0" applyFont="1" applyFill="1" applyBorder="1" applyAlignment="1">
      <alignment horizontal="center" vertical="center"/>
    </xf>
    <xf numFmtId="0" fontId="2" fillId="14" borderId="6" xfId="0" applyFont="1" applyFill="1" applyBorder="1" applyAlignment="1">
      <alignment horizontal="center" vertical="center"/>
    </xf>
    <xf numFmtId="0" fontId="2" fillId="17" borderId="7" xfId="0" applyFont="1" applyFill="1" applyBorder="1" applyAlignment="1">
      <alignment horizontal="center" vertical="center" wrapText="1"/>
    </xf>
    <xf numFmtId="0" fontId="2" fillId="17" borderId="8" xfId="0" applyFont="1" applyFill="1" applyBorder="1" applyAlignment="1">
      <alignment horizontal="center" vertical="center" wrapText="1"/>
    </xf>
  </cellXfs>
  <cellStyles count="1">
    <cellStyle name="Normal" xfId="0" builtinId="0"/>
  </cellStyles>
  <dxfs count="16">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2" defaultPivotStyle="PivotStyleLight16"/>
  <colors>
    <mruColors>
      <color rgb="FFB400B4"/>
      <color rgb="FFFFDDFF"/>
      <color rgb="FF660066"/>
      <color rgb="FFE6CDB4"/>
      <color rgb="FFFFE7E7"/>
      <color rgb="FF213414"/>
      <color rgb="FF15210D"/>
      <color rgb="FFFFE393"/>
      <color rgb="FF5C00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1">
                <a:solidFill>
                  <a:sysClr val="windowText" lastClr="000000"/>
                </a:solidFill>
              </a:rPr>
              <a:t>Z VS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rgbClr val="002060"/>
              </a:solidFill>
              <a:round/>
            </a:ln>
            <a:effectLst/>
          </c:spPr>
          <c:marker>
            <c:symbol val="circle"/>
            <c:size val="5"/>
            <c:spPr>
              <a:solidFill>
                <a:srgbClr val="002060"/>
              </a:solidFill>
              <a:ln w="9525">
                <a:solidFill>
                  <a:srgbClr val="0070C0"/>
                </a:solidFill>
              </a:ln>
              <a:effectLst/>
            </c:spPr>
          </c:marker>
          <c:xVal>
            <c:numRef>
              <c:f>'Normalidad,exactitud,yprecisión'!$K$6:$K$14</c:f>
              <c:numCache>
                <c:formatCode>0.0000</c:formatCode>
                <c:ptCount val="9"/>
                <c:pt idx="0">
                  <c:v>87.308739705253544</c:v>
                </c:pt>
                <c:pt idx="1">
                  <c:v>88.710625590634976</c:v>
                </c:pt>
                <c:pt idx="2">
                  <c:v>96.840943520367816</c:v>
                </c:pt>
                <c:pt idx="3">
                  <c:v>102.61743546451885</c:v>
                </c:pt>
                <c:pt idx="4">
                  <c:v>104.70413009004851</c:v>
                </c:pt>
                <c:pt idx="5">
                  <c:v>105.82968342408712</c:v>
                </c:pt>
                <c:pt idx="6">
                  <c:v>107.44196072823465</c:v>
                </c:pt>
                <c:pt idx="7">
                  <c:v>108.10350954788616</c:v>
                </c:pt>
                <c:pt idx="8">
                  <c:v>108.77788333084364</c:v>
                </c:pt>
              </c:numCache>
            </c:numRef>
          </c:xVal>
          <c:yVal>
            <c:numRef>
              <c:f>'Normalidad,exactitud,yprecisión'!$M$6:$M$14</c:f>
              <c:numCache>
                <c:formatCode>0.0000</c:formatCode>
                <c:ptCount val="9"/>
                <c:pt idx="0">
                  <c:v>-1.672624007824886</c:v>
                </c:pt>
                <c:pt idx="1">
                  <c:v>-1.5031949249317158</c:v>
                </c:pt>
                <c:pt idx="2">
                  <c:v>-0.52058120092683147</c:v>
                </c:pt>
                <c:pt idx="3">
                  <c:v>0.17755389169592084</c:v>
                </c:pt>
                <c:pt idx="4">
                  <c:v>0.42974756906175199</c:v>
                </c:pt>
                <c:pt idx="5">
                  <c:v>0.56577966063361729</c:v>
                </c:pt>
                <c:pt idx="6">
                  <c:v>0.76063622339647263</c:v>
                </c:pt>
                <c:pt idx="7">
                  <c:v>0.84058967108534677</c:v>
                </c:pt>
                <c:pt idx="8">
                  <c:v>0.92209311781032377</c:v>
                </c:pt>
              </c:numCache>
            </c:numRef>
          </c:yVal>
          <c:smooth val="0"/>
          <c:extLst>
            <c:ext xmlns:c16="http://schemas.microsoft.com/office/drawing/2014/chart" uri="{C3380CC4-5D6E-409C-BE32-E72D297353CC}">
              <c16:uniqueId val="{00000000-F105-4681-9609-5F4B92A44CD7}"/>
            </c:ext>
          </c:extLst>
        </c:ser>
        <c:ser>
          <c:idx val="1"/>
          <c:order val="1"/>
          <c:spPr>
            <a:ln w="25400" cap="rnd">
              <a:noFill/>
              <a:round/>
            </a:ln>
            <a:effectLst/>
          </c:spPr>
          <c:marker>
            <c:symbol val="circle"/>
            <c:size val="5"/>
            <c:spPr>
              <a:solidFill>
                <a:schemeClr val="accent4">
                  <a:lumMod val="75000"/>
                </a:schemeClr>
              </a:solidFill>
              <a:ln w="9525">
                <a:solidFill>
                  <a:schemeClr val="accent4">
                    <a:lumMod val="60000"/>
                    <a:lumOff val="40000"/>
                  </a:schemeClr>
                </a:solidFill>
              </a:ln>
              <a:effectLst/>
            </c:spPr>
          </c:marker>
          <c:xVal>
            <c:numRef>
              <c:f>'Normalidad,exactitud,yprecisión'!$K$6:$K$14</c:f>
              <c:numCache>
                <c:formatCode>0.0000</c:formatCode>
                <c:ptCount val="9"/>
                <c:pt idx="0">
                  <c:v>87.308739705253544</c:v>
                </c:pt>
                <c:pt idx="1">
                  <c:v>88.710625590634976</c:v>
                </c:pt>
                <c:pt idx="2">
                  <c:v>96.840943520367816</c:v>
                </c:pt>
                <c:pt idx="3">
                  <c:v>102.61743546451885</c:v>
                </c:pt>
                <c:pt idx="4">
                  <c:v>104.70413009004851</c:v>
                </c:pt>
                <c:pt idx="5">
                  <c:v>105.82968342408712</c:v>
                </c:pt>
                <c:pt idx="6">
                  <c:v>107.44196072823465</c:v>
                </c:pt>
                <c:pt idx="7">
                  <c:v>108.10350954788616</c:v>
                </c:pt>
                <c:pt idx="8">
                  <c:v>108.77788333084364</c:v>
                </c:pt>
              </c:numCache>
            </c:numRef>
          </c:xVal>
          <c:yVal>
            <c:numRef>
              <c:f>'Normalidad,exactitud,yprecisión'!$N$6:$N$14</c:f>
              <c:numCache>
                <c:formatCode>0.0000</c:formatCode>
                <c:ptCount val="9"/>
                <c:pt idx="0">
                  <c:v>-1.2206403488473501</c:v>
                </c:pt>
                <c:pt idx="1">
                  <c:v>-0.76470967378638721</c:v>
                </c:pt>
                <c:pt idx="2">
                  <c:v>-0.43072729929545772</c:v>
                </c:pt>
                <c:pt idx="3">
                  <c:v>-0.13971029888186212</c:v>
                </c:pt>
                <c:pt idx="4">
                  <c:v>0.13971029888186212</c:v>
                </c:pt>
                <c:pt idx="5">
                  <c:v>0.43072729929545711</c:v>
                </c:pt>
                <c:pt idx="6">
                  <c:v>0.76470967378638788</c:v>
                </c:pt>
                <c:pt idx="7">
                  <c:v>1.2206403488473503</c:v>
                </c:pt>
                <c:pt idx="8">
                  <c:v>2.3263478740408408</c:v>
                </c:pt>
              </c:numCache>
            </c:numRef>
          </c:yVal>
          <c:smooth val="0"/>
          <c:extLst>
            <c:ext xmlns:c16="http://schemas.microsoft.com/office/drawing/2014/chart" uri="{C3380CC4-5D6E-409C-BE32-E72D297353CC}">
              <c16:uniqueId val="{00000001-F105-4681-9609-5F4B92A44CD7}"/>
            </c:ext>
          </c:extLst>
        </c:ser>
        <c:dLbls>
          <c:showLegendKey val="0"/>
          <c:showVal val="0"/>
          <c:showCatName val="0"/>
          <c:showSerName val="0"/>
          <c:showPercent val="0"/>
          <c:showBubbleSize val="0"/>
        </c:dLbls>
        <c:axId val="692266384"/>
        <c:axId val="761887840"/>
      </c:scatterChart>
      <c:valAx>
        <c:axId val="692266384"/>
        <c:scaling>
          <c:orientation val="minMax"/>
          <c:min val="8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1887840"/>
        <c:crosses val="autoZero"/>
        <c:crossBetween val="midCat"/>
      </c:valAx>
      <c:valAx>
        <c:axId val="7618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2266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300" b="1">
                <a:solidFill>
                  <a:sysClr val="windowText" lastClr="000000"/>
                </a:solidFill>
                <a:latin typeface="Arial" panose="020B0604020202020204" pitchFamily="34" charset="0"/>
                <a:cs typeface="Arial" panose="020B0604020202020204" pitchFamily="34" charset="0"/>
              </a:rPr>
              <a:t>Q</a:t>
            </a:r>
            <a:r>
              <a:rPr lang="es-MX" sz="1300" b="1" baseline="-25000">
                <a:solidFill>
                  <a:sysClr val="windowText" lastClr="000000"/>
                </a:solidFill>
                <a:latin typeface="Arial" panose="020B0604020202020204" pitchFamily="34" charset="0"/>
                <a:cs typeface="Arial" panose="020B0604020202020204" pitchFamily="34" charset="0"/>
              </a:rPr>
              <a:t>Normal</a:t>
            </a:r>
            <a:r>
              <a:rPr lang="es-MX" sz="1300" b="1">
                <a:solidFill>
                  <a:sysClr val="windowText" lastClr="000000"/>
                </a:solidFill>
                <a:latin typeface="Arial" panose="020B0604020202020204" pitchFamily="34" charset="0"/>
                <a:cs typeface="Arial" panose="020B0604020202020204" pitchFamily="34" charset="0"/>
              </a:rPr>
              <a:t> VS Q</a:t>
            </a:r>
            <a:r>
              <a:rPr lang="es-MX" sz="1300" b="1" baseline="-25000">
                <a:solidFill>
                  <a:sysClr val="windowText" lastClr="000000"/>
                </a:solidFill>
                <a:latin typeface="Arial" panose="020B0604020202020204" pitchFamily="34" charset="0"/>
                <a:cs typeface="Arial" panose="020B0604020202020204" pitchFamily="34" charset="0"/>
              </a:rPr>
              <a:t>Datos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rgbClr val="009900"/>
              </a:solidFill>
              <a:round/>
            </a:ln>
            <a:effectLst/>
          </c:spPr>
          <c:marker>
            <c:symbol val="circle"/>
            <c:size val="5"/>
            <c:spPr>
              <a:solidFill>
                <a:srgbClr val="009900"/>
              </a:solidFill>
              <a:ln w="9525">
                <a:solidFill>
                  <a:srgbClr val="009900"/>
                </a:solidFill>
              </a:ln>
              <a:effectLst/>
            </c:spPr>
          </c:marker>
          <c:trendline>
            <c:spPr>
              <a:ln w="19050" cap="rnd">
                <a:solidFill>
                  <a:srgbClr val="C00000"/>
                </a:solidFill>
                <a:prstDash val="sysDash"/>
              </a:ln>
              <a:effectLst/>
            </c:spPr>
            <c:trendlineType val="linear"/>
            <c:dispRSqr val="1"/>
            <c:dispEq val="1"/>
            <c:trendlineLbl>
              <c:layout>
                <c:manualLayout>
                  <c:x val="5.1979458719927547E-3"/>
                  <c:y val="0.342824074074074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baseline="0">
                        <a:solidFill>
                          <a:sysClr val="windowText" lastClr="000000"/>
                        </a:solidFill>
                        <a:latin typeface="Arial" panose="020B0604020202020204" pitchFamily="34" charset="0"/>
                        <a:cs typeface="Arial" panose="020B0604020202020204" pitchFamily="34" charset="0"/>
                      </a:rPr>
                      <a:t>y = 0.9951x + 0.0755</a:t>
                    </a:r>
                    <a:br>
                      <a:rPr lang="en-US" sz="1100" b="1" baseline="0">
                        <a:solidFill>
                          <a:sysClr val="windowText" lastClr="000000"/>
                        </a:solidFill>
                        <a:latin typeface="Arial" panose="020B0604020202020204" pitchFamily="34" charset="0"/>
                        <a:cs typeface="Arial" panose="020B0604020202020204" pitchFamily="34" charset="0"/>
                      </a:rPr>
                    </a:br>
                    <a:r>
                      <a:rPr lang="en-US" sz="1100" b="1" baseline="0">
                        <a:solidFill>
                          <a:sysClr val="windowText" lastClr="000000"/>
                        </a:solidFill>
                        <a:latin typeface="Arial" panose="020B0604020202020204" pitchFamily="34" charset="0"/>
                        <a:cs typeface="Arial" panose="020B0604020202020204" pitchFamily="34" charset="0"/>
                      </a:rPr>
                      <a:t>R² = 0.998</a:t>
                    </a:r>
                    <a:endParaRPr lang="en-US" sz="1100" b="1">
                      <a:solidFill>
                        <a:sysClr val="windowText" lastClr="000000"/>
                      </a:solidFill>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'Estudio de dureza'!$Q$5:$Q$11</c:f>
              <c:numCache>
                <c:formatCode>0.0000</c:formatCode>
                <c:ptCount val="7"/>
                <c:pt idx="0">
                  <c:v>0</c:v>
                </c:pt>
                <c:pt idx="1">
                  <c:v>6.666666666666667</c:v>
                </c:pt>
                <c:pt idx="2">
                  <c:v>13.333333333333334</c:v>
                </c:pt>
                <c:pt idx="3">
                  <c:v>46.666666666666664</c:v>
                </c:pt>
                <c:pt idx="4">
                  <c:v>76.666666666666671</c:v>
                </c:pt>
                <c:pt idx="5">
                  <c:v>83.333333333333343</c:v>
                </c:pt>
                <c:pt idx="6">
                  <c:v>100</c:v>
                </c:pt>
              </c:numCache>
            </c:numRef>
          </c:xVal>
          <c:yVal>
            <c:numRef>
              <c:f>'Estudio de dureza'!$U$5:$U$11</c:f>
              <c:numCache>
                <c:formatCode>0.0000</c:formatCode>
                <c:ptCount val="7"/>
                <c:pt idx="0">
                  <c:v>0.8770756482749088</c:v>
                </c:pt>
                <c:pt idx="1">
                  <c:v>5.2655953706279606</c:v>
                </c:pt>
                <c:pt idx="2">
                  <c:v>18.596675031050523</c:v>
                </c:pt>
                <c:pt idx="3">
                  <c:v>43.210341306854183</c:v>
                </c:pt>
                <c:pt idx="4">
                  <c:v>70.850810879461037</c:v>
                </c:pt>
                <c:pt idx="5">
                  <c:v>89.732029990617576</c:v>
                </c:pt>
                <c:pt idx="6">
                  <c:v>97.574333554546726</c:v>
                </c:pt>
              </c:numCache>
            </c:numRef>
          </c:yVal>
          <c:smooth val="0"/>
          <c:extLst>
            <c:ext xmlns:c16="http://schemas.microsoft.com/office/drawing/2014/chart" uri="{C3380CC4-5D6E-409C-BE32-E72D297353CC}">
              <c16:uniqueId val="{00000001-F929-4521-839E-B5A09E170F01}"/>
            </c:ext>
          </c:extLst>
        </c:ser>
        <c:dLbls>
          <c:showLegendKey val="0"/>
          <c:showVal val="0"/>
          <c:showCatName val="0"/>
          <c:showSerName val="0"/>
          <c:showPercent val="0"/>
          <c:showBubbleSize val="0"/>
        </c:dLbls>
        <c:axId val="6042288"/>
        <c:axId val="1948750432"/>
      </c:scatterChart>
      <c:valAx>
        <c:axId val="604228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latin typeface="Arial" panose="020B0604020202020204" pitchFamily="34" charset="0"/>
                    <a:cs typeface="Arial" panose="020B0604020202020204" pitchFamily="34" charset="0"/>
                  </a:rPr>
                  <a:t>Q</a:t>
                </a:r>
                <a:r>
                  <a:rPr lang="es-MX" b="1" baseline="-25000">
                    <a:solidFill>
                      <a:sysClr val="windowText" lastClr="000000"/>
                    </a:solidFill>
                    <a:latin typeface="Arial" panose="020B0604020202020204" pitchFamily="34" charset="0"/>
                    <a:cs typeface="Arial" panose="020B0604020202020204" pitchFamily="34" charset="0"/>
                  </a:rPr>
                  <a:t>Datos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48750432"/>
        <c:crosses val="autoZero"/>
        <c:crossBetween val="midCat"/>
      </c:valAx>
      <c:valAx>
        <c:axId val="194875043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latin typeface="Arial" panose="020B0604020202020204" pitchFamily="34" charset="0"/>
                    <a:cs typeface="Arial" panose="020B0604020202020204" pitchFamily="34" charset="0"/>
                  </a:rPr>
                  <a:t>Q</a:t>
                </a:r>
                <a:r>
                  <a:rPr lang="es-MX" b="1" baseline="-25000">
                    <a:solidFill>
                      <a:sysClr val="windowText" lastClr="000000"/>
                    </a:solidFill>
                    <a:latin typeface="Arial" panose="020B0604020202020204" pitchFamily="34" charset="0"/>
                    <a:cs typeface="Arial" panose="020B0604020202020204" pitchFamily="34" charset="0"/>
                  </a:rPr>
                  <a:t>Normal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4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1">
                <a:solidFill>
                  <a:sysClr val="windowText" lastClr="000000"/>
                </a:solidFill>
              </a:rPr>
              <a:t>Z VS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'Estudio de dureza'!$K$6:$K$11</c:f>
              <c:numCache>
                <c:formatCode>0.00</c:formatCode>
                <c:ptCount val="6"/>
                <c:pt idx="0">
                  <c:v>6.6</c:v>
                </c:pt>
                <c:pt idx="1">
                  <c:v>7.3999999999999995</c:v>
                </c:pt>
                <c:pt idx="2">
                  <c:v>8.1999999999999993</c:v>
                </c:pt>
                <c:pt idx="3">
                  <c:v>9</c:v>
                </c:pt>
                <c:pt idx="4">
                  <c:v>9.8000000000000007</c:v>
                </c:pt>
                <c:pt idx="5">
                  <c:v>10.600000000000001</c:v>
                </c:pt>
              </c:numCache>
            </c:numRef>
          </c:xVal>
          <c:yVal>
            <c:numRef>
              <c:f>'Estudio de dureza'!$S$6:$S$11</c:f>
              <c:numCache>
                <c:formatCode>0.0000</c:formatCode>
                <c:ptCount val="6"/>
                <c:pt idx="0">
                  <c:v>-1.6090745547774139</c:v>
                </c:pt>
                <c:pt idx="1">
                  <c:v>-0.88859341084722809</c:v>
                </c:pt>
                <c:pt idx="2">
                  <c:v>-0.16811226691704245</c:v>
                </c:pt>
                <c:pt idx="3">
                  <c:v>0.55236887701314408</c:v>
                </c:pt>
                <c:pt idx="4">
                  <c:v>1.2728500209433304</c:v>
                </c:pt>
                <c:pt idx="5">
                  <c:v>1.993331164873517</c:v>
                </c:pt>
              </c:numCache>
            </c:numRef>
          </c:yVal>
          <c:smooth val="0"/>
          <c:extLst>
            <c:ext xmlns:c16="http://schemas.microsoft.com/office/drawing/2014/chart" uri="{C3380CC4-5D6E-409C-BE32-E72D297353CC}">
              <c16:uniqueId val="{00000000-24A9-4702-9E94-8C33D9F2E0C0}"/>
            </c:ext>
          </c:extLst>
        </c:ser>
        <c:ser>
          <c:idx val="1"/>
          <c:order val="1"/>
          <c:spPr>
            <a:ln w="25400" cap="rnd">
              <a:noFill/>
              <a:round/>
            </a:ln>
            <a:effectLst/>
          </c:spPr>
          <c:marker>
            <c:symbol val="circle"/>
            <c:size val="5"/>
            <c:spPr>
              <a:solidFill>
                <a:srgbClr val="FF9999"/>
              </a:solidFill>
              <a:ln w="9525">
                <a:solidFill>
                  <a:srgbClr val="FF9999"/>
                </a:solidFill>
              </a:ln>
              <a:effectLst/>
            </c:spPr>
          </c:marker>
          <c:xVal>
            <c:numRef>
              <c:f>'Estudio de dureza'!$K$6:$K$11</c:f>
              <c:numCache>
                <c:formatCode>0.00</c:formatCode>
                <c:ptCount val="6"/>
                <c:pt idx="0">
                  <c:v>6.6</c:v>
                </c:pt>
                <c:pt idx="1">
                  <c:v>7.3999999999999995</c:v>
                </c:pt>
                <c:pt idx="2">
                  <c:v>8.1999999999999993</c:v>
                </c:pt>
                <c:pt idx="3">
                  <c:v>9</c:v>
                </c:pt>
                <c:pt idx="4">
                  <c:v>9.8000000000000007</c:v>
                </c:pt>
                <c:pt idx="5">
                  <c:v>10.600000000000001</c:v>
                </c:pt>
              </c:numCache>
            </c:numRef>
          </c:xVal>
          <c:yVal>
            <c:numRef>
              <c:f>'Estudio de dureza'!$V$6:$V$11</c:f>
              <c:numCache>
                <c:formatCode>0.0000</c:formatCode>
                <c:ptCount val="6"/>
                <c:pt idx="0">
                  <c:v>-1.5010859460440247</c:v>
                </c:pt>
                <c:pt idx="1">
                  <c:v>-1.1107716166367858</c:v>
                </c:pt>
                <c:pt idx="2">
                  <c:v>-8.3651733907129211E-2</c:v>
                </c:pt>
                <c:pt idx="3">
                  <c:v>0.72791329088164458</c:v>
                </c:pt>
                <c:pt idx="4">
                  <c:v>0.96742156610170216</c:v>
                </c:pt>
                <c:pt idx="5">
                  <c:v>2.3263478740408408</c:v>
                </c:pt>
              </c:numCache>
            </c:numRef>
          </c:yVal>
          <c:smooth val="0"/>
          <c:extLst>
            <c:ext xmlns:c16="http://schemas.microsoft.com/office/drawing/2014/chart" uri="{C3380CC4-5D6E-409C-BE32-E72D297353CC}">
              <c16:uniqueId val="{00000001-24A9-4702-9E94-8C33D9F2E0C0}"/>
            </c:ext>
          </c:extLst>
        </c:ser>
        <c:dLbls>
          <c:showLegendKey val="0"/>
          <c:showVal val="0"/>
          <c:showCatName val="0"/>
          <c:showSerName val="0"/>
          <c:showPercent val="0"/>
          <c:showBubbleSize val="0"/>
        </c:dLbls>
        <c:axId val="983077120"/>
        <c:axId val="694317392"/>
      </c:scatterChart>
      <c:valAx>
        <c:axId val="983077120"/>
        <c:scaling>
          <c:orientation val="minMax"/>
          <c:max val="11"/>
          <c:min val="6.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4317392"/>
        <c:crosses val="autoZero"/>
        <c:crossBetween val="midCat"/>
      </c:valAx>
      <c:valAx>
        <c:axId val="69431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alpha val="97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307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154789</xdr:colOff>
      <xdr:row>12</xdr:row>
      <xdr:rowOff>132902</xdr:rowOff>
    </xdr:from>
    <xdr:to>
      <xdr:col>25</xdr:col>
      <xdr:colOff>581025</xdr:colOff>
      <xdr:row>23</xdr:row>
      <xdr:rowOff>133350</xdr:rowOff>
    </xdr:to>
    <xdr:graphicFrame macro="">
      <xdr:nvGraphicFramePr>
        <xdr:cNvPr id="2" name="Gráfico 1">
          <a:extLst>
            <a:ext uri="{FF2B5EF4-FFF2-40B4-BE49-F238E27FC236}">
              <a16:creationId xmlns:a16="http://schemas.microsoft.com/office/drawing/2014/main" id="{E15D43C4-979F-416F-91A3-621B7C1E9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7837</xdr:colOff>
      <xdr:row>21</xdr:row>
      <xdr:rowOff>76918</xdr:rowOff>
    </xdr:from>
    <xdr:to>
      <xdr:col>9</xdr:col>
      <xdr:colOff>114220</xdr:colOff>
      <xdr:row>40</xdr:row>
      <xdr:rowOff>24964</xdr:rowOff>
    </xdr:to>
    <xdr:graphicFrame macro="">
      <xdr:nvGraphicFramePr>
        <xdr:cNvPr id="3" name="Gráfico 2">
          <a:extLst>
            <a:ext uri="{FF2B5EF4-FFF2-40B4-BE49-F238E27FC236}">
              <a16:creationId xmlns:a16="http://schemas.microsoft.com/office/drawing/2014/main" id="{B0D42B39-67F8-499C-8FD6-E2D14FBC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352672</xdr:colOff>
      <xdr:row>21</xdr:row>
      <xdr:rowOff>69272</xdr:rowOff>
    </xdr:from>
    <xdr:to>
      <xdr:col>17</xdr:col>
      <xdr:colOff>119494</xdr:colOff>
      <xdr:row>40</xdr:row>
      <xdr:rowOff>20781</xdr:rowOff>
    </xdr:to>
    <xdr:graphicFrame macro="">
      <xdr:nvGraphicFramePr>
        <xdr:cNvPr id="4" name="Gráfico 3">
          <a:extLst>
            <a:ext uri="{FF2B5EF4-FFF2-40B4-BE49-F238E27FC236}">
              <a16:creationId xmlns:a16="http://schemas.microsoft.com/office/drawing/2014/main" id="{5A8527FF-C8D9-4E25-B33C-72F5C6BC6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CO AURELIO SANTANDER MARTINEZ" id="{D56304B0-A414-49AC-84D6-80017F09ECBC}" userId="S::aurelio.santander@comunidad.unam.mx::9d805bde-f49c-42f2-9626-14400a9539c0"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3-10-16T01:58:09.67" personId="{D56304B0-A414-49AC-84D6-80017F09ECBC}" id="{FE4A55F8-8D9C-48B8-BCF5-01A7B9CCC827}">
    <text>Datos de desviación estándar relativa del contenido del granulado utilizando distintos tipos de mezclador.</text>
  </threadedComment>
  <threadedComment ref="G4" dT="2023-10-15T03:50:00.41" personId="{D56304B0-A414-49AC-84D6-80017F09ECBC}" id="{20C8665E-6031-4BD9-BC3F-E640D8A3CCC4}">
    <text>Suma por cada mezclador al cuadrado.</text>
  </threadedComment>
  <threadedComment ref="I4" dT="2023-10-16T02:02:32.82" personId="{D56304B0-A414-49AC-84D6-80017F09ECBC}" id="{61E1C212-9173-4B72-9FF8-EC0A95360137}">
    <text>Términos para sumas de cuadrados, columna morada.</text>
  </threadedComment>
  <threadedComment ref="G5" dT="2023-10-15T03:50:31.12" personId="{D56304B0-A414-49AC-84D6-80017F09ECBC}" id="{59DEDFCA-D757-4D87-B787-FD3D1E3B77CE}">
    <text>Suma total al cuadrado.</text>
  </threadedComment>
  <threadedComment ref="G6" dT="2023-10-15T03:51:35.17" personId="{D56304B0-A414-49AC-84D6-80017F09ECBC}" id="{A9BB36FC-EA4C-4163-9E58-D809A1B386AD}">
    <text>Sumatoria de cuadrados.</text>
  </threadedComment>
  <threadedComment ref="B8" dT="2023-10-15T03:35:09.43" personId="{D56304B0-A414-49AC-84D6-80017F09ECBC}" id="{D0EFCCE7-522E-48CF-8F59-8704573A5A43}">
    <text>Planteamiento y supuestos del modelo.</text>
  </threadedComment>
  <threadedComment ref="F11" dT="2023-10-16T02:26:17.52" personId="{D56304B0-A414-49AC-84D6-80017F09ECBC}" id="{092D716A-0BBC-45C7-8B16-F933AA364220}">
    <text>Fuente de variación.</text>
  </threadedComment>
  <threadedComment ref="G11" dT="2023-10-16T02:26:36.48" personId="{D56304B0-A414-49AC-84D6-80017F09ECBC}" id="{8DC6A040-A9D0-4D03-91F7-92261272E61C}">
    <text>Grados de libertad.</text>
  </threadedComment>
  <threadedComment ref="H11" dT="2023-10-16T02:27:10.78" personId="{D56304B0-A414-49AC-84D6-80017F09ECBC}" id="{F465370E-5D53-436C-AFFF-76AF057DF172}">
    <text>Suma de cuadrados.</text>
  </threadedComment>
  <threadedComment ref="I11" dT="2023-10-16T02:27:21.58" personId="{D56304B0-A414-49AC-84D6-80017F09ECBC}" id="{91D289DE-C71E-43F9-B1DA-0942BBFC861B}">
    <text>Media de cuadrados.</text>
  </threadedComment>
  <threadedComment ref="J11" dT="2023-10-21T22:58:38.39" personId="{D56304B0-A414-49AC-84D6-80017F09ECBC}" id="{54121F65-BDCA-4835-AE88-81CCD3C90FF2}">
    <text>Estadístico F del factor.</text>
  </threadedComment>
  <threadedComment ref="K11" dT="2023-10-21T22:58:57.36" personId="{D56304B0-A414-49AC-84D6-80017F09ECBC}" id="{B718804E-F310-425F-A256-0DD2498FEA98}">
    <text>Estadístico F de tablas.</text>
  </threadedComment>
  <threadedComment ref="L11" dT="2023-10-16T02:27:42.19" personId="{D56304B0-A414-49AC-84D6-80017F09ECBC}" id="{799590EA-8600-473B-A96A-1AFDCD234B5C}">
    <text>Valor p.</text>
  </threadedComment>
  <threadedComment ref="D15" dT="2023-10-15T03:42:40.23" personId="{D56304B0-A414-49AC-84D6-80017F09ECBC}" id="{A398E3F2-FD56-4337-A6EA-7D05E9EDC729}">
    <text>Niveles del factor “Tipos de mezclador”.</text>
  </threadedComment>
  <threadedComment ref="H15" dT="2023-10-21T22:59:41.66" personId="{D56304B0-A414-49AC-84D6-80017F09ECBC}" id="{6008BB89-EFF6-4831-AF31-0BF4758CD12D}">
    <text>Nivel de significancia para la prueba estadística.</text>
  </threadedComment>
  <threadedComment ref="D16" dT="2023-10-15T03:43:10.12" personId="{D56304B0-A414-49AC-84D6-80017F09ECBC}" id="{72458FF1-A192-4B8F-85B1-24B6A1583478}">
    <text>Cantidad de repeticiones.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3-10-19T02:24:49.41" personId="{D56304B0-A414-49AC-84D6-80017F09ECBC}" id="{5C85A6E3-344F-4116-BE35-29C27ACCAF16}">
    <text>Tabla 1, datos de cantidad agregada en función del nivel de concentración 8, 10 ó 12 µg/mL.</text>
  </threadedComment>
  <threadedComment ref="F4" dT="2023-10-19T02:42:07.63" personId="{D56304B0-A414-49AC-84D6-80017F09ECBC}" id="{01930ABB-D101-49C8-B5F2-BB755A0248C8}">
    <text>Desarrollo del método de mínimos cuadrados, todas las celdas azules.</text>
  </threadedComment>
  <threadedComment ref="B10" dT="2023-10-19T02:34:21.92" personId="{D56304B0-A414-49AC-84D6-80017F09ECBC}" id="{D8963EEF-DE66-4474-9537-28FF231F173F}">
    <text>Concentración del estándar (Por norma general al nivel del 100%).</text>
  </threadedComment>
  <threadedComment ref="S10" dT="2023-10-19T02:52:20.41" personId="{D56304B0-A414-49AC-84D6-80017F09ECBC}" id="{4B6C3E1D-293D-4376-9892-B7DA7AC57961}">
    <text>Prueba estadística, debido a la cantidad de datos se utiliza la distribución t de student.</text>
  </threadedComment>
  <threadedComment ref="O14" dT="2023-10-19T02:53:12.63" personId="{D56304B0-A414-49AC-84D6-80017F09ECBC}" id="{5DE3786F-3651-4570-B4F0-88D86574CFCE}">
    <text>Nivel de significancia de la prueba estadística.</text>
  </threadedComment>
  <threadedComment ref="G17" dT="2023-10-19T02:47:36.45" personId="{D56304B0-A414-49AC-84D6-80017F09ECBC}" id="{8B061F37-0788-4D41-9DD6-13E089B2CA09}">
    <text>Pendiente.</text>
  </threadedComment>
  <threadedComment ref="G18" dT="2023-10-19T02:48:47.68" personId="{D56304B0-A414-49AC-84D6-80017F09ECBC}" id="{E02E4F76-0F33-4B76-8E6B-30A4B08A3643}">
    <text>Ordenada al origen.</text>
  </threadedComment>
  <threadedComment ref="G19" dT="2023-10-19T02:53:37.19" personId="{D56304B0-A414-49AC-84D6-80017F09ECBC}" id="{22379559-F891-47DD-9794-DDFAB7ED919A}">
    <text>Coeficiente de correlación de Pearson.</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3-10-21T20:48:08.08" personId="{D56304B0-A414-49AC-84D6-80017F09ECBC}" id="{312C69FE-FB00-4593-99FC-C38F0815895B}">
    <text>Tabla 1, datos de cantidad agregada en función del nivel de concentración 8, 10 ó 12 µg/mL.</text>
  </threadedComment>
  <threadedComment ref="F4" dT="2023-10-21T21:14:56.69" personId="{D56304B0-A414-49AC-84D6-80017F09ECBC}" id="{F4767FDA-9518-47D8-B9A9-B9B6508069CF}">
    <text>Porcentaje adicionado respecto al estándar.</text>
  </threadedComment>
  <threadedComment ref="L4" dT="2023-10-21T21:27:36.36" personId="{D56304B0-A414-49AC-84D6-80017F09ECBC}" id="{F103526D-385A-4701-BFB3-FAE62A155CB2}">
    <text>Prueba de normalidad Z normal vs. Z datos. Incluye al gráfico.</text>
  </threadedComment>
  <threadedComment ref="P4" dT="2023-10-21T21:28:03.44" personId="{D56304B0-A414-49AC-84D6-80017F09ECBC}" id="{40304C11-F798-40D3-B729-FFCBB1281CDF}">
    <text>Prueba de normalidad de Ryan-Joiner.</text>
  </threadedComment>
  <threadedComment ref="B10" dT="2023-10-21T20:47:46.22" personId="{D56304B0-A414-49AC-84D6-80017F09ECBC}" id="{C5736850-20F9-4106-B70A-8F4DCE8DAD4B}">
    <text>Concentración del estándar (Por norma general al nivel del 100%).</text>
  </threadedComment>
  <threadedComment ref="F10" dT="2023-10-21T21:20:43.95" personId="{D56304B0-A414-49AC-84D6-80017F09ECBC}" id="{80D3CB57-1A34-47CD-8854-44E48FE95AC5}">
    <text>Porcentaje obtenido respecto al que se debería obtener.</text>
  </threadedComment>
  <threadedComment ref="M16" dT="2023-10-21T21:29:18.38" personId="{D56304B0-A414-49AC-84D6-80017F09ECBC}" id="{A95F6109-AD4A-4621-A1E9-3D5D14AA48A5}">
    <text xml:space="preserve">Pruebas de hipótesis. </text>
  </threadedComment>
  <threadedComment ref="P20" dT="2023-10-21T21:31:38.51" personId="{D56304B0-A414-49AC-84D6-80017F09ECBC}" id="{9315D768-2C0A-4A02-8AFE-8E08181E4010}">
    <text>Nivel de significancia para la prueba.</text>
  </threadedComment>
  <threadedComment ref="N22" dT="2023-10-21T21:34:21.96" personId="{D56304B0-A414-49AC-84D6-80017F09ECBC}" id="{200F55FB-8FA5-49A9-ABEC-68FEDD773582}">
    <text>En esta prueba se utiliza t de student porque se trata de una media y se involucran menos de 30 datos.</text>
  </threadedComment>
  <threadedComment ref="R22" dT="2023-10-21T21:37:47.60" personId="{D56304B0-A414-49AC-84D6-80017F09ECBC}" id="{D431C193-69E2-4ECF-BA68-7E9C2866DD7C}">
    <text>En esta prueba se utiliza chi cuadrada al tratarse la desviación estándar de una medida de dispersión.</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3-10-21T21:45:55.63" personId="{D56304B0-A414-49AC-84D6-80017F09ECBC}" id="{8C3F005D-6D72-4A4F-A28E-AB9F5725B9A7}">
    <text>Datos de dureza de las tabletas obtenidas en los diferentes muestreos.</text>
  </threadedComment>
  <threadedComment ref="J4" dT="2023-10-21T22:21:57.13" personId="{D56304B0-A414-49AC-84D6-80017F09ECBC}" id="{75A95025-F43E-4455-9D48-E307FE777EE9}">
    <text>Limite inferior de la clase.</text>
  </threadedComment>
  <threadedComment ref="K4" dT="2023-10-21T22:22:10.00" personId="{D56304B0-A414-49AC-84D6-80017F09ECBC}" id="{B19357CE-FBD4-462D-9108-8A8A959D8D5E}">
    <text>Limite superior de la clase.</text>
  </threadedComment>
  <threadedComment ref="L4" dT="2023-10-21T22:22:21.26" personId="{D56304B0-A414-49AC-84D6-80017F09ECBC}" id="{70D7DCF7-50F2-482A-A97E-00BC64B686A0}">
    <text>Marca de clase.</text>
  </threadedComment>
  <threadedComment ref="M4" dT="2023-10-21T22:23:35.47" personId="{D56304B0-A414-49AC-84D6-80017F09ECBC}" id="{9CF2852F-AB8F-4AB9-8B4F-DD77C8A5544C}">
    <text>Frecuencia de clase.</text>
  </threadedComment>
  <threadedComment ref="N4" dT="2023-10-21T22:25:17.57" personId="{D56304B0-A414-49AC-84D6-80017F09ECBC}" id="{2F25F150-1668-45E3-8FA1-ADB24B25B1C5}">
    <text>Marca de clase por frecuencia.</text>
  </threadedComment>
  <threadedComment ref="P4" dT="2023-10-21T22:29:34.88" personId="{D56304B0-A414-49AC-84D6-80017F09ECBC}" id="{0215BE25-AD75-4EBA-A71A-4A9C1202FC86}">
    <text>Frecuencia acumulada.</text>
  </threadedComment>
  <threadedComment ref="Q4" dT="2023-10-21T22:28:03.97" personId="{D56304B0-A414-49AC-84D6-80017F09ECBC}" id="{9B8A32EF-7651-4D7C-BC68-3C48CEB033F7}">
    <text>Porcentaje de frecuencia acumulada.</text>
  </threadedComment>
  <threadedComment ref="R4" dT="2023-10-21T22:29:08.88" personId="{D56304B0-A414-49AC-84D6-80017F09ECBC}" id="{8316C196-C696-43B5-8753-AECFE7F4B6FA}">
    <text>Limite inferior de la clase en Z.</text>
  </threadedComment>
  <threadedComment ref="S4" dT="2023-10-21T22:29:21.57" personId="{D56304B0-A414-49AC-84D6-80017F09ECBC}" id="{05E975D3-E2E2-483E-931C-6BE6123289CD}">
    <text>Limite superior de la clase en Z.</text>
  </threadedComment>
  <threadedComment ref="T4" dT="2023-10-21T22:26:11.04" personId="{D56304B0-A414-49AC-84D6-80017F09ECBC}" id="{BDF92D50-A8EC-47AC-86BE-0A3D8D58719B}">
    <text>Área bajo la curva.</text>
  </threadedComment>
  <threadedComment ref="U4" dT="2023-10-21T22:26:38.86" personId="{D56304B0-A414-49AC-84D6-80017F09ECBC}" id="{64C95030-13FF-45CF-9903-B4C9A05B890D}">
    <text>Frecuencia normal acumulada.</text>
  </threadedComment>
  <threadedComment ref="V4" dT="2023-10-21T22:26:58.59" personId="{D56304B0-A414-49AC-84D6-80017F09ECBC}" id="{D0F9E604-5906-4112-9447-52E24CA6BC25}">
    <text>Parámetro Z de los datos.</text>
  </threadedComment>
  <threadedComment ref="X4" dT="2023-10-21T22:39:55.69" personId="{D56304B0-A414-49AC-84D6-80017F09ECBC}" id="{CC8885A4-F1C1-407F-AA70-9A61E7846BAD}">
    <text>Capacidad de proceso a corto plazo.</text>
  </threadedComment>
  <threadedComment ref="AA4" dT="2023-10-21T22:40:10.85" personId="{D56304B0-A414-49AC-84D6-80017F09ECBC}" id="{33976380-63FD-4EA3-9ED0-76E8DCADE316}">
    <text>Capacidad de proceso a largo plazo.</text>
  </threadedComment>
  <threadedComment ref="H16" dT="2023-10-21T22:15:38.61" personId="{D56304B0-A414-49AC-84D6-80017F09ECBC}" id="{08FCC20C-C524-4228-B6C2-3146F71BDFC5}">
    <text>Decimales utilizados para la amplitud.</text>
  </threadedComment>
  <threadedComment ref="E17" dT="2023-10-21T22:13:43.88" personId="{D56304B0-A414-49AC-84D6-80017F09ECBC}" id="{5E6EE586-9F9A-45E1-8498-8069784E350C}">
    <text>Métricas de los datos por muestreo.</text>
  </threadedComment>
  <threadedComment ref="H17" dT="2023-10-21T22:16:27.93" personId="{D56304B0-A414-49AC-84D6-80017F09ECBC}" id="{016D049F-47A7-4FE8-8414-3E0D7F86D1BB}">
    <text>Amplitud de las clases.</text>
  </threadedComment>
  <threadedComment ref="O17" dT="2023-10-21T22:30:47.20" personId="{D56304B0-A414-49AC-84D6-80017F09ECBC}" id="{DC4E1C88-3399-4045-A22C-129811367C07}">
    <text>Nivel de significancia.</text>
  </threadedComment>
  <threadedComment ref="H18" dT="2023-10-21T22:17:10.37" personId="{D56304B0-A414-49AC-84D6-80017F09ECBC}" id="{2D4F62B4-ED96-4F3F-9104-39D9AA05763A}">
    <text>Métricas de los datos en general.</text>
  </threadedComment>
</ThreadedComments>
</file>

<file path=xl/threadedComments/threadedComment5.xml><?xml version="1.0" encoding="utf-8"?>
<ThreadedComments xmlns="http://schemas.microsoft.com/office/spreadsheetml/2018/threadedcomments" xmlns:x="http://schemas.openxmlformats.org/spreadsheetml/2006/main">
  <threadedComment ref="D4" dT="2023-10-21T22:49:13.24" personId="{D56304B0-A414-49AC-84D6-80017F09ECBC}" id="{EEFB6895-F355-4D2B-8FD9-E9C202AE0134}">
    <text>Datos de Cpk del contenido para cada repetición y condiciones de mezclado. Se generalizan las velocidades como velocidad baja y velocidad alta.</text>
  </threadedComment>
  <threadedComment ref="G4" dT="2023-10-21T22:52:51.70" personId="{D56304B0-A414-49AC-84D6-80017F09ECBC}" id="{3327B0CA-0C4F-4DCE-9AAA-03F3D24C1570}">
    <text>Suma por cada equipo al cuadrado.</text>
  </threadedComment>
  <threadedComment ref="I4" dT="2023-10-21T22:55:24.34" personId="{D56304B0-A414-49AC-84D6-80017F09ECBC}" id="{D6A0AE94-9D31-4E99-A0FB-B811E5946410}">
    <text>Términos para sumas de cuadrados, columna morada.</text>
  </threadedComment>
  <threadedComment ref="G5" dT="2023-10-21T22:53:10.37" personId="{D56304B0-A414-49AC-84D6-80017F09ECBC}" id="{1615D248-3C75-42DB-A4DA-7433DA9C0107}">
    <text>Suma total al cuadrado.</text>
  </threadedComment>
  <threadedComment ref="G6" dT="2023-10-21T22:53:59.93" personId="{D56304B0-A414-49AC-84D6-80017F09ECBC}" id="{B4964984-112E-4F1B-A658-8DB6AAE5C8D2}">
    <text>Sumatoria por condiciones de equipo y velocidad al cuadrado.</text>
  </threadedComment>
  <threadedComment ref="G7" dT="2023-10-21T22:53:33.40" personId="{D56304B0-A414-49AC-84D6-80017F09ECBC}" id="{F8AC90CD-95E0-4578-A9BC-CE2A57FEFCE8}">
    <text>Sumatoria de cuadrados.</text>
  </threadedComment>
  <threadedComment ref="B10" dT="2023-10-21T22:49:37.04" personId="{D56304B0-A414-49AC-84D6-80017F09ECBC}" id="{35E2F4C1-495E-4EEA-82C7-867495AFE0FC}">
    <text>Planteamiento y supuestos del modelo.</text>
  </threadedComment>
  <threadedComment ref="F11" dT="2023-10-21T22:55:39.45" personId="{D56304B0-A414-49AC-84D6-80017F09ECBC}" id="{F0784EE0-AC45-45A6-A005-36A2EC25272A}">
    <text>Fuente de variación.</text>
  </threadedComment>
  <threadedComment ref="G11" dT="2023-10-21T22:55:55.41" personId="{D56304B0-A414-49AC-84D6-80017F09ECBC}" id="{F5A19C8F-BBBB-4C9F-8BDF-74A9D832F5EF}">
    <text>Grados de libertad.</text>
  </threadedComment>
  <threadedComment ref="H11" dT="2023-10-21T22:56:12.03" personId="{D56304B0-A414-49AC-84D6-80017F09ECBC}" id="{9520AFC8-2DC5-4D11-AEA8-0D62AEBBDEDB}">
    <text>Suma de cuadrados.</text>
  </threadedComment>
  <threadedComment ref="I11" dT="2023-10-21T22:56:27.35" personId="{D56304B0-A414-49AC-84D6-80017F09ECBC}" id="{BFCF2B4F-EAD8-4F37-B1BE-093A0004700B}">
    <text>Media de cuadrados.</text>
  </threadedComment>
  <threadedComment ref="J11" dT="2023-10-21T22:57:28.73" personId="{D56304B0-A414-49AC-84D6-80017F09ECBC}" id="{406D783C-6779-4087-91B0-F92D3D579338}">
    <text>Estadístico F del factor.</text>
  </threadedComment>
  <threadedComment ref="K11" dT="2023-10-21T22:57:50.29" personId="{D56304B0-A414-49AC-84D6-80017F09ECBC}" id="{4000C781-567E-429E-B4F2-5960AD545AF9}">
    <text>Estadístico F de tablas.</text>
  </threadedComment>
  <threadedComment ref="L11" dT="2023-10-21T22:56:47.03" personId="{D56304B0-A414-49AC-84D6-80017F09ECBC}" id="{7B7F0E4C-FE55-4134-A79C-E018D4C14543}">
    <text>Valor p.</text>
  </threadedComment>
  <threadedComment ref="C16" dT="2023-10-21T22:52:02.76" personId="{D56304B0-A414-49AC-84D6-80017F09ECBC}" id="{FEA1A42A-8CD9-4FD9-8395-C6E253051A18}">
    <text>Niveles del factor "Equipo".</text>
  </threadedComment>
  <threadedComment ref="J16" dT="2023-10-21T23:00:07.33" personId="{D56304B0-A414-49AC-84D6-80017F09ECBC}" id="{B3225FA0-8EF0-4A1E-9820-D516E80565A3}">
    <text>Nivel de significancia para la prueba estadística.</text>
  </threadedComment>
  <threadedComment ref="C17" dT="2023-10-21T22:52:13.81" personId="{D56304B0-A414-49AC-84D6-80017F09ECBC}" id="{63E1D098-31E9-4F07-B6D8-C48A76860C2D}">
    <text>Niveles del factor "Velocidad".</text>
  </threadedComment>
  <threadedComment ref="C18" dT="2023-10-21T22:51:03.87" personId="{D56304B0-A414-49AC-84D6-80017F09ECBC}" id="{C42ADEE7-F105-49C1-AED7-B567EF8DA5D1}">
    <text>Cantidad de repeticiones.</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2F9661E-4290-4462-BBDA-E2B528847060}">
  <we:reference id="wa200003696" version="1.2.0.0" store="es-ES" storeType="OMEX"/>
  <we:alternateReferences>
    <we:reference id="WA200003696" version="1.2.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2640-EA52-40CA-A9F2-3FA37E5B793C}">
  <sheetPr codeName="Hoja1"/>
  <dimension ref="B1:L16"/>
  <sheetViews>
    <sheetView tabSelected="1" zoomScaleNormal="100" workbookViewId="0">
      <selection activeCell="B2" sqref="B2:L2"/>
    </sheetView>
  </sheetViews>
  <sheetFormatPr baseColWidth="10" defaultColWidth="10.7109375" defaultRowHeight="15"/>
  <cols>
    <col min="1" max="1" width="3.28515625" customWidth="1"/>
    <col min="2" max="2" width="11.28515625" bestFit="1" customWidth="1"/>
    <col min="3" max="3" width="17.85546875" customWidth="1"/>
    <col min="4" max="4" width="18.7109375" bestFit="1" customWidth="1"/>
    <col min="5" max="5" width="3.42578125" customWidth="1"/>
    <col min="6" max="6" width="8.140625" customWidth="1"/>
    <col min="7" max="7" width="11.28515625" customWidth="1"/>
    <col min="11" max="11" width="20.42578125" customWidth="1"/>
    <col min="12" max="12" width="20" customWidth="1"/>
  </cols>
  <sheetData>
    <row r="1" spans="2:12" ht="15.75" thickBot="1"/>
    <row r="2" spans="2:12" ht="60.75" customHeight="1" thickBot="1">
      <c r="B2" s="139" t="s">
        <v>162</v>
      </c>
      <c r="C2" s="140"/>
      <c r="D2" s="140"/>
      <c r="E2" s="140"/>
      <c r="F2" s="140"/>
      <c r="G2" s="140"/>
      <c r="H2" s="140"/>
      <c r="I2" s="140"/>
      <c r="J2" s="140"/>
      <c r="K2" s="140"/>
      <c r="L2" s="141"/>
    </row>
    <row r="4" spans="2:12" ht="18">
      <c r="B4" s="31" t="s">
        <v>0</v>
      </c>
      <c r="C4" s="31" t="s">
        <v>1</v>
      </c>
      <c r="D4" s="31" t="s">
        <v>2</v>
      </c>
      <c r="F4" s="36" t="s">
        <v>3</v>
      </c>
      <c r="G4" s="38">
        <f>(SUM(B5:B6)^2)+(SUM(C5:C6)^2)+(SUM(D5:D6)^2)</f>
        <v>358.74</v>
      </c>
      <c r="H4" s="33" t="s">
        <v>4</v>
      </c>
      <c r="I4" s="41">
        <f>G4/D16</f>
        <v>179.37</v>
      </c>
    </row>
    <row r="5" spans="2:12" ht="18">
      <c r="B5" s="4">
        <v>7.1</v>
      </c>
      <c r="C5" s="4">
        <v>5.2</v>
      </c>
      <c r="D5" s="4">
        <v>3.1</v>
      </c>
      <c r="F5" s="20" t="s">
        <v>5</v>
      </c>
      <c r="G5" s="38">
        <f>(SUM(B5:D6))^2</f>
        <v>936.36000000000013</v>
      </c>
      <c r="H5" s="34" t="s">
        <v>6</v>
      </c>
      <c r="I5" s="41">
        <f>G5/(D15*D16)</f>
        <v>156.06000000000003</v>
      </c>
    </row>
    <row r="6" spans="2:12" ht="18.75">
      <c r="B6" s="4">
        <v>8.1999999999999993</v>
      </c>
      <c r="C6" s="4">
        <v>4.4000000000000004</v>
      </c>
      <c r="D6" s="4">
        <v>2.6</v>
      </c>
      <c r="F6" s="37" t="s">
        <v>7</v>
      </c>
      <c r="G6" s="38">
        <f>SUMSQ(B5:D6)</f>
        <v>180.42000000000002</v>
      </c>
      <c r="H6" s="35" t="s">
        <v>7</v>
      </c>
      <c r="I6" s="41">
        <f>G6</f>
        <v>180.42000000000002</v>
      </c>
    </row>
    <row r="8" spans="2:12">
      <c r="B8" s="148" t="s">
        <v>8</v>
      </c>
      <c r="C8" s="149"/>
      <c r="D8" s="150"/>
    </row>
    <row r="9" spans="2:12" ht="18">
      <c r="B9" s="151" t="s">
        <v>9</v>
      </c>
      <c r="C9" s="152"/>
      <c r="D9" s="153"/>
    </row>
    <row r="10" spans="2:12" ht="18">
      <c r="B10" s="142" t="s">
        <v>10</v>
      </c>
      <c r="C10" s="143"/>
      <c r="D10" s="144"/>
      <c r="F10" s="147" t="s">
        <v>11</v>
      </c>
      <c r="G10" s="147"/>
      <c r="H10" s="147"/>
      <c r="I10" s="147"/>
      <c r="J10" s="147"/>
      <c r="K10" s="147"/>
      <c r="L10" s="147"/>
    </row>
    <row r="11" spans="2:12" ht="18">
      <c r="B11" s="142" t="s">
        <v>12</v>
      </c>
      <c r="C11" s="143"/>
      <c r="D11" s="144"/>
      <c r="F11" s="22" t="s">
        <v>13</v>
      </c>
      <c r="G11" s="22" t="s">
        <v>14</v>
      </c>
      <c r="H11" s="42" t="s">
        <v>15</v>
      </c>
      <c r="I11" s="22" t="s">
        <v>16</v>
      </c>
      <c r="J11" s="22" t="s">
        <v>17</v>
      </c>
      <c r="K11" s="22" t="s">
        <v>18</v>
      </c>
      <c r="L11" s="22" t="s">
        <v>19</v>
      </c>
    </row>
    <row r="12" spans="2:12" ht="18">
      <c r="B12" s="142" t="s">
        <v>161</v>
      </c>
      <c r="C12" s="143"/>
      <c r="D12" s="144"/>
      <c r="F12" s="43" t="s">
        <v>21</v>
      </c>
      <c r="G12" s="44">
        <f>D15-1</f>
        <v>2</v>
      </c>
      <c r="H12" s="45">
        <f>I4-I5</f>
        <v>23.309999999999974</v>
      </c>
      <c r="I12" s="45">
        <f>H12/G12</f>
        <v>11.654999999999987</v>
      </c>
      <c r="J12" s="45">
        <f>I12/I13</f>
        <v>33.299999999999599</v>
      </c>
      <c r="K12" s="45">
        <f>_xlfn.F.INV(1-I15,G12,G13)</f>
        <v>9.5520944959211551</v>
      </c>
      <c r="L12" s="45">
        <f>_xlfn.F.DIST.RT(J12,G12,G13)</f>
        <v>8.9488663635497196E-3</v>
      </c>
    </row>
    <row r="13" spans="2:12">
      <c r="F13" s="43" t="s">
        <v>22</v>
      </c>
      <c r="G13" s="45">
        <f>(D16-1)*D15</f>
        <v>3</v>
      </c>
      <c r="H13" s="45">
        <f>I6-I4</f>
        <v>1.0500000000000114</v>
      </c>
      <c r="I13" s="45">
        <f>H13/G13</f>
        <v>0.35000000000000381</v>
      </c>
      <c r="J13" s="45"/>
      <c r="K13" s="45"/>
      <c r="L13" s="45"/>
    </row>
    <row r="14" spans="2:12">
      <c r="F14" s="43" t="s">
        <v>23</v>
      </c>
      <c r="G14" s="45">
        <f>(D15*D16)-1</f>
        <v>5</v>
      </c>
      <c r="H14" s="45">
        <f>I6-I5</f>
        <v>24.359999999999985</v>
      </c>
      <c r="I14" s="45"/>
      <c r="J14" s="45"/>
      <c r="K14" s="45"/>
      <c r="L14" s="45"/>
    </row>
    <row r="15" spans="2:12">
      <c r="C15" s="39" t="s">
        <v>24</v>
      </c>
      <c r="D15" s="40">
        <v>3</v>
      </c>
      <c r="H15" s="92" t="s">
        <v>25</v>
      </c>
      <c r="I15" s="45">
        <v>0.05</v>
      </c>
      <c r="J15" s="22" t="s">
        <v>26</v>
      </c>
      <c r="K15" s="145" t="str">
        <f>IF(J12&lt;=K12, "El tipo de mezclador es indistinto", "El tipo del mezclador influye en el resultado")</f>
        <v>El tipo del mezclador influye en el resultado</v>
      </c>
      <c r="L15" s="146"/>
    </row>
    <row r="16" spans="2:12">
      <c r="C16" s="39" t="s">
        <v>27</v>
      </c>
      <c r="D16" s="40">
        <v>2</v>
      </c>
    </row>
  </sheetData>
  <mergeCells count="8">
    <mergeCell ref="B2:L2"/>
    <mergeCell ref="B12:D12"/>
    <mergeCell ref="K15:L15"/>
    <mergeCell ref="F10:L10"/>
    <mergeCell ref="B8:D8"/>
    <mergeCell ref="B9:D9"/>
    <mergeCell ref="B10:D10"/>
    <mergeCell ref="B11:D11"/>
  </mergeCells>
  <conditionalFormatting sqref="K15:L15">
    <cfRule type="beginsWith" dxfId="15" priority="1" operator="beginsWith" text="El tipo del mezclador influye en el resultado">
      <formula>LEFT(K15,LEN("El tipo del mezclador influye en el resultado"))="El tipo del mezclador influye en el resultado"</formula>
    </cfRule>
    <cfRule type="containsText" dxfId="14" priority="2" operator="containsText" text="El tipo de mezclador es indistinto">
      <formula>NOT(ISERROR(SEARCH("El tipo de mezclador es indistinto",K15)))</formula>
    </cfRule>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8A7D-896A-4008-8EAF-C5CA440AD8F1}">
  <sheetPr codeName="Hoja2"/>
  <dimension ref="B1:S19"/>
  <sheetViews>
    <sheetView zoomScaleNormal="100" workbookViewId="0">
      <selection activeCell="B2" sqref="B2:S2"/>
    </sheetView>
  </sheetViews>
  <sheetFormatPr baseColWidth="10" defaultColWidth="10.7109375" defaultRowHeight="15"/>
  <cols>
    <col min="1" max="1" width="2.7109375" customWidth="1"/>
    <col min="5" max="5" width="2.7109375" customWidth="1"/>
    <col min="6" max="6" width="6.5703125" customWidth="1"/>
    <col min="7" max="7" width="6.42578125" customWidth="1"/>
    <col min="8" max="8" width="10.85546875" customWidth="1"/>
    <col min="9" max="9" width="16.7109375" customWidth="1"/>
    <col min="10" max="10" width="8.28515625" customWidth="1"/>
    <col min="13" max="13" width="2.85546875" customWidth="1"/>
    <col min="14" max="14" width="9.7109375" customWidth="1"/>
    <col min="15" max="15" width="11" customWidth="1"/>
    <col min="16" max="16" width="9.28515625" customWidth="1"/>
    <col min="17" max="17" width="11.42578125" customWidth="1"/>
  </cols>
  <sheetData>
    <row r="1" spans="2:19" ht="15.75" thickBot="1"/>
    <row r="2" spans="2:19" ht="44.25" customHeight="1" thickBot="1">
      <c r="B2" s="139" t="s">
        <v>163</v>
      </c>
      <c r="C2" s="140"/>
      <c r="D2" s="140"/>
      <c r="E2" s="140"/>
      <c r="F2" s="140"/>
      <c r="G2" s="140"/>
      <c r="H2" s="140"/>
      <c r="I2" s="140"/>
      <c r="J2" s="140"/>
      <c r="K2" s="140"/>
      <c r="L2" s="140"/>
      <c r="M2" s="140"/>
      <c r="N2" s="140"/>
      <c r="O2" s="140"/>
      <c r="P2" s="140"/>
      <c r="Q2" s="140"/>
      <c r="R2" s="140"/>
      <c r="S2" s="141"/>
    </row>
    <row r="3" spans="2:19" ht="15.75" thickBot="1"/>
    <row r="4" spans="2:19" ht="29.25" customHeight="1" thickBot="1">
      <c r="B4" s="156" t="s">
        <v>167</v>
      </c>
      <c r="C4" s="157"/>
      <c r="D4" s="158"/>
      <c r="F4" s="159" t="s">
        <v>29</v>
      </c>
      <c r="G4" s="160"/>
      <c r="H4" s="160"/>
      <c r="I4" s="160"/>
      <c r="J4" s="160"/>
      <c r="K4" s="160"/>
      <c r="L4" s="161"/>
      <c r="N4" s="123" t="s">
        <v>30</v>
      </c>
      <c r="O4" s="131" t="s">
        <v>31</v>
      </c>
    </row>
    <row r="5" spans="2:19" ht="15.75" thickBot="1">
      <c r="B5" s="120">
        <v>8</v>
      </c>
      <c r="C5" s="121">
        <v>10</v>
      </c>
      <c r="D5" s="122">
        <v>12</v>
      </c>
      <c r="F5" s="117" t="s">
        <v>32</v>
      </c>
      <c r="G5" s="118" t="s">
        <v>33</v>
      </c>
      <c r="H5" s="118" t="s">
        <v>34</v>
      </c>
      <c r="I5" s="118" t="s">
        <v>35</v>
      </c>
      <c r="J5" s="118" t="s">
        <v>36</v>
      </c>
      <c r="K5" s="118" t="s">
        <v>37</v>
      </c>
      <c r="L5" s="119" t="s">
        <v>38</v>
      </c>
      <c r="N5" s="132">
        <f>((F14-1/F14-2)*(K18-((H17^2)*K17)))</f>
        <v>37.680734221776497</v>
      </c>
      <c r="O5" s="112">
        <f>SQRT(N5)</f>
        <v>6.1384635065932009</v>
      </c>
    </row>
    <row r="6" spans="2:19" ht="18">
      <c r="B6" s="98">
        <v>3253651</v>
      </c>
      <c r="C6" s="84">
        <v>3860667</v>
      </c>
      <c r="D6" s="99">
        <v>3941669</v>
      </c>
      <c r="F6" s="105">
        <v>1</v>
      </c>
      <c r="G6" s="74">
        <f>($B$5/$B$12)*100</f>
        <v>80</v>
      </c>
      <c r="H6" s="76">
        <f>(B6/$C$12)*100</f>
        <v>86.482807638308927</v>
      </c>
      <c r="I6" s="14">
        <f>G6*H6</f>
        <v>6918.6246110647144</v>
      </c>
      <c r="J6" s="74">
        <f>G6^2</f>
        <v>6400</v>
      </c>
      <c r="K6" s="96">
        <f>H6^2</f>
        <v>7479.276017004745</v>
      </c>
      <c r="L6" s="106">
        <f t="shared" ref="L6:L13" si="0">(H6-($H$18))/$H$17</f>
        <v>76.769723676088915</v>
      </c>
      <c r="N6" s="133" t="s">
        <v>39</v>
      </c>
      <c r="O6" s="134" t="s">
        <v>40</v>
      </c>
    </row>
    <row r="7" spans="2:19" ht="15.75" thickBot="1">
      <c r="B7" s="98">
        <v>3273948</v>
      </c>
      <c r="C7" s="84">
        <v>3981518</v>
      </c>
      <c r="D7" s="99">
        <v>4004959</v>
      </c>
      <c r="F7" s="105">
        <v>2</v>
      </c>
      <c r="G7" s="74">
        <f t="shared" ref="G7:G8" si="1">($B$5/$B$12)*100</f>
        <v>80</v>
      </c>
      <c r="H7" s="76">
        <f>(B7/$C$12)*100</f>
        <v>87.022306664674915</v>
      </c>
      <c r="I7" s="14">
        <f t="shared" ref="I7:I12" si="2">G7*H7</f>
        <v>6961.7845331739936</v>
      </c>
      <c r="J7" s="74">
        <f>G7^2</f>
        <v>6400</v>
      </c>
      <c r="K7" s="96">
        <f t="shared" ref="K7:K10" si="3">H7^2</f>
        <v>7572.8818572407245</v>
      </c>
      <c r="L7" s="106">
        <f t="shared" si="0"/>
        <v>77.692418038790166</v>
      </c>
      <c r="N7" s="132">
        <f>N5/(J15-((G15^2)/F14))</f>
        <v>1.5700305925740208E-2</v>
      </c>
      <c r="O7" s="112">
        <f>SQRT(N7)</f>
        <v>0.12530086163207421</v>
      </c>
    </row>
    <row r="8" spans="2:19" ht="15.75" thickBot="1">
      <c r="B8" s="100">
        <v>3151338</v>
      </c>
      <c r="C8" s="101">
        <v>4042175</v>
      </c>
      <c r="D8" s="102">
        <v>4372013</v>
      </c>
      <c r="F8" s="105">
        <v>3</v>
      </c>
      <c r="G8" s="74">
        <f t="shared" si="1"/>
        <v>80</v>
      </c>
      <c r="H8" s="76">
        <f>(B8/$C$12)*100</f>
        <v>83.763304072038807</v>
      </c>
      <c r="I8" s="14">
        <f t="shared" si="2"/>
        <v>6701.0643257631045</v>
      </c>
      <c r="J8" s="74">
        <f t="shared" ref="J8:J12" si="4">G8^2</f>
        <v>6400</v>
      </c>
      <c r="K8" s="96">
        <f t="shared" si="3"/>
        <v>7016.2911090648331</v>
      </c>
      <c r="L8" s="106">
        <f t="shared" si="0"/>
        <v>72.118611278638255</v>
      </c>
    </row>
    <row r="9" spans="2:19" ht="15.75" thickBot="1">
      <c r="F9" s="105">
        <v>4</v>
      </c>
      <c r="G9" s="74">
        <f>($C$5/$B$12)*100</f>
        <v>100</v>
      </c>
      <c r="H9" s="76">
        <f>(C6/$C$12)*100</f>
        <v>102.61743546451885</v>
      </c>
      <c r="I9" s="14">
        <f t="shared" si="2"/>
        <v>10261.743546451886</v>
      </c>
      <c r="J9" s="74">
        <f t="shared" si="4"/>
        <v>10000</v>
      </c>
      <c r="K9" s="96">
        <f t="shared" si="3"/>
        <v>10530.338061314691</v>
      </c>
      <c r="L9" s="106">
        <f t="shared" si="0"/>
        <v>104.36445399433677</v>
      </c>
    </row>
    <row r="10" spans="2:19" ht="18">
      <c r="B10" s="162" t="s">
        <v>41</v>
      </c>
      <c r="C10" s="163"/>
      <c r="F10" s="105">
        <v>5</v>
      </c>
      <c r="G10" s="74">
        <f t="shared" ref="G10:G11" si="5">($C$5/$B$12)*100</f>
        <v>100</v>
      </c>
      <c r="H10" s="76">
        <f>(C7/$C$12)*100</f>
        <v>105.82968342408712</v>
      </c>
      <c r="I10" s="14">
        <f t="shared" si="2"/>
        <v>10582.968342408712</v>
      </c>
      <c r="J10" s="74">
        <f t="shared" si="4"/>
        <v>10000</v>
      </c>
      <c r="K10" s="96">
        <f t="shared" si="3"/>
        <v>11199.9218936425</v>
      </c>
      <c r="L10" s="106">
        <f t="shared" si="0"/>
        <v>109.85829724342834</v>
      </c>
      <c r="N10" s="93" t="s">
        <v>42</v>
      </c>
      <c r="O10" s="93" t="s">
        <v>43</v>
      </c>
      <c r="P10" s="11" t="s">
        <v>44</v>
      </c>
      <c r="Q10" s="164" t="s">
        <v>45</v>
      </c>
      <c r="R10" s="165"/>
      <c r="S10" s="11" t="s">
        <v>46</v>
      </c>
    </row>
    <row r="11" spans="2:19">
      <c r="B11" s="103" t="s">
        <v>28</v>
      </c>
      <c r="C11" s="104"/>
      <c r="F11" s="105">
        <v>6</v>
      </c>
      <c r="G11" s="74">
        <f t="shared" si="5"/>
        <v>100</v>
      </c>
      <c r="H11" s="76">
        <f>(C8/$C$12)*100</f>
        <v>107.44196072823465</v>
      </c>
      <c r="I11" s="14">
        <f>G11*H11</f>
        <v>10744.196072823464</v>
      </c>
      <c r="J11" s="74">
        <f>G11^2</f>
        <v>10000</v>
      </c>
      <c r="K11" s="96">
        <f>H11^2</f>
        <v>11543.774925127516</v>
      </c>
      <c r="L11" s="106">
        <f t="shared" si="0"/>
        <v>112.61574277520009</v>
      </c>
      <c r="N11" s="8" t="s">
        <v>47</v>
      </c>
      <c r="O11" s="8">
        <v>1</v>
      </c>
      <c r="P11" s="9">
        <f>(H17-O11)/(O7)</f>
        <v>-3.3144257181201393</v>
      </c>
      <c r="Q11" s="9">
        <f>_xlfn.T.INV((O14/2),(F14-2))</f>
        <v>-2.3646242515927849</v>
      </c>
      <c r="R11" s="9">
        <f>_xlfn.T.INV(1-(O14/2),(F14-2))</f>
        <v>2.3646242515927849</v>
      </c>
      <c r="S11" s="8" t="str">
        <f>IF(AND(P11&gt;=Q11,P11&lt;=R11),"β=1","β≠1")</f>
        <v>β≠1</v>
      </c>
    </row>
    <row r="12" spans="2:19" ht="15.75" thickBot="1">
      <c r="B12" s="100">
        <v>10</v>
      </c>
      <c r="C12" s="102">
        <v>3762194</v>
      </c>
      <c r="F12" s="105">
        <v>7</v>
      </c>
      <c r="G12" s="74">
        <f>($D$5/$B$12)*100</f>
        <v>120</v>
      </c>
      <c r="H12" s="76">
        <f>(D6/$C$12)*100</f>
        <v>104.77048764630426</v>
      </c>
      <c r="I12" s="14">
        <f t="shared" si="2"/>
        <v>12572.458517556512</v>
      </c>
      <c r="J12" s="74">
        <f t="shared" si="4"/>
        <v>14400</v>
      </c>
      <c r="K12" s="96">
        <f>H12^2</f>
        <v>10976.855081644393</v>
      </c>
      <c r="L12" s="106">
        <f t="shared" si="0"/>
        <v>108.04677595164713</v>
      </c>
      <c r="N12" s="8" t="s">
        <v>48</v>
      </c>
      <c r="O12" s="8">
        <v>0</v>
      </c>
      <c r="P12" s="9">
        <f>(H18-O12)/(O5*SQRT(1+(1/F14)+(((O12-AVERAGE(G6:G14))^2)/(J15-((G15^2)/F14)))))</f>
        <v>2.9495921187222121</v>
      </c>
      <c r="Q12" s="9">
        <f>_xlfn.T.INV((O14/2),(F14-2))</f>
        <v>-2.3646242515927849</v>
      </c>
      <c r="R12" s="9">
        <f>_xlfn.T.INV(1-(O14/2),(F14-2))</f>
        <v>2.3646242515927849</v>
      </c>
      <c r="S12" s="8" t="str">
        <f>IF(AND(P12&gt;=Q12,P12&lt;=R12),"α=0","α≠0")</f>
        <v>α≠0</v>
      </c>
    </row>
    <row r="13" spans="2:19">
      <c r="F13" s="105">
        <v>8</v>
      </c>
      <c r="G13" s="74">
        <f>($D$5/$B$12)*100</f>
        <v>120</v>
      </c>
      <c r="H13" s="76">
        <f>(D7/$C$12)*100</f>
        <v>106.45275070876197</v>
      </c>
      <c r="I13" s="14">
        <f t="shared" ref="I13:I14" si="6">G13*H13</f>
        <v>12774.330085051437</v>
      </c>
      <c r="J13" s="74">
        <f>G13^2</f>
        <v>14400</v>
      </c>
      <c r="K13" s="96">
        <f>H13^2</f>
        <v>11332.188133461821</v>
      </c>
      <c r="L13" s="106">
        <f t="shared" si="0"/>
        <v>110.92391672197593</v>
      </c>
    </row>
    <row r="14" spans="2:19" ht="15.75" thickBot="1">
      <c r="F14" s="107">
        <v>9</v>
      </c>
      <c r="G14" s="108">
        <f>($D$5/$B$12)*100</f>
        <v>120</v>
      </c>
      <c r="H14" s="109">
        <f>(D8/$C$12)*100</f>
        <v>116.20913222444138</v>
      </c>
      <c r="I14" s="110">
        <f t="shared" si="6"/>
        <v>13945.095866932965</v>
      </c>
      <c r="J14" s="108">
        <f>G14^2</f>
        <v>14400</v>
      </c>
      <c r="K14" s="111">
        <f>H14^2</f>
        <v>13504.5624123577</v>
      </c>
      <c r="L14" s="112">
        <f>(H14-($H$18))/$H$17</f>
        <v>127.6100603198945</v>
      </c>
      <c r="N14" s="135" t="s">
        <v>25</v>
      </c>
      <c r="O14" s="8">
        <v>0.05</v>
      </c>
    </row>
    <row r="15" spans="2:19" ht="15.75" thickBot="1">
      <c r="F15" s="113" t="s">
        <v>49</v>
      </c>
      <c r="G15" s="114">
        <f>SUM(G6:G14)</f>
        <v>900</v>
      </c>
      <c r="H15" s="115">
        <f>SUM(H6:H14)</f>
        <v>900.58986857137086</v>
      </c>
      <c r="I15" s="115">
        <f>SUM(I6:I14)</f>
        <v>91462.265901226783</v>
      </c>
      <c r="J15" s="114">
        <f>SUM(J6:J14)</f>
        <v>92400</v>
      </c>
      <c r="K15" s="116">
        <f>SUM(K6:K14)</f>
        <v>91156.089490858925</v>
      </c>
    </row>
    <row r="16" spans="2:19" ht="15.75" thickBot="1">
      <c r="L16" s="95"/>
    </row>
    <row r="17" spans="7:15" ht="18">
      <c r="G17" s="123" t="s">
        <v>164</v>
      </c>
      <c r="H17" s="124">
        <f>((F14*I15)-(G15*H15))/((F14*J15)-(G15^2))</f>
        <v>0.58469960170404023</v>
      </c>
      <c r="J17" s="123" t="s">
        <v>52</v>
      </c>
      <c r="K17" s="129">
        <f>_xlfn.STDEV.S(G6:G14)</f>
        <v>17.320508075688775</v>
      </c>
      <c r="M17" s="95"/>
      <c r="N17" s="154" t="s">
        <v>50</v>
      </c>
      <c r="O17" s="155"/>
    </row>
    <row r="18" spans="7:15" ht="18.75" thickBot="1">
      <c r="G18" s="125" t="s">
        <v>51</v>
      </c>
      <c r="H18" s="126">
        <f>(H15-(H17*G15))/F14</f>
        <v>41.595580781970511</v>
      </c>
      <c r="J18" s="127" t="s">
        <v>54</v>
      </c>
      <c r="K18" s="130">
        <f>_xlfn.STDEV.S(H6:H14)</f>
        <v>11.391208869325595</v>
      </c>
      <c r="N18" s="97">
        <f>(AVERAGE(G6:G14)-(_xlfn.T.INV(1-(O14/2),F14-1)*(SQRT(K18))))</f>
        <v>92.217036578822842</v>
      </c>
      <c r="O18" s="97">
        <f>(AVERAGE(G6:G14)+(_xlfn.T.INV(1-(O14/2),F14-1)*(SQRT(K18))))</f>
        <v>107.78296342117716</v>
      </c>
    </row>
    <row r="19" spans="7:15" ht="15.75" thickBot="1">
      <c r="G19" s="127" t="s">
        <v>27</v>
      </c>
      <c r="H19" s="128">
        <f>((F14*I15)-(G15*H15))/((SQRT((F14*J15)-(G15^2))*SQRT((F14*K15)-(H15^2))))</f>
        <v>0.88904472645021648</v>
      </c>
    </row>
  </sheetData>
  <mergeCells count="6">
    <mergeCell ref="N17:O17"/>
    <mergeCell ref="B2:S2"/>
    <mergeCell ref="B4:D4"/>
    <mergeCell ref="F4:L4"/>
    <mergeCell ref="B10:C10"/>
    <mergeCell ref="Q10:R10"/>
  </mergeCells>
  <conditionalFormatting sqref="S11">
    <cfRule type="containsText" dxfId="13" priority="1" operator="containsText" text="β≠1">
      <formula>NOT(ISERROR(SEARCH("β≠1",S11)))</formula>
    </cfRule>
    <cfRule type="containsText" dxfId="12" priority="4" operator="containsText" text="β=1">
      <formula>NOT(ISERROR(SEARCH("β=1",S11)))</formula>
    </cfRule>
  </conditionalFormatting>
  <conditionalFormatting sqref="S12">
    <cfRule type="containsText" dxfId="11" priority="2" operator="containsText" text="α=0">
      <formula>NOT(ISERROR(SEARCH("α=0",S12)))</formula>
    </cfRule>
    <cfRule type="containsText" dxfId="10" priority="3" operator="containsText" text="α≠0">
      <formula>NOT(ISERROR(SEARCH("α≠0",S12)))</formula>
    </cfRule>
  </conditionalFormatting>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3F60-EF96-41B2-B257-FE83C295B1DF}">
  <sheetPr codeName="Hoja3"/>
  <dimension ref="B1:W24"/>
  <sheetViews>
    <sheetView zoomScale="85" zoomScaleNormal="85" workbookViewId="0">
      <selection activeCell="B2" sqref="B2:T2"/>
    </sheetView>
  </sheetViews>
  <sheetFormatPr baseColWidth="10" defaultColWidth="10.7109375" defaultRowHeight="15"/>
  <cols>
    <col min="1" max="1" width="2.5703125" customWidth="1"/>
    <col min="3" max="3" width="11.5703125" customWidth="1"/>
    <col min="4" max="4" width="11" customWidth="1"/>
    <col min="5" max="5" width="3.140625" customWidth="1"/>
    <col min="6" max="6" width="12.28515625" customWidth="1"/>
    <col min="7" max="7" width="14.140625" customWidth="1"/>
    <col min="8" max="8" width="13.28515625" customWidth="1"/>
    <col min="9" max="9" width="3.7109375" customWidth="1"/>
    <col min="10" max="10" width="9.5703125" customWidth="1"/>
    <col min="11" max="11" width="15.7109375" customWidth="1"/>
    <col min="13" max="13" width="10.28515625" customWidth="1"/>
    <col min="14" max="14" width="10.140625" customWidth="1"/>
    <col min="15" max="15" width="10.7109375" customWidth="1"/>
    <col min="16" max="16" width="9.140625" customWidth="1"/>
    <col min="17" max="17" width="10.28515625" customWidth="1"/>
    <col min="18" max="18" width="13.140625" customWidth="1"/>
    <col min="19" max="19" width="10.28515625" customWidth="1"/>
    <col min="20" max="20" width="10" customWidth="1"/>
    <col min="21" max="21" width="3.140625" customWidth="1"/>
    <col min="22" max="22" width="10.28515625" customWidth="1"/>
    <col min="23" max="23" width="17.5703125" customWidth="1"/>
  </cols>
  <sheetData>
    <row r="1" spans="2:23" ht="15.75" thickBot="1"/>
    <row r="2" spans="2:23" ht="48.75" customHeight="1" thickBot="1">
      <c r="B2" s="139" t="s">
        <v>165</v>
      </c>
      <c r="C2" s="166"/>
      <c r="D2" s="166"/>
      <c r="E2" s="166"/>
      <c r="F2" s="166"/>
      <c r="G2" s="166"/>
      <c r="H2" s="166"/>
      <c r="I2" s="166"/>
      <c r="J2" s="166"/>
      <c r="K2" s="166"/>
      <c r="L2" s="166"/>
      <c r="M2" s="166"/>
      <c r="N2" s="166"/>
      <c r="O2" s="166"/>
      <c r="P2" s="166"/>
      <c r="Q2" s="166"/>
      <c r="R2" s="166"/>
      <c r="S2" s="166"/>
      <c r="T2" s="167"/>
    </row>
    <row r="4" spans="2:23" ht="30.75" customHeight="1">
      <c r="B4" s="182" t="s">
        <v>168</v>
      </c>
      <c r="C4" s="182"/>
      <c r="D4" s="182"/>
      <c r="F4" s="184" t="s">
        <v>34</v>
      </c>
      <c r="G4" s="184"/>
      <c r="H4" s="184"/>
      <c r="J4" s="185" t="s">
        <v>55</v>
      </c>
      <c r="K4" s="185"/>
      <c r="L4" s="186" t="s">
        <v>56</v>
      </c>
      <c r="M4" s="187"/>
      <c r="N4" s="187"/>
      <c r="O4" s="188"/>
      <c r="P4" s="178" t="s">
        <v>57</v>
      </c>
      <c r="Q4" s="179"/>
      <c r="R4" s="179"/>
      <c r="S4" s="179"/>
      <c r="T4" s="180"/>
    </row>
    <row r="5" spans="2:23" ht="18">
      <c r="B5" s="27">
        <v>8</v>
      </c>
      <c r="C5" s="27">
        <v>10</v>
      </c>
      <c r="D5" s="27">
        <v>12</v>
      </c>
      <c r="F5" s="26">
        <f>(B5/$B$12)*100</f>
        <v>80</v>
      </c>
      <c r="G5" s="26">
        <f>(C5/$B$12)*100</f>
        <v>100</v>
      </c>
      <c r="H5" s="26">
        <f>(D5/$B$12)*100</f>
        <v>120</v>
      </c>
      <c r="J5" s="24" t="s">
        <v>58</v>
      </c>
      <c r="K5" s="24" t="s">
        <v>59</v>
      </c>
      <c r="L5" s="23" t="s">
        <v>60</v>
      </c>
      <c r="M5" s="22" t="s">
        <v>61</v>
      </c>
      <c r="N5" s="22" t="s">
        <v>62</v>
      </c>
      <c r="O5" s="22" t="s">
        <v>63</v>
      </c>
      <c r="P5" s="25" t="s">
        <v>64</v>
      </c>
      <c r="Q5" s="25" t="s">
        <v>65</v>
      </c>
      <c r="R5" s="25" t="s">
        <v>66</v>
      </c>
      <c r="S5" s="25" t="s">
        <v>67</v>
      </c>
      <c r="T5" s="25" t="s">
        <v>68</v>
      </c>
      <c r="V5" s="15" t="s">
        <v>69</v>
      </c>
      <c r="W5" s="18">
        <f>SUM(S6:S14)</f>
        <v>57.093190581760169</v>
      </c>
    </row>
    <row r="6" spans="2:23" ht="18.75">
      <c r="B6" s="4">
        <v>3253651</v>
      </c>
      <c r="C6" s="4">
        <v>3860667</v>
      </c>
      <c r="D6" s="4">
        <v>3941669</v>
      </c>
      <c r="F6" s="5">
        <f>(B6/$C$12)*100</f>
        <v>86.482807638308927</v>
      </c>
      <c r="G6" s="5">
        <f t="shared" ref="F6:H8" si="0">(C6/$C$12)*100</f>
        <v>102.61743546451885</v>
      </c>
      <c r="H6" s="5">
        <f t="shared" si="0"/>
        <v>104.77048764630426</v>
      </c>
      <c r="J6" s="8">
        <v>1</v>
      </c>
      <c r="K6" s="9">
        <f>SMALL($G$12:$G$20,J6)</f>
        <v>87.308739705253544</v>
      </c>
      <c r="L6" s="13">
        <f>(J6/$J$14)*100</f>
        <v>11.111111111111111</v>
      </c>
      <c r="M6" s="13">
        <f>(K6-$K$16)/$K$17</f>
        <v>-1.672624007824886</v>
      </c>
      <c r="N6" s="13">
        <f t="shared" ref="N6:N13" si="1">_xlfn.NORM.S.INV(L6/100)</f>
        <v>-1.2206403488473501</v>
      </c>
      <c r="O6" s="13">
        <f>(NORMSDIST(M6))*100</f>
        <v>4.7200668815204319</v>
      </c>
      <c r="P6" s="14">
        <f t="shared" ref="P6:P14" si="2">(J6-0.375)/($J$14+0.25)</f>
        <v>6.7567567567567571E-2</v>
      </c>
      <c r="Q6" s="14">
        <f>_xlfn.NORM.S.INV(P6)</f>
        <v>-1.4941549086209043</v>
      </c>
      <c r="R6" s="14">
        <f>Q6^2</f>
        <v>2.2324988909559429</v>
      </c>
      <c r="S6" s="14">
        <f t="shared" ref="S6:S14" si="3">K6*Q6</f>
        <v>-130.45278199610942</v>
      </c>
      <c r="T6" s="14">
        <f t="shared" ref="T6:T14" si="4">(K6-$K$16)^2</f>
        <v>191.53407931002971</v>
      </c>
      <c r="V6" s="16" t="s">
        <v>70</v>
      </c>
      <c r="W6" s="18">
        <f>SUM(R6:R14)</f>
        <v>7.0062591335470872</v>
      </c>
    </row>
    <row r="7" spans="2:23" ht="17.25">
      <c r="B7" s="4">
        <v>3273948</v>
      </c>
      <c r="C7" s="4">
        <v>3981518</v>
      </c>
      <c r="D7" s="4">
        <v>4004959</v>
      </c>
      <c r="F7" s="5">
        <f t="shared" si="0"/>
        <v>87.022306664674915</v>
      </c>
      <c r="G7" s="5">
        <f t="shared" si="0"/>
        <v>105.82968342408712</v>
      </c>
      <c r="H7" s="5">
        <f t="shared" si="0"/>
        <v>106.45275070876197</v>
      </c>
      <c r="J7" s="8">
        <v>2</v>
      </c>
      <c r="K7" s="9">
        <f t="shared" ref="K7:K14" si="5">SMALL($G$12:$G$20,J7)</f>
        <v>88.710625590634976</v>
      </c>
      <c r="L7" s="13">
        <f t="shared" ref="L7:L14" si="6">(J7/$J$14)*100</f>
        <v>22.222222222222221</v>
      </c>
      <c r="M7" s="13">
        <f t="shared" ref="M7:M14" si="7">(K7-$K$16)/$K$17</f>
        <v>-1.5031949249317158</v>
      </c>
      <c r="N7" s="13">
        <f t="shared" si="1"/>
        <v>-0.76470967378638721</v>
      </c>
      <c r="O7" s="13">
        <f t="shared" ref="O7:O14" si="8">(NORMSDIST(M7))*100</f>
        <v>6.6394392935310798</v>
      </c>
      <c r="P7" s="14">
        <f t="shared" si="2"/>
        <v>0.17567567567567569</v>
      </c>
      <c r="Q7" s="14">
        <f t="shared" ref="Q7:Q14" si="9">_xlfn.NORM.S.INV(P7)</f>
        <v>-0.93197131234319142</v>
      </c>
      <c r="R7" s="14">
        <f t="shared" ref="R7:R14" si="10">Q7^2</f>
        <v>0.86857052703069049</v>
      </c>
      <c r="S7" s="14">
        <f t="shared" si="3"/>
        <v>-82.675758150489585</v>
      </c>
      <c r="T7" s="14">
        <f t="shared" si="4"/>
        <v>154.69632901341291</v>
      </c>
      <c r="V7" s="16" t="s">
        <v>71</v>
      </c>
      <c r="W7" s="18">
        <f>SUM(T6:T14)</f>
        <v>547.69577812809598</v>
      </c>
    </row>
    <row r="8" spans="2:23">
      <c r="B8" s="4">
        <v>3151338</v>
      </c>
      <c r="C8" s="4">
        <v>4042175</v>
      </c>
      <c r="D8" s="4">
        <v>4372013</v>
      </c>
      <c r="F8" s="5">
        <f t="shared" si="0"/>
        <v>83.763304072038807</v>
      </c>
      <c r="G8" s="5">
        <f t="shared" si="0"/>
        <v>107.44196072823465</v>
      </c>
      <c r="H8" s="5">
        <f t="shared" si="0"/>
        <v>116.20913222444138</v>
      </c>
      <c r="J8" s="8">
        <v>3</v>
      </c>
      <c r="K8" s="9">
        <f t="shared" si="5"/>
        <v>96.840943520367816</v>
      </c>
      <c r="L8" s="13">
        <f t="shared" si="6"/>
        <v>33.333333333333329</v>
      </c>
      <c r="M8" s="13">
        <f t="shared" si="7"/>
        <v>-0.52058120092683147</v>
      </c>
      <c r="N8" s="13">
        <f t="shared" si="1"/>
        <v>-0.43072729929545772</v>
      </c>
      <c r="O8" s="13">
        <f t="shared" si="8"/>
        <v>30.132927399077779</v>
      </c>
      <c r="P8" s="14">
        <f t="shared" si="2"/>
        <v>0.28378378378378377</v>
      </c>
      <c r="Q8" s="14">
        <f t="shared" si="9"/>
        <v>-0.5716375251650857</v>
      </c>
      <c r="R8" s="14">
        <f t="shared" si="10"/>
        <v>0.32676946017686398</v>
      </c>
      <c r="S8" s="14">
        <f t="shared" si="3"/>
        <v>-55.357917288634901</v>
      </c>
      <c r="T8" s="14">
        <f t="shared" si="4"/>
        <v>18.553522195011592</v>
      </c>
      <c r="V8" s="17" t="s">
        <v>72</v>
      </c>
      <c r="W8" s="18">
        <f>(W5)/(SQRT(W7*W6))</f>
        <v>0.92166165424628754</v>
      </c>
    </row>
    <row r="9" spans="2:23">
      <c r="J9" s="8">
        <v>4</v>
      </c>
      <c r="K9" s="9">
        <f t="shared" si="5"/>
        <v>102.61743546451885</v>
      </c>
      <c r="L9" s="13">
        <f t="shared" si="6"/>
        <v>44.444444444444443</v>
      </c>
      <c r="M9" s="13">
        <f t="shared" si="7"/>
        <v>0.17755389169592084</v>
      </c>
      <c r="N9" s="13">
        <f t="shared" si="1"/>
        <v>-0.13971029888186212</v>
      </c>
      <c r="O9" s="13">
        <f t="shared" si="8"/>
        <v>57.046333092506273</v>
      </c>
      <c r="P9" s="14">
        <f t="shared" si="2"/>
        <v>0.39189189189189189</v>
      </c>
      <c r="Q9" s="14">
        <f t="shared" si="9"/>
        <v>-0.27439148786003692</v>
      </c>
      <c r="R9" s="14">
        <f t="shared" si="10"/>
        <v>7.5290688610044787E-2</v>
      </c>
      <c r="S9" s="14">
        <f t="shared" si="3"/>
        <v>-28.157350797490647</v>
      </c>
      <c r="T9" s="14">
        <f t="shared" si="4"/>
        <v>2.1582899963271487</v>
      </c>
      <c r="V9" s="17" t="s">
        <v>73</v>
      </c>
      <c r="W9" s="18">
        <f>(1.0063)-(0.1288/(SQRT(J14)))-(0.6118/J14)+(1.3505/(J14^2))</f>
        <v>0.91206172839506161</v>
      </c>
    </row>
    <row r="10" spans="2:23">
      <c r="B10" s="183" t="s">
        <v>74</v>
      </c>
      <c r="C10" s="183"/>
      <c r="F10" s="181" t="s">
        <v>75</v>
      </c>
      <c r="G10" s="181"/>
      <c r="H10" s="1"/>
      <c r="J10" s="8">
        <v>5</v>
      </c>
      <c r="K10" s="9">
        <f t="shared" si="5"/>
        <v>104.70413009004851</v>
      </c>
      <c r="L10" s="13">
        <f t="shared" si="6"/>
        <v>55.555555555555557</v>
      </c>
      <c r="M10" s="13">
        <f t="shared" si="7"/>
        <v>0.42974756906175199</v>
      </c>
      <c r="N10" s="13">
        <f t="shared" si="1"/>
        <v>0.13971029888186212</v>
      </c>
      <c r="O10" s="13">
        <f t="shared" si="8"/>
        <v>66.631036185702982</v>
      </c>
      <c r="P10" s="14">
        <f t="shared" si="2"/>
        <v>0.5</v>
      </c>
      <c r="Q10" s="14">
        <f t="shared" si="9"/>
        <v>0</v>
      </c>
      <c r="R10" s="14">
        <f t="shared" si="10"/>
        <v>0</v>
      </c>
      <c r="S10" s="14">
        <f t="shared" si="3"/>
        <v>0</v>
      </c>
      <c r="T10" s="14">
        <f t="shared" si="4"/>
        <v>12.643760583368534</v>
      </c>
      <c r="V10" s="2"/>
    </row>
    <row r="11" spans="2:23">
      <c r="B11" s="27" t="s">
        <v>76</v>
      </c>
      <c r="C11" s="27"/>
      <c r="F11" s="28" t="s">
        <v>33</v>
      </c>
      <c r="G11" s="29" t="s">
        <v>59</v>
      </c>
      <c r="J11" s="8">
        <v>6</v>
      </c>
      <c r="K11" s="9">
        <f t="shared" si="5"/>
        <v>105.82968342408712</v>
      </c>
      <c r="L11" s="13">
        <f t="shared" si="6"/>
        <v>66.666666666666657</v>
      </c>
      <c r="M11" s="13">
        <f t="shared" si="7"/>
        <v>0.56577966063361729</v>
      </c>
      <c r="N11" s="13">
        <f t="shared" si="1"/>
        <v>0.43072729929545711</v>
      </c>
      <c r="O11" s="13">
        <f t="shared" si="8"/>
        <v>71.422821267330278</v>
      </c>
      <c r="P11" s="14">
        <f t="shared" si="2"/>
        <v>0.60810810810810811</v>
      </c>
      <c r="Q11" s="14">
        <f t="shared" si="9"/>
        <v>0.27439148786003692</v>
      </c>
      <c r="R11" s="14">
        <f t="shared" si="10"/>
        <v>7.5290688610044787E-2</v>
      </c>
      <c r="S11" s="14">
        <f t="shared" si="3"/>
        <v>29.038764294491951</v>
      </c>
      <c r="T11" s="14">
        <f t="shared" si="4"/>
        <v>21.91513084092837</v>
      </c>
      <c r="V11" s="17" t="s">
        <v>26</v>
      </c>
      <c r="W11" s="3" t="str">
        <f>IF(W8&gt;W9, "Hay Normalidad", "No Hay Normalidad")</f>
        <v>Hay Normalidad</v>
      </c>
    </row>
    <row r="12" spans="2:23">
      <c r="B12" s="4">
        <v>10</v>
      </c>
      <c r="C12" s="4">
        <v>3762194</v>
      </c>
      <c r="F12" s="6">
        <f>$F$5</f>
        <v>80</v>
      </c>
      <c r="G12" s="7">
        <f>(F6/$F$5)*100</f>
        <v>108.10350954788616</v>
      </c>
      <c r="J12" s="8">
        <v>7</v>
      </c>
      <c r="K12" s="9">
        <f t="shared" si="5"/>
        <v>107.44196072823465</v>
      </c>
      <c r="L12" s="13">
        <f t="shared" si="6"/>
        <v>77.777777777777786</v>
      </c>
      <c r="M12" s="13">
        <f t="shared" si="7"/>
        <v>0.76063622339647263</v>
      </c>
      <c r="N12" s="13">
        <f t="shared" si="1"/>
        <v>0.76470967378638788</v>
      </c>
      <c r="O12" s="13">
        <f t="shared" si="8"/>
        <v>77.656281120259905</v>
      </c>
      <c r="P12" s="14">
        <f t="shared" si="2"/>
        <v>0.71621621621621623</v>
      </c>
      <c r="Q12" s="14">
        <f t="shared" si="9"/>
        <v>0.5716375251650857</v>
      </c>
      <c r="R12" s="14">
        <f t="shared" si="10"/>
        <v>0.32676946017686398</v>
      </c>
      <c r="S12" s="14">
        <f t="shared" si="3"/>
        <v>61.417856529572383</v>
      </c>
      <c r="T12" s="14">
        <f t="shared" si="4"/>
        <v>39.609869697856993</v>
      </c>
    </row>
    <row r="13" spans="2:23">
      <c r="F13" s="6">
        <f t="shared" ref="F13:F14" si="11">$F$5</f>
        <v>80</v>
      </c>
      <c r="G13" s="7">
        <f>(F7/$F$5)*100</f>
        <v>108.77788333084364</v>
      </c>
      <c r="J13" s="8">
        <v>8</v>
      </c>
      <c r="K13" s="9">
        <f t="shared" si="5"/>
        <v>108.10350954788616</v>
      </c>
      <c r="L13" s="13">
        <f t="shared" si="6"/>
        <v>88.888888888888886</v>
      </c>
      <c r="M13" s="13">
        <f t="shared" si="7"/>
        <v>0.84058967108534677</v>
      </c>
      <c r="N13" s="13">
        <f t="shared" si="1"/>
        <v>1.2206403488473503</v>
      </c>
      <c r="O13" s="13">
        <f t="shared" si="8"/>
        <v>79.971107643480096</v>
      </c>
      <c r="P13" s="14">
        <f t="shared" si="2"/>
        <v>0.82432432432432434</v>
      </c>
      <c r="Q13" s="14">
        <f t="shared" si="9"/>
        <v>0.93197131234319142</v>
      </c>
      <c r="R13" s="14">
        <f t="shared" si="10"/>
        <v>0.86857052703069049</v>
      </c>
      <c r="S13" s="14">
        <f t="shared" si="3"/>
        <v>100.74936966224818</v>
      </c>
      <c r="T13" s="14">
        <f t="shared" si="4"/>
        <v>48.374613112371627</v>
      </c>
    </row>
    <row r="14" spans="2:23">
      <c r="F14" s="6">
        <f t="shared" si="11"/>
        <v>80</v>
      </c>
      <c r="G14" s="7">
        <f>(F8/$F$5)*100</f>
        <v>104.70413009004851</v>
      </c>
      <c r="J14" s="8">
        <v>9</v>
      </c>
      <c r="K14" s="9">
        <f t="shared" si="5"/>
        <v>108.77788333084364</v>
      </c>
      <c r="L14" s="13">
        <f t="shared" si="6"/>
        <v>100</v>
      </c>
      <c r="M14" s="13">
        <f t="shared" si="7"/>
        <v>0.92209311781032377</v>
      </c>
      <c r="N14" s="13">
        <f>_xlfn.NORM.S.INV((L14-1)/100)</f>
        <v>2.3263478740408408</v>
      </c>
      <c r="O14" s="13">
        <f t="shared" si="8"/>
        <v>82.175999675852324</v>
      </c>
      <c r="P14" s="14">
        <f t="shared" si="2"/>
        <v>0.93243243243243246</v>
      </c>
      <c r="Q14" s="14">
        <f t="shared" si="9"/>
        <v>1.4941549086209054</v>
      </c>
      <c r="R14" s="14">
        <f t="shared" si="10"/>
        <v>2.232498890955946</v>
      </c>
      <c r="S14" s="14">
        <f t="shared" si="3"/>
        <v>162.53100832817219</v>
      </c>
      <c r="T14" s="14">
        <f t="shared" si="4"/>
        <v>58.210183378789125</v>
      </c>
    </row>
    <row r="15" spans="2:23">
      <c r="F15" s="6">
        <f>$G$5</f>
        <v>100</v>
      </c>
      <c r="G15" s="7">
        <f>(G6/$G$5)*100</f>
        <v>102.61743546451885</v>
      </c>
    </row>
    <row r="16" spans="2:23">
      <c r="F16" s="6">
        <f t="shared" ref="F16" si="12">$G$5</f>
        <v>100</v>
      </c>
      <c r="G16" s="7">
        <f>(G7/$G$5)*100</f>
        <v>105.82968342408712</v>
      </c>
      <c r="J16" s="10" t="s">
        <v>77</v>
      </c>
      <c r="K16" s="12">
        <f>AVERAGE(K6:K14)</f>
        <v>101.14832348909725</v>
      </c>
      <c r="M16" s="176" t="s">
        <v>78</v>
      </c>
      <c r="N16" s="177"/>
      <c r="O16" s="177"/>
      <c r="P16" s="177"/>
      <c r="Q16" s="177"/>
      <c r="R16" s="177"/>
      <c r="S16" s="177"/>
      <c r="T16" s="177"/>
    </row>
    <row r="17" spans="6:20" ht="18">
      <c r="F17" s="6">
        <f>$G$5</f>
        <v>100</v>
      </c>
      <c r="G17" s="7">
        <f>(G8/$G$5)*100</f>
        <v>107.44196072823465</v>
      </c>
      <c r="J17" s="11" t="s">
        <v>79</v>
      </c>
      <c r="K17" s="12">
        <f>_xlfn.STDEV.S(K6:K14)</f>
        <v>8.2741750202670961</v>
      </c>
      <c r="M17" s="170" t="s">
        <v>80</v>
      </c>
      <c r="N17" s="171"/>
      <c r="O17" s="171"/>
      <c r="P17" s="172"/>
      <c r="Q17" s="173" t="s">
        <v>81</v>
      </c>
      <c r="R17" s="174"/>
      <c r="S17" s="174"/>
      <c r="T17" s="175"/>
    </row>
    <row r="18" spans="6:20" ht="18">
      <c r="F18" s="6">
        <f>$H$5</f>
        <v>120</v>
      </c>
      <c r="G18" s="7">
        <f>(H6/$H$5)*100</f>
        <v>87.308739705253544</v>
      </c>
      <c r="M18" s="46" t="s">
        <v>82</v>
      </c>
      <c r="N18" s="47" t="s">
        <v>83</v>
      </c>
      <c r="O18" s="48">
        <v>100</v>
      </c>
      <c r="P18" s="49" t="s">
        <v>84</v>
      </c>
      <c r="Q18" s="50" t="s">
        <v>85</v>
      </c>
      <c r="R18" s="51" t="s">
        <v>86</v>
      </c>
      <c r="S18" s="53">
        <v>2</v>
      </c>
      <c r="T18" s="52" t="s">
        <v>84</v>
      </c>
    </row>
    <row r="19" spans="6:20" ht="18">
      <c r="F19" s="6">
        <f t="shared" ref="F19" si="13">$H$5</f>
        <v>120</v>
      </c>
      <c r="G19" s="7">
        <f>(H7/$H$5)*100</f>
        <v>88.710625590634976</v>
      </c>
      <c r="M19" s="46" t="s">
        <v>87</v>
      </c>
      <c r="N19" s="47" t="s">
        <v>88</v>
      </c>
      <c r="O19" s="48">
        <v>100</v>
      </c>
      <c r="P19" s="49" t="s">
        <v>84</v>
      </c>
      <c r="Q19" s="50" t="s">
        <v>87</v>
      </c>
      <c r="R19" s="51" t="s">
        <v>89</v>
      </c>
      <c r="S19" s="53">
        <v>2</v>
      </c>
      <c r="T19" s="52" t="s">
        <v>84</v>
      </c>
    </row>
    <row r="20" spans="6:20">
      <c r="F20" s="6">
        <f>$H$5</f>
        <v>120</v>
      </c>
      <c r="G20" s="7">
        <f>(H8/$H$5)*100</f>
        <v>96.840943520367816</v>
      </c>
      <c r="P20" s="54" t="s">
        <v>25</v>
      </c>
      <c r="Q20" s="55">
        <v>0.05</v>
      </c>
    </row>
    <row r="22" spans="6:20" ht="18.75">
      <c r="M22" s="19" t="s">
        <v>90</v>
      </c>
      <c r="N22" s="168">
        <f>(K16-O18)/K17</f>
        <v>0.13878404629881547</v>
      </c>
      <c r="O22" s="168"/>
      <c r="Q22" s="59" t="s">
        <v>91</v>
      </c>
      <c r="R22" s="61">
        <f>((J14-1)*(K17^2))/(S18^2)</f>
        <v>136.923944532024</v>
      </c>
    </row>
    <row r="23" spans="6:20" ht="18.75">
      <c r="M23" s="19" t="s">
        <v>92</v>
      </c>
      <c r="N23" s="58">
        <f>_xlfn.T.INV((Q20/2),(J14-1))</f>
        <v>-2.3060041352041671</v>
      </c>
      <c r="O23" s="58">
        <f>_xlfn.T.INV((1-(Q20/2)),(J14-1))</f>
        <v>2.3060041352041662</v>
      </c>
      <c r="Q23" s="60" t="s">
        <v>93</v>
      </c>
      <c r="R23" s="62">
        <f>_xlfn.CHISQ.INV((1-Q20), (J14-1))</f>
        <v>15.507313055865449</v>
      </c>
    </row>
    <row r="24" spans="6:20">
      <c r="M24" s="19" t="s">
        <v>26</v>
      </c>
      <c r="N24" s="169" t="str">
        <f>IF(AND(N23&lt;=N22,O23&gt;=N22),"Es Exacto","No Es Exacto")</f>
        <v>Es Exacto</v>
      </c>
      <c r="O24" s="169"/>
      <c r="Q24" s="60" t="s">
        <v>26</v>
      </c>
      <c r="R24" s="32" t="str">
        <f>IF(R22&lt;=R23, "Es Preciso", "Es Impreciso")</f>
        <v>Es Impreciso</v>
      </c>
    </row>
  </sheetData>
  <sortState xmlns:xlrd2="http://schemas.microsoft.com/office/spreadsheetml/2017/richdata2" ref="M4:M12">
    <sortCondition ref="M3"/>
  </sortState>
  <mergeCells count="13">
    <mergeCell ref="B2:T2"/>
    <mergeCell ref="N22:O22"/>
    <mergeCell ref="N24:O24"/>
    <mergeCell ref="M17:P17"/>
    <mergeCell ref="Q17:T17"/>
    <mergeCell ref="M16:T16"/>
    <mergeCell ref="P4:T4"/>
    <mergeCell ref="F10:G10"/>
    <mergeCell ref="B4:D4"/>
    <mergeCell ref="B10:C10"/>
    <mergeCell ref="F4:H4"/>
    <mergeCell ref="J4:K4"/>
    <mergeCell ref="L4:O4"/>
  </mergeCells>
  <conditionalFormatting sqref="N24:O24">
    <cfRule type="containsText" dxfId="9" priority="3" operator="containsText" text="No Es Exacto">
      <formula>NOT(ISERROR(SEARCH("No Es Exacto",N24)))</formula>
    </cfRule>
    <cfRule type="containsText" dxfId="8" priority="4" operator="containsText" text="Es Exacto">
      <formula>NOT(ISERROR(SEARCH("Es Exacto",N24)))</formula>
    </cfRule>
  </conditionalFormatting>
  <conditionalFormatting sqref="R24">
    <cfRule type="containsText" dxfId="7" priority="1" operator="containsText" text="Es Impreciso">
      <formula>NOT(ISERROR(SEARCH("Es Impreciso",R24)))</formula>
    </cfRule>
    <cfRule type="containsText" dxfId="6" priority="2" operator="containsText" text="Es Preciso">
      <formula>NOT(ISERROR(SEARCH("Es Preciso",R24)))</formula>
    </cfRule>
  </conditionalFormatting>
  <conditionalFormatting sqref="W11">
    <cfRule type="containsText" dxfId="5" priority="5" operator="containsText" text="No Hay Normalidad">
      <formula>NOT(ISERROR(SEARCH("No Hay Normalidad",W11)))</formula>
    </cfRule>
    <cfRule type="containsText" dxfId="4" priority="6" operator="containsText" text="Hay Normalidad">
      <formula>NOT(ISERROR(SEARCH("Hay Normalidad",W11)))</formula>
    </cfRule>
  </conditionalFormatting>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AA24C-86FD-4EEE-A808-9DA2E7802C0A}">
  <sheetPr codeName="Hoja4"/>
  <dimension ref="B1:AC45"/>
  <sheetViews>
    <sheetView topLeftCell="A2" zoomScale="70" zoomScaleNormal="70" workbookViewId="0">
      <selection activeCell="B2" sqref="B2:V2"/>
    </sheetView>
  </sheetViews>
  <sheetFormatPr baseColWidth="10" defaultColWidth="10.7109375" defaultRowHeight="15"/>
  <cols>
    <col min="1" max="1" width="3.140625" customWidth="1"/>
    <col min="2" max="2" width="12.28515625" customWidth="1"/>
    <col min="6" max="6" width="3.7109375" customWidth="1"/>
    <col min="7" max="7" width="16" customWidth="1"/>
    <col min="8" max="8" width="11.140625" customWidth="1"/>
    <col min="9" max="9" width="3" customWidth="1"/>
    <col min="12" max="12" width="7" customWidth="1"/>
    <col min="13" max="13" width="5.28515625" customWidth="1"/>
    <col min="14" max="14" width="11.42578125" customWidth="1"/>
    <col min="15" max="15" width="13.140625" customWidth="1"/>
    <col min="16" max="16" width="13" customWidth="1"/>
    <col min="17" max="17" width="14" customWidth="1"/>
    <col min="20" max="20" width="10.7109375" customWidth="1"/>
    <col min="21" max="21" width="12.5703125" customWidth="1"/>
    <col min="22" max="22" width="11.7109375" customWidth="1"/>
    <col min="23" max="23" width="3.7109375" customWidth="1"/>
    <col min="26" max="26" width="3.140625" customWidth="1"/>
    <col min="27" max="27" width="12.7109375" customWidth="1"/>
    <col min="29" max="29" width="4.5703125" customWidth="1"/>
  </cols>
  <sheetData>
    <row r="1" spans="2:29" ht="15.75" thickBot="1"/>
    <row r="2" spans="2:29" ht="112.5" customHeight="1" thickBot="1">
      <c r="B2" s="189" t="s">
        <v>171</v>
      </c>
      <c r="C2" s="190"/>
      <c r="D2" s="190"/>
      <c r="E2" s="190"/>
      <c r="F2" s="190"/>
      <c r="G2" s="190"/>
      <c r="H2" s="190"/>
      <c r="I2" s="190"/>
      <c r="J2" s="190"/>
      <c r="K2" s="190"/>
      <c r="L2" s="190"/>
      <c r="M2" s="190"/>
      <c r="N2" s="190"/>
      <c r="O2" s="190"/>
      <c r="P2" s="190"/>
      <c r="Q2" s="190"/>
      <c r="R2" s="190"/>
      <c r="S2" s="190"/>
      <c r="T2" s="190"/>
      <c r="U2" s="190"/>
      <c r="V2" s="191"/>
    </row>
    <row r="4" spans="2:29" ht="18">
      <c r="B4" s="184" t="s">
        <v>169</v>
      </c>
      <c r="C4" s="184"/>
      <c r="D4" s="184"/>
      <c r="E4" s="184"/>
      <c r="F4" s="21"/>
      <c r="J4" s="72" t="s">
        <v>94</v>
      </c>
      <c r="K4" s="72" t="s">
        <v>95</v>
      </c>
      <c r="L4" s="72" t="s">
        <v>16</v>
      </c>
      <c r="M4" s="72" t="s">
        <v>96</v>
      </c>
      <c r="N4" s="72" t="s">
        <v>97</v>
      </c>
      <c r="O4" s="72" t="s">
        <v>98</v>
      </c>
      <c r="P4" s="72" t="s">
        <v>99</v>
      </c>
      <c r="Q4" s="72" t="s">
        <v>100</v>
      </c>
      <c r="R4" s="72" t="s">
        <v>101</v>
      </c>
      <c r="S4" s="72" t="s">
        <v>102</v>
      </c>
      <c r="T4" s="72" t="s">
        <v>103</v>
      </c>
      <c r="U4" s="72" t="s">
        <v>104</v>
      </c>
      <c r="V4" s="72" t="s">
        <v>62</v>
      </c>
      <c r="X4" s="181" t="s">
        <v>105</v>
      </c>
      <c r="Y4" s="181"/>
      <c r="AA4" s="194" t="s">
        <v>106</v>
      </c>
      <c r="AB4" s="194"/>
    </row>
    <row r="5" spans="2:29" ht="18">
      <c r="B5" s="26" t="s">
        <v>107</v>
      </c>
      <c r="C5" s="26" t="s">
        <v>108</v>
      </c>
      <c r="D5" s="26" t="s">
        <v>109</v>
      </c>
      <c r="E5" s="26" t="s">
        <v>110</v>
      </c>
      <c r="F5" s="30"/>
      <c r="G5" s="69" t="s">
        <v>111</v>
      </c>
      <c r="H5" s="5">
        <f>SQRT(COUNT(C6:E15))</f>
        <v>5.4772255750516612</v>
      </c>
      <c r="J5" s="73">
        <f>H18-H17</f>
        <v>5</v>
      </c>
      <c r="K5" s="73">
        <f t="shared" ref="K5:K12" si="0">J5+$H$17</f>
        <v>5.8</v>
      </c>
      <c r="L5" s="73">
        <f t="shared" ref="L5:L12" si="1">(J5+K5)/2</f>
        <v>5.4</v>
      </c>
      <c r="M5" s="74">
        <f>COUNTIFS(Valor, "&gt;=" &amp; J5,Valore,"&lt;" &amp; K5)</f>
        <v>0</v>
      </c>
      <c r="N5" s="75">
        <f t="shared" ref="N5:N12" si="2">L5*M5</f>
        <v>0</v>
      </c>
      <c r="O5" s="14">
        <f t="shared" ref="O5:O12" si="3">M5*((L5-$H$8)^2)</f>
        <v>0</v>
      </c>
      <c r="P5" s="74">
        <f>M5</f>
        <v>0</v>
      </c>
      <c r="Q5" s="76">
        <f t="shared" ref="Q5:Q12" si="4">(P5/$M$13)*100</f>
        <v>0</v>
      </c>
      <c r="R5" s="14">
        <f>(J5-$H$8)/$H$9</f>
        <v>-3.0500368426377853</v>
      </c>
      <c r="S5" s="14">
        <f>(K5-$H$8)/$H$9</f>
        <v>-2.3295556987075994</v>
      </c>
      <c r="T5" s="14">
        <f>NORMSDIST(S5)-NORMSDIST(R5)</f>
        <v>8.7707564827490883E-3</v>
      </c>
      <c r="U5" s="14">
        <f>T5*100</f>
        <v>0.8770756482749088</v>
      </c>
      <c r="V5" s="77" t="s">
        <v>112</v>
      </c>
      <c r="X5" s="137" t="s">
        <v>113</v>
      </c>
      <c r="Y5" s="138">
        <f>(Y9-H7)/(3*(H20/Y11))</f>
        <v>1.7489353846153852</v>
      </c>
      <c r="AA5" s="85" t="s">
        <v>114</v>
      </c>
      <c r="AB5" s="6">
        <f>(AB9-H7)/(3*(H6))</f>
        <v>1.1734751013634022</v>
      </c>
    </row>
    <row r="6" spans="2:29" ht="18">
      <c r="B6" s="63">
        <v>1</v>
      </c>
      <c r="C6" s="83">
        <v>9.8000000000000007</v>
      </c>
      <c r="D6" s="83">
        <v>7.6</v>
      </c>
      <c r="E6" s="83">
        <v>7.8</v>
      </c>
      <c r="F6" s="30"/>
      <c r="G6" s="66" t="s">
        <v>49</v>
      </c>
      <c r="H6" s="70">
        <f>_xlfn.STDEV.S(C6:E15)</f>
        <v>1.0491156648153379</v>
      </c>
      <c r="J6" s="73">
        <f t="shared" ref="J6:J12" si="5">K5</f>
        <v>5.8</v>
      </c>
      <c r="K6" s="73">
        <f t="shared" si="0"/>
        <v>6.6</v>
      </c>
      <c r="L6" s="73">
        <f t="shared" si="1"/>
        <v>6.1999999999999993</v>
      </c>
      <c r="M6" s="74">
        <f>COUNTIFS(Valor, "&gt;=" &amp; J6,Valore,"&lt;" &amp; K6)</f>
        <v>2</v>
      </c>
      <c r="N6" s="75">
        <f t="shared" si="2"/>
        <v>12.399999999999999</v>
      </c>
      <c r="O6" s="14">
        <f t="shared" si="3"/>
        <v>9.5630222222222141</v>
      </c>
      <c r="P6" s="74">
        <f t="shared" ref="P6:P12" si="6">P5+M6</f>
        <v>2</v>
      </c>
      <c r="Q6" s="76">
        <f t="shared" si="4"/>
        <v>6.666666666666667</v>
      </c>
      <c r="R6" s="14">
        <f t="shared" ref="R6:S12" si="7">(J6-$H$8)/$H$9</f>
        <v>-2.3295556987075994</v>
      </c>
      <c r="S6" s="14">
        <f t="shared" si="7"/>
        <v>-1.6090745547774139</v>
      </c>
      <c r="T6" s="14">
        <f t="shared" ref="T6:T12" si="8">NORMSDIST(S6)-NORMSDIST(R6)</f>
        <v>4.3885197223530514E-2</v>
      </c>
      <c r="U6" s="14">
        <f t="shared" ref="U6:U12" si="9">((U5/100)+T6)*100</f>
        <v>5.2655953706279606</v>
      </c>
      <c r="V6" s="77">
        <f>_xlfn.NORM.S.INV(Q6/100)</f>
        <v>-1.5010859460440247</v>
      </c>
      <c r="X6" s="137" t="s">
        <v>115</v>
      </c>
      <c r="Y6" s="138">
        <f>(H7-Y10)/(3*(H20/Y11))</f>
        <v>2.0393723076923065</v>
      </c>
      <c r="AA6" s="85" t="s">
        <v>116</v>
      </c>
      <c r="AB6" s="6">
        <f>(H7-AB10)/(3*(H6))</f>
        <v>1.3683482228894532</v>
      </c>
    </row>
    <row r="7" spans="2:29" ht="18">
      <c r="B7" s="63">
        <v>2</v>
      </c>
      <c r="C7" s="83">
        <v>10</v>
      </c>
      <c r="D7" s="83">
        <v>7.8</v>
      </c>
      <c r="E7" s="83">
        <v>7.8</v>
      </c>
      <c r="F7" s="30"/>
      <c r="G7" s="66" t="s">
        <v>77</v>
      </c>
      <c r="H7" s="70">
        <f>AVERAGE(C6:E15)</f>
        <v>8.3066666666666649</v>
      </c>
      <c r="J7" s="73">
        <f t="shared" si="5"/>
        <v>6.6</v>
      </c>
      <c r="K7" s="73">
        <f t="shared" si="0"/>
        <v>7.3999999999999995</v>
      </c>
      <c r="L7" s="73">
        <f t="shared" si="1"/>
        <v>7</v>
      </c>
      <c r="M7" s="74">
        <f t="shared" ref="M7:M12" si="10">COUNTIFS(Valor, "&gt;=" &amp; J7,Valore,"&lt;" &amp; K7)</f>
        <v>2</v>
      </c>
      <c r="N7" s="75">
        <f t="shared" si="2"/>
        <v>14</v>
      </c>
      <c r="O7" s="14">
        <f t="shared" si="3"/>
        <v>3.8456888888888794</v>
      </c>
      <c r="P7" s="74">
        <f t="shared" si="6"/>
        <v>4</v>
      </c>
      <c r="Q7" s="76">
        <f t="shared" si="4"/>
        <v>13.333333333333334</v>
      </c>
      <c r="R7" s="14">
        <f t="shared" si="7"/>
        <v>-1.6090745547774139</v>
      </c>
      <c r="S7" s="14">
        <f t="shared" si="7"/>
        <v>-0.88859341084722809</v>
      </c>
      <c r="T7" s="14">
        <f t="shared" si="8"/>
        <v>0.13331079660422562</v>
      </c>
      <c r="U7" s="14">
        <f t="shared" si="9"/>
        <v>18.596675031050523</v>
      </c>
      <c r="V7" s="77">
        <f t="shared" ref="V7:V10" si="11">_xlfn.NORM.S.INV(Q7/100)</f>
        <v>-1.1107716166367858</v>
      </c>
      <c r="X7" s="137" t="s">
        <v>117</v>
      </c>
      <c r="Y7" s="138">
        <f>MIN(Y5,Y6)</f>
        <v>1.7489353846153852</v>
      </c>
      <c r="AA7" s="85" t="s">
        <v>118</v>
      </c>
      <c r="AB7" s="6">
        <f>MIN(AB5,AB6)</f>
        <v>1.1734751013634022</v>
      </c>
    </row>
    <row r="8" spans="2:29" ht="18">
      <c r="B8" s="63">
        <v>3</v>
      </c>
      <c r="C8" s="83">
        <v>10</v>
      </c>
      <c r="D8" s="83">
        <v>8.5</v>
      </c>
      <c r="E8" s="83">
        <v>6</v>
      </c>
      <c r="F8" s="30"/>
      <c r="G8" s="66" t="s">
        <v>119</v>
      </c>
      <c r="H8" s="5">
        <f>N13/M13</f>
        <v>8.3866666666666649</v>
      </c>
      <c r="J8" s="73">
        <f t="shared" si="5"/>
        <v>7.3999999999999995</v>
      </c>
      <c r="K8" s="73">
        <f t="shared" si="0"/>
        <v>8.1999999999999993</v>
      </c>
      <c r="L8" s="73">
        <f t="shared" si="1"/>
        <v>7.7999999999999989</v>
      </c>
      <c r="M8" s="74">
        <f t="shared" si="10"/>
        <v>10</v>
      </c>
      <c r="N8" s="75">
        <f t="shared" si="2"/>
        <v>77.999999999999986</v>
      </c>
      <c r="O8" s="14">
        <f t="shared" si="3"/>
        <v>3.4417777777777698</v>
      </c>
      <c r="P8" s="74">
        <f t="shared" si="6"/>
        <v>14</v>
      </c>
      <c r="Q8" s="76">
        <f t="shared" si="4"/>
        <v>46.666666666666664</v>
      </c>
      <c r="R8" s="14">
        <f t="shared" si="7"/>
        <v>-0.88859341084722809</v>
      </c>
      <c r="S8" s="14">
        <f t="shared" si="7"/>
        <v>-0.16811226691704245</v>
      </c>
      <c r="T8" s="14">
        <f t="shared" si="8"/>
        <v>0.24613666275803658</v>
      </c>
      <c r="U8" s="14">
        <f t="shared" si="9"/>
        <v>43.210341306854183</v>
      </c>
      <c r="V8" s="77">
        <f t="shared" si="11"/>
        <v>-8.3651733907129211E-2</v>
      </c>
      <c r="Y8" s="21"/>
    </row>
    <row r="9" spans="2:29" ht="18">
      <c r="B9" s="63">
        <v>4</v>
      </c>
      <c r="C9" s="83">
        <v>8.8000000000000007</v>
      </c>
      <c r="D9" s="83">
        <v>8.3000000000000007</v>
      </c>
      <c r="E9" s="83">
        <v>8.4</v>
      </c>
      <c r="F9" s="30"/>
      <c r="G9" s="66" t="s">
        <v>120</v>
      </c>
      <c r="H9" s="70">
        <f>SQRT((O13)/(M13-1))</f>
        <v>1.1103691008983845</v>
      </c>
      <c r="J9" s="73">
        <f t="shared" si="5"/>
        <v>8.1999999999999993</v>
      </c>
      <c r="K9" s="73">
        <f t="shared" si="0"/>
        <v>9</v>
      </c>
      <c r="L9" s="73">
        <f t="shared" si="1"/>
        <v>8.6</v>
      </c>
      <c r="M9" s="74">
        <f t="shared" si="10"/>
        <v>9</v>
      </c>
      <c r="N9" s="75">
        <f t="shared" si="2"/>
        <v>77.399999999999991</v>
      </c>
      <c r="O9" s="14">
        <f t="shared" si="3"/>
        <v>0.40960000000000529</v>
      </c>
      <c r="P9" s="74">
        <f t="shared" si="6"/>
        <v>23</v>
      </c>
      <c r="Q9" s="76">
        <f t="shared" si="4"/>
        <v>76.666666666666671</v>
      </c>
      <c r="R9" s="14">
        <f t="shared" si="7"/>
        <v>-0.16811226691704245</v>
      </c>
      <c r="S9" s="14">
        <f t="shared" si="7"/>
        <v>0.55236887701314408</v>
      </c>
      <c r="T9" s="14">
        <f t="shared" si="8"/>
        <v>0.27640469572606857</v>
      </c>
      <c r="U9" s="14">
        <f t="shared" si="9"/>
        <v>70.850810879461037</v>
      </c>
      <c r="V9" s="77">
        <f t="shared" si="11"/>
        <v>0.72791329088164458</v>
      </c>
      <c r="X9" s="137" t="s">
        <v>121</v>
      </c>
      <c r="Y9" s="138">
        <v>12</v>
      </c>
      <c r="AA9" s="85" t="s">
        <v>121</v>
      </c>
      <c r="AB9" s="6">
        <v>12</v>
      </c>
    </row>
    <row r="10" spans="2:29" ht="18">
      <c r="B10" s="63">
        <v>5</v>
      </c>
      <c r="C10" s="83">
        <v>8.5</v>
      </c>
      <c r="D10" s="83">
        <v>8.1</v>
      </c>
      <c r="E10" s="83">
        <v>5.8</v>
      </c>
      <c r="F10" s="30"/>
      <c r="H10" s="57"/>
      <c r="J10" s="73">
        <f t="shared" si="5"/>
        <v>9</v>
      </c>
      <c r="K10" s="73">
        <f t="shared" si="0"/>
        <v>9.8000000000000007</v>
      </c>
      <c r="L10" s="73">
        <f t="shared" si="1"/>
        <v>9.4</v>
      </c>
      <c r="M10" s="74">
        <f t="shared" si="10"/>
        <v>2</v>
      </c>
      <c r="N10" s="75">
        <f t="shared" si="2"/>
        <v>18.8</v>
      </c>
      <c r="O10" s="14">
        <f t="shared" si="3"/>
        <v>2.0536888888888973</v>
      </c>
      <c r="P10" s="74">
        <f t="shared" si="6"/>
        <v>25</v>
      </c>
      <c r="Q10" s="76">
        <f t="shared" si="4"/>
        <v>83.333333333333343</v>
      </c>
      <c r="R10" s="14">
        <f t="shared" si="7"/>
        <v>0.55236887701314408</v>
      </c>
      <c r="S10" s="14">
        <f t="shared" si="7"/>
        <v>1.2728500209433304</v>
      </c>
      <c r="T10" s="14">
        <f t="shared" si="8"/>
        <v>0.18881219111156544</v>
      </c>
      <c r="U10" s="14">
        <f t="shared" si="9"/>
        <v>89.732029990617576</v>
      </c>
      <c r="V10" s="77">
        <f t="shared" si="11"/>
        <v>0.96742156610170216</v>
      </c>
      <c r="X10" s="137" t="s">
        <v>122</v>
      </c>
      <c r="Y10" s="138">
        <v>4</v>
      </c>
      <c r="AA10" s="85" t="s">
        <v>122</v>
      </c>
      <c r="AB10" s="6">
        <v>4</v>
      </c>
    </row>
    <row r="11" spans="2:29" ht="18">
      <c r="B11" s="63">
        <v>6</v>
      </c>
      <c r="C11" s="83">
        <v>8.1</v>
      </c>
      <c r="D11" s="83">
        <v>8</v>
      </c>
      <c r="E11" s="83">
        <v>8.1</v>
      </c>
      <c r="F11" s="30"/>
      <c r="H11" s="57"/>
      <c r="J11" s="73">
        <f t="shared" si="5"/>
        <v>9.8000000000000007</v>
      </c>
      <c r="K11" s="73">
        <f t="shared" si="0"/>
        <v>10.600000000000001</v>
      </c>
      <c r="L11" s="73">
        <f t="shared" si="1"/>
        <v>10.200000000000001</v>
      </c>
      <c r="M11" s="74">
        <f t="shared" si="10"/>
        <v>5</v>
      </c>
      <c r="N11" s="75">
        <f t="shared" si="2"/>
        <v>51.000000000000007</v>
      </c>
      <c r="O11" s="14">
        <f t="shared" si="3"/>
        <v>16.440888888888942</v>
      </c>
      <c r="P11" s="74">
        <f t="shared" si="6"/>
        <v>30</v>
      </c>
      <c r="Q11" s="76">
        <f t="shared" si="4"/>
        <v>100</v>
      </c>
      <c r="R11" s="14">
        <f t="shared" si="7"/>
        <v>1.2728500209433304</v>
      </c>
      <c r="S11" s="14">
        <f t="shared" si="7"/>
        <v>1.993331164873517</v>
      </c>
      <c r="T11" s="14">
        <f t="shared" si="8"/>
        <v>7.8423035639291427E-2</v>
      </c>
      <c r="U11" s="14">
        <f t="shared" si="9"/>
        <v>97.574333554546726</v>
      </c>
      <c r="V11" s="77">
        <f>_xlfn.NORM.S.INV((Q11-1)/100)</f>
        <v>2.3263478740408408</v>
      </c>
      <c r="X11" s="137" t="s">
        <v>123</v>
      </c>
      <c r="Y11" s="138">
        <v>3.0779999999999998</v>
      </c>
    </row>
    <row r="12" spans="2:29">
      <c r="B12" s="63">
        <v>7</v>
      </c>
      <c r="C12" s="83">
        <v>9.8000000000000007</v>
      </c>
      <c r="D12" s="83">
        <v>8</v>
      </c>
      <c r="E12" s="83">
        <v>6.6</v>
      </c>
      <c r="F12" s="30"/>
      <c r="H12" s="57"/>
      <c r="J12" s="73">
        <f t="shared" si="5"/>
        <v>10.600000000000001</v>
      </c>
      <c r="K12" s="73">
        <f t="shared" si="0"/>
        <v>11.400000000000002</v>
      </c>
      <c r="L12" s="73">
        <f t="shared" si="1"/>
        <v>11.000000000000002</v>
      </c>
      <c r="M12" s="74">
        <f t="shared" si="10"/>
        <v>0</v>
      </c>
      <c r="N12" s="75">
        <f t="shared" si="2"/>
        <v>0</v>
      </c>
      <c r="O12" s="14">
        <f t="shared" si="3"/>
        <v>0</v>
      </c>
      <c r="P12" s="74">
        <f t="shared" si="6"/>
        <v>30</v>
      </c>
      <c r="Q12" s="76">
        <f t="shared" si="4"/>
        <v>100</v>
      </c>
      <c r="R12" s="14">
        <f t="shared" si="7"/>
        <v>1.993331164873517</v>
      </c>
      <c r="S12" s="14">
        <f t="shared" si="7"/>
        <v>2.7138123088037034</v>
      </c>
      <c r="T12" s="14">
        <f t="shared" si="8"/>
        <v>1.9786906007741578E-2</v>
      </c>
      <c r="U12" s="14">
        <f t="shared" si="9"/>
        <v>99.553024155320884</v>
      </c>
      <c r="V12" s="77" t="s">
        <v>112</v>
      </c>
      <c r="Y12" t="s">
        <v>124</v>
      </c>
    </row>
    <row r="13" spans="2:29">
      <c r="B13" s="63">
        <v>8</v>
      </c>
      <c r="C13" s="83">
        <v>9</v>
      </c>
      <c r="D13" s="83">
        <v>9.3000000000000007</v>
      </c>
      <c r="E13" s="83">
        <v>8.4</v>
      </c>
      <c r="F13" s="30"/>
      <c r="J13" s="21"/>
      <c r="K13" s="21"/>
      <c r="L13" s="71" t="s">
        <v>125</v>
      </c>
      <c r="M13" s="78">
        <f>SUM(M5:M11)</f>
        <v>30</v>
      </c>
      <c r="N13" s="79">
        <f>SUM(N5:N12)</f>
        <v>251.59999999999997</v>
      </c>
      <c r="O13" s="80">
        <f>SUM(O5:O12)</f>
        <v>35.754666666666708</v>
      </c>
      <c r="P13" s="21"/>
      <c r="Q13" s="30"/>
      <c r="T13" s="56"/>
    </row>
    <row r="14" spans="2:29">
      <c r="B14" s="63">
        <v>9</v>
      </c>
      <c r="C14" s="83">
        <v>9.8000000000000007</v>
      </c>
      <c r="D14" s="83">
        <v>8.1</v>
      </c>
      <c r="E14" s="83">
        <v>8.6999999999999993</v>
      </c>
      <c r="F14" s="30"/>
      <c r="J14" s="21"/>
      <c r="K14" s="21"/>
      <c r="L14" s="21"/>
      <c r="M14" s="21"/>
      <c r="N14" s="21"/>
      <c r="O14" s="21"/>
      <c r="P14" s="21"/>
      <c r="Q14" s="30"/>
      <c r="S14" s="184" t="s">
        <v>126</v>
      </c>
      <c r="T14" s="184"/>
      <c r="V14" s="199" t="s">
        <v>127</v>
      </c>
      <c r="W14" s="200"/>
      <c r="X14" s="200"/>
      <c r="Y14" s="200"/>
      <c r="Z14" s="200"/>
      <c r="AA14" s="200"/>
      <c r="AB14" s="200"/>
      <c r="AC14" s="201"/>
    </row>
    <row r="15" spans="2:29" ht="15" customHeight="1">
      <c r="B15" s="63">
        <v>10</v>
      </c>
      <c r="C15" s="83">
        <v>8.6999999999999993</v>
      </c>
      <c r="D15" s="83">
        <v>8.1999999999999993</v>
      </c>
      <c r="E15" s="83">
        <v>7.2</v>
      </c>
      <c r="F15" s="30"/>
      <c r="O15" s="193" t="s">
        <v>128</v>
      </c>
      <c r="P15" s="193"/>
      <c r="Q15" s="193"/>
      <c r="S15" s="136" t="s">
        <v>58</v>
      </c>
      <c r="T15" s="136" t="s">
        <v>129</v>
      </c>
      <c r="V15" s="195"/>
      <c r="W15" s="195"/>
      <c r="X15" s="86" t="s">
        <v>130</v>
      </c>
      <c r="Y15" s="87" t="s">
        <v>131</v>
      </c>
      <c r="Z15" s="195" t="s">
        <v>132</v>
      </c>
      <c r="AA15" s="195"/>
      <c r="AB15" s="195" t="s">
        <v>133</v>
      </c>
      <c r="AC15" s="195"/>
    </row>
    <row r="16" spans="2:29">
      <c r="F16" s="30"/>
      <c r="G16" s="66" t="s">
        <v>134</v>
      </c>
      <c r="H16" s="67">
        <v>1</v>
      </c>
      <c r="O16" s="193"/>
      <c r="P16" s="193"/>
      <c r="Q16" s="193"/>
      <c r="S16" s="84">
        <v>1</v>
      </c>
      <c r="T16" s="68">
        <f>SMALL($C$6:$E$15,S16)</f>
        <v>5.8</v>
      </c>
      <c r="V16" s="196" t="s">
        <v>135</v>
      </c>
      <c r="W16" s="196"/>
      <c r="X16" s="88">
        <f>(COUNTIFS(T16:T45,"&gt;="&amp;X18))/COUNT(T16:T45)</f>
        <v>0.93333333333333335</v>
      </c>
      <c r="Y16" s="89">
        <f>(COUNTIFS(T16:T45, "&gt;="&amp;Y18,T16:T45, "&lt;="&amp;Y19))/COUNT(T16:T45)</f>
        <v>0.2</v>
      </c>
      <c r="Z16" s="192">
        <f>(COUNTIFS(T16:T45, "&gt;="&amp;Z18,T16:T45, "&gt;="&amp;Z19,T16:T45,"&lt;="&amp;Z20))/COUNT(T16:T45)</f>
        <v>0.2</v>
      </c>
      <c r="AA16" s="192"/>
      <c r="AB16" s="192">
        <f>(COUNTIFS(T16:T45,"&gt;="&amp;AB19)+COUNTIFS(T16:T45,"&lt;="&amp;AB18))/COUNT(T16:T45)</f>
        <v>0.26666666666666666</v>
      </c>
      <c r="AC16" s="192"/>
    </row>
    <row r="17" spans="2:29">
      <c r="B17" s="65" t="s">
        <v>136</v>
      </c>
      <c r="C17" s="64">
        <f>MIN(C6:C15)</f>
        <v>8.1</v>
      </c>
      <c r="D17" s="64">
        <f>MIN(D6:D15)</f>
        <v>7.6</v>
      </c>
      <c r="E17" s="64">
        <f>MIN(E6:E15)</f>
        <v>5.8</v>
      </c>
      <c r="F17" s="30"/>
      <c r="G17" s="66" t="s">
        <v>137</v>
      </c>
      <c r="H17" s="68">
        <f>ROUND(((H19-H18)/H5),H16)</f>
        <v>0.8</v>
      </c>
      <c r="O17" s="81" t="s">
        <v>25</v>
      </c>
      <c r="P17" s="24" t="s">
        <v>138</v>
      </c>
      <c r="Q17" s="24" t="s">
        <v>139</v>
      </c>
      <c r="S17" s="84">
        <v>2</v>
      </c>
      <c r="T17" s="68">
        <f t="shared" ref="T17:T45" si="12">SMALL($C$6:$E$15,S17)</f>
        <v>6</v>
      </c>
      <c r="V17" s="196" t="s">
        <v>140</v>
      </c>
      <c r="W17" s="196"/>
      <c r="X17" s="89">
        <f>1-NORMSDIST((X18-H7)/(H6))</f>
        <v>0.94810669589311525</v>
      </c>
      <c r="Y17" s="89">
        <f>NORMSDIST((Y19-H7)/H6)-NORMSDIST((Y18-H7)/H6)</f>
        <v>0.13473675374226568</v>
      </c>
      <c r="Z17" s="192">
        <f>NORMSDIST((Z20-H7)/H6)-NORMSDIST((Z19-H7)/H6)</f>
        <v>0.13473675374226568</v>
      </c>
      <c r="AA17" s="192"/>
      <c r="AB17" s="192">
        <f>NORMSDIST((AB18-H7)/H6)+(1-NORMSDIST((AB19-H7)/H6))</f>
        <v>0.17956508223230735</v>
      </c>
      <c r="AC17" s="192"/>
    </row>
    <row r="18" spans="2:29">
      <c r="B18" s="65" t="s">
        <v>141</v>
      </c>
      <c r="C18" s="64">
        <f>MAX(C6:C15)</f>
        <v>10</v>
      </c>
      <c r="D18" s="64">
        <f>MAX(D6:D15)</f>
        <v>9.3000000000000007</v>
      </c>
      <c r="E18" s="64">
        <f>MAX(E6:E15)</f>
        <v>8.6999999999999993</v>
      </c>
      <c r="G18" s="66" t="s">
        <v>142</v>
      </c>
      <c r="H18" s="68">
        <f>MIN(C17:E17)</f>
        <v>5.8</v>
      </c>
      <c r="N18" s="21"/>
      <c r="O18" s="8">
        <v>0.01</v>
      </c>
      <c r="P18" s="9">
        <f>$H$7-((_xlfn.T.INV((1-$O$18/2),($B$15-1))*$H$6))</f>
        <v>4.8972132919087272</v>
      </c>
      <c r="Q18" s="9">
        <f>$H$7+((_xlfn.T.INV((1-$O$18/2),($B$15-1))*$H$6))</f>
        <v>11.716120041424603</v>
      </c>
      <c r="S18" s="84">
        <v>3</v>
      </c>
      <c r="T18" s="68">
        <f t="shared" si="12"/>
        <v>6.6</v>
      </c>
      <c r="V18" s="198"/>
      <c r="W18" s="198"/>
      <c r="X18" s="70">
        <v>6.6</v>
      </c>
      <c r="Y18" s="70">
        <v>7.6</v>
      </c>
      <c r="Z18" s="197">
        <v>6.6</v>
      </c>
      <c r="AA18" s="197"/>
      <c r="AB18" s="197">
        <v>6.6</v>
      </c>
      <c r="AC18" s="197"/>
    </row>
    <row r="19" spans="2:29">
      <c r="B19" s="65" t="s">
        <v>77</v>
      </c>
      <c r="C19" s="64">
        <f>AVERAGE(C6:C15)</f>
        <v>9.25</v>
      </c>
      <c r="D19" s="64">
        <f>AVERAGE(D6:D15)</f>
        <v>8.1900000000000013</v>
      </c>
      <c r="E19" s="64">
        <f>AVERAGE(E6:E15)</f>
        <v>7.4799999999999995</v>
      </c>
      <c r="G19" s="66" t="s">
        <v>143</v>
      </c>
      <c r="H19" s="68">
        <f>MAX(C18:E18)</f>
        <v>10</v>
      </c>
      <c r="J19" s="21"/>
      <c r="K19" s="21"/>
      <c r="N19" s="21"/>
      <c r="O19" s="21"/>
      <c r="Q19" s="21"/>
      <c r="S19" s="84">
        <v>4</v>
      </c>
      <c r="T19" s="68">
        <f t="shared" si="12"/>
        <v>7.2</v>
      </c>
      <c r="V19" s="198"/>
      <c r="W19" s="198"/>
      <c r="X19" s="70"/>
      <c r="Y19" s="70">
        <v>8</v>
      </c>
      <c r="Z19" s="197">
        <v>7.6</v>
      </c>
      <c r="AA19" s="197"/>
      <c r="AB19" s="197">
        <v>9.5</v>
      </c>
      <c r="AC19" s="197"/>
    </row>
    <row r="20" spans="2:29" ht="18">
      <c r="B20" s="65" t="s">
        <v>170</v>
      </c>
      <c r="C20" s="64">
        <f>C18-C17</f>
        <v>1.9000000000000004</v>
      </c>
      <c r="D20" s="64">
        <f>D18-D17</f>
        <v>1.7000000000000011</v>
      </c>
      <c r="E20" s="64">
        <f>E18-E17</f>
        <v>2.8999999999999995</v>
      </c>
      <c r="G20" s="66" t="s">
        <v>144</v>
      </c>
      <c r="H20" s="68">
        <f>AVERAGE(C20:E20)</f>
        <v>2.166666666666667</v>
      </c>
      <c r="J20" s="21"/>
      <c r="K20" s="21"/>
      <c r="N20" s="21"/>
      <c r="O20" s="21"/>
      <c r="S20" s="84">
        <v>5</v>
      </c>
      <c r="T20" s="68">
        <f t="shared" si="12"/>
        <v>7.6</v>
      </c>
      <c r="V20" s="198"/>
      <c r="W20" s="198"/>
      <c r="X20" s="70"/>
      <c r="Y20" s="70"/>
      <c r="Z20" s="197">
        <v>8</v>
      </c>
      <c r="AA20" s="197"/>
      <c r="AB20" s="197"/>
      <c r="AC20" s="197"/>
    </row>
    <row r="21" spans="2:29">
      <c r="J21" s="21"/>
      <c r="K21" s="21"/>
      <c r="N21" s="21"/>
      <c r="O21" s="21"/>
      <c r="S21" s="84">
        <v>6</v>
      </c>
      <c r="T21" s="68">
        <f t="shared" si="12"/>
        <v>7.8</v>
      </c>
    </row>
    <row r="22" spans="2:29">
      <c r="J22" s="21"/>
      <c r="K22" s="21"/>
      <c r="N22" s="21"/>
      <c r="O22" s="21"/>
      <c r="S22" s="84">
        <v>7</v>
      </c>
      <c r="T22" s="68">
        <f t="shared" si="12"/>
        <v>7.8</v>
      </c>
    </row>
    <row r="23" spans="2:29">
      <c r="J23" s="21"/>
      <c r="K23" s="21"/>
      <c r="N23" s="21"/>
      <c r="O23" s="21"/>
      <c r="S23" s="84">
        <v>8</v>
      </c>
      <c r="T23" s="68">
        <f t="shared" si="12"/>
        <v>7.8</v>
      </c>
    </row>
    <row r="24" spans="2:29">
      <c r="J24" s="21"/>
      <c r="K24" s="21"/>
      <c r="N24" s="21"/>
      <c r="O24" s="21"/>
      <c r="S24" s="84">
        <v>9</v>
      </c>
      <c r="T24" s="68">
        <f t="shared" si="12"/>
        <v>8</v>
      </c>
    </row>
    <row r="25" spans="2:29">
      <c r="J25" s="21"/>
      <c r="K25" s="21"/>
      <c r="N25" s="21"/>
      <c r="O25" s="21"/>
      <c r="S25" s="84">
        <v>10</v>
      </c>
      <c r="T25" s="68">
        <f t="shared" si="12"/>
        <v>8</v>
      </c>
    </row>
    <row r="26" spans="2:29">
      <c r="J26" s="21"/>
      <c r="K26" s="21"/>
      <c r="N26" s="21"/>
      <c r="O26" s="21"/>
      <c r="S26" s="84">
        <v>11</v>
      </c>
      <c r="T26" s="68">
        <f t="shared" si="12"/>
        <v>8.1</v>
      </c>
    </row>
    <row r="27" spans="2:29">
      <c r="J27" s="21"/>
      <c r="K27" s="21"/>
      <c r="N27" s="21"/>
      <c r="O27" s="21"/>
      <c r="S27" s="84">
        <v>12</v>
      </c>
      <c r="T27" s="68">
        <f t="shared" si="12"/>
        <v>8.1</v>
      </c>
    </row>
    <row r="28" spans="2:29">
      <c r="N28" s="21"/>
      <c r="O28" s="21"/>
      <c r="S28" s="84">
        <v>13</v>
      </c>
      <c r="T28" s="68">
        <f t="shared" si="12"/>
        <v>8.1</v>
      </c>
    </row>
    <row r="29" spans="2:29">
      <c r="N29" s="21"/>
      <c r="O29" s="21"/>
      <c r="S29" s="84">
        <v>14</v>
      </c>
      <c r="T29" s="68">
        <f t="shared" si="12"/>
        <v>8.1</v>
      </c>
    </row>
    <row r="30" spans="2:29">
      <c r="N30" s="21"/>
      <c r="O30" s="21"/>
      <c r="S30" s="84">
        <v>15</v>
      </c>
      <c r="T30" s="68">
        <f t="shared" si="12"/>
        <v>8.1999999999999993</v>
      </c>
    </row>
    <row r="31" spans="2:29">
      <c r="N31" s="21"/>
      <c r="O31" s="21"/>
      <c r="S31" s="84">
        <v>16</v>
      </c>
      <c r="T31" s="68">
        <f t="shared" si="12"/>
        <v>8.3000000000000007</v>
      </c>
    </row>
    <row r="32" spans="2:29">
      <c r="N32" s="21"/>
      <c r="O32" s="21"/>
      <c r="S32" s="84">
        <v>17</v>
      </c>
      <c r="T32" s="68">
        <f t="shared" si="12"/>
        <v>8.4</v>
      </c>
    </row>
    <row r="33" spans="14:20">
      <c r="N33" s="21"/>
      <c r="O33" s="21"/>
      <c r="S33" s="84">
        <v>18</v>
      </c>
      <c r="T33" s="68">
        <f t="shared" si="12"/>
        <v>8.4</v>
      </c>
    </row>
    <row r="34" spans="14:20">
      <c r="N34" s="21"/>
      <c r="O34" s="21"/>
      <c r="S34" s="84">
        <v>19</v>
      </c>
      <c r="T34" s="68">
        <f t="shared" si="12"/>
        <v>8.5</v>
      </c>
    </row>
    <row r="35" spans="14:20">
      <c r="N35" s="21"/>
      <c r="O35" s="21"/>
      <c r="S35" s="84">
        <v>20</v>
      </c>
      <c r="T35" s="68">
        <f t="shared" si="12"/>
        <v>8.5</v>
      </c>
    </row>
    <row r="36" spans="14:20">
      <c r="N36" s="21"/>
      <c r="O36" s="21"/>
      <c r="S36" s="84">
        <v>21</v>
      </c>
      <c r="T36" s="68">
        <f t="shared" si="12"/>
        <v>8.6999999999999993</v>
      </c>
    </row>
    <row r="37" spans="14:20">
      <c r="N37" s="21"/>
      <c r="O37" s="21"/>
      <c r="S37" s="84">
        <v>22</v>
      </c>
      <c r="T37" s="68">
        <f t="shared" si="12"/>
        <v>8.6999999999999993</v>
      </c>
    </row>
    <row r="38" spans="14:20">
      <c r="N38" s="21"/>
      <c r="O38" s="21"/>
      <c r="S38" s="84">
        <v>23</v>
      </c>
      <c r="T38" s="68">
        <f t="shared" si="12"/>
        <v>8.8000000000000007</v>
      </c>
    </row>
    <row r="39" spans="14:20">
      <c r="S39" s="84">
        <v>24</v>
      </c>
      <c r="T39" s="68">
        <f t="shared" si="12"/>
        <v>9</v>
      </c>
    </row>
    <row r="40" spans="14:20">
      <c r="S40" s="84">
        <v>25</v>
      </c>
      <c r="T40" s="68">
        <f t="shared" si="12"/>
        <v>9.3000000000000007</v>
      </c>
    </row>
    <row r="41" spans="14:20">
      <c r="S41" s="84">
        <v>26</v>
      </c>
      <c r="T41" s="68">
        <f t="shared" si="12"/>
        <v>9.8000000000000007</v>
      </c>
    </row>
    <row r="42" spans="14:20">
      <c r="S42" s="84">
        <v>27</v>
      </c>
      <c r="T42" s="68">
        <f t="shared" si="12"/>
        <v>9.8000000000000007</v>
      </c>
    </row>
    <row r="43" spans="14:20">
      <c r="S43" s="84">
        <v>28</v>
      </c>
      <c r="T43" s="68">
        <f t="shared" si="12"/>
        <v>9.8000000000000007</v>
      </c>
    </row>
    <row r="44" spans="14:20">
      <c r="S44" s="84">
        <v>29</v>
      </c>
      <c r="T44" s="68">
        <f t="shared" si="12"/>
        <v>10</v>
      </c>
    </row>
    <row r="45" spans="14:20">
      <c r="S45" s="84">
        <v>30</v>
      </c>
      <c r="T45" s="68">
        <f t="shared" si="12"/>
        <v>10</v>
      </c>
    </row>
  </sheetData>
  <mergeCells count="25">
    <mergeCell ref="Z20:AA20"/>
    <mergeCell ref="AB20:AC20"/>
    <mergeCell ref="V20:W20"/>
    <mergeCell ref="V14:AC14"/>
    <mergeCell ref="Z18:AA18"/>
    <mergeCell ref="V18:W18"/>
    <mergeCell ref="V19:W19"/>
    <mergeCell ref="Z19:AA19"/>
    <mergeCell ref="AB15:AC15"/>
    <mergeCell ref="AB16:AC16"/>
    <mergeCell ref="AB17:AC17"/>
    <mergeCell ref="AB18:AC18"/>
    <mergeCell ref="AB19:AC19"/>
    <mergeCell ref="V17:W17"/>
    <mergeCell ref="Z15:AA15"/>
    <mergeCell ref="Z16:AA16"/>
    <mergeCell ref="B2:V2"/>
    <mergeCell ref="Z17:AA17"/>
    <mergeCell ref="B4:E4"/>
    <mergeCell ref="O15:Q16"/>
    <mergeCell ref="S14:T14"/>
    <mergeCell ref="X4:Y4"/>
    <mergeCell ref="AA4:AB4"/>
    <mergeCell ref="V15:W15"/>
    <mergeCell ref="V16:W16"/>
  </mergeCells>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65-8158-4CF3-B916-6398D747AB23}">
  <sheetPr codeName="Hoja5"/>
  <dimension ref="B1:M22"/>
  <sheetViews>
    <sheetView zoomScale="85" zoomScaleNormal="85" workbookViewId="0">
      <selection activeCell="B2" sqref="B2:M2"/>
    </sheetView>
  </sheetViews>
  <sheetFormatPr baseColWidth="10" defaultColWidth="10.7109375" defaultRowHeight="15"/>
  <cols>
    <col min="1" max="1" width="3.140625" customWidth="1"/>
    <col min="4" max="4" width="18.5703125" customWidth="1"/>
    <col min="5" max="5" width="4.140625" customWidth="1"/>
    <col min="13" max="13" width="25.7109375" customWidth="1"/>
  </cols>
  <sheetData>
    <row r="1" spans="2:13" ht="15.75" thickBot="1"/>
    <row r="2" spans="2:13" ht="72" customHeight="1" thickBot="1">
      <c r="B2" s="202" t="s">
        <v>166</v>
      </c>
      <c r="C2" s="203"/>
      <c r="D2" s="203"/>
      <c r="E2" s="203"/>
      <c r="F2" s="203"/>
      <c r="G2" s="203"/>
      <c r="H2" s="203"/>
      <c r="I2" s="203"/>
      <c r="J2" s="203"/>
      <c r="K2" s="203"/>
      <c r="L2" s="203"/>
      <c r="M2" s="204"/>
    </row>
    <row r="4" spans="2:13" ht="18">
      <c r="B4" s="82"/>
      <c r="C4" s="72" t="s">
        <v>145</v>
      </c>
      <c r="D4" s="72" t="s">
        <v>146</v>
      </c>
      <c r="F4" s="36" t="s">
        <v>147</v>
      </c>
      <c r="G4" s="4">
        <f>(SUM(C5:C8)^2)+(SUM(D5:D8)^2)</f>
        <v>125.6</v>
      </c>
      <c r="H4" s="33" t="s">
        <v>148</v>
      </c>
      <c r="I4" s="90">
        <f>G4/(C17*C18)</f>
        <v>31.4</v>
      </c>
    </row>
    <row r="5" spans="2:13" ht="18">
      <c r="B5" s="207" t="s">
        <v>149</v>
      </c>
      <c r="C5" s="74">
        <v>1.1000000000000001</v>
      </c>
      <c r="D5" s="74">
        <v>1.7</v>
      </c>
      <c r="F5" s="20" t="s">
        <v>150</v>
      </c>
      <c r="G5" s="4">
        <f>SUM(C5:D8)^2</f>
        <v>243.36000000000004</v>
      </c>
      <c r="H5" s="34" t="s">
        <v>151</v>
      </c>
      <c r="I5" s="90">
        <f>G5/(C16*C17*C18)</f>
        <v>30.420000000000005</v>
      </c>
    </row>
    <row r="6" spans="2:13" ht="18">
      <c r="B6" s="208"/>
      <c r="C6" s="74">
        <v>1.3</v>
      </c>
      <c r="D6" s="74">
        <v>2.2000000000000002</v>
      </c>
      <c r="F6" s="36" t="s">
        <v>152</v>
      </c>
      <c r="G6" s="4">
        <f>(SUM(C5:C6)^2)+(SUM(D5:D6)^2)+(SUM(C7:C8)^2)+(SUM(D7:D8)^2)</f>
        <v>65.06</v>
      </c>
      <c r="H6" s="33" t="s">
        <v>153</v>
      </c>
      <c r="I6" s="90">
        <f>G6/(C18)</f>
        <v>32.53</v>
      </c>
    </row>
    <row r="7" spans="2:13" ht="18.75">
      <c r="B7" s="207" t="s">
        <v>154</v>
      </c>
      <c r="C7" s="74">
        <v>1.8</v>
      </c>
      <c r="D7" s="74">
        <v>2.5</v>
      </c>
      <c r="F7" s="36" t="s">
        <v>155</v>
      </c>
      <c r="G7" s="4">
        <f>SUMSQ(C5:D8)</f>
        <v>32.799999999999997</v>
      </c>
      <c r="H7" s="35" t="s">
        <v>155</v>
      </c>
      <c r="I7" s="90">
        <f>G7</f>
        <v>32.799999999999997</v>
      </c>
    </row>
    <row r="8" spans="2:13">
      <c r="B8" s="208"/>
      <c r="C8" s="74">
        <v>2.2000000000000002</v>
      </c>
      <c r="D8" s="74">
        <v>2.8</v>
      </c>
    </row>
    <row r="10" spans="2:13">
      <c r="B10" s="148" t="s">
        <v>8</v>
      </c>
      <c r="C10" s="149"/>
      <c r="D10" s="150"/>
      <c r="F10" s="205" t="s">
        <v>11</v>
      </c>
      <c r="G10" s="206"/>
      <c r="H10" s="206"/>
      <c r="I10" s="206"/>
      <c r="J10" s="206"/>
      <c r="K10" s="206"/>
      <c r="L10" s="206"/>
      <c r="M10" s="206"/>
    </row>
    <row r="11" spans="2:13" ht="18">
      <c r="B11" s="151" t="s">
        <v>156</v>
      </c>
      <c r="C11" s="152"/>
      <c r="D11" s="153"/>
      <c r="F11" s="22" t="s">
        <v>13</v>
      </c>
      <c r="G11" s="22" t="s">
        <v>14</v>
      </c>
      <c r="H11" s="42" t="s">
        <v>15</v>
      </c>
      <c r="I11" s="22" t="s">
        <v>16</v>
      </c>
      <c r="J11" s="22" t="s">
        <v>17</v>
      </c>
      <c r="K11" s="22" t="s">
        <v>18</v>
      </c>
      <c r="L11" s="22" t="s">
        <v>19</v>
      </c>
      <c r="M11" s="22" t="s">
        <v>26</v>
      </c>
    </row>
    <row r="12" spans="2:13" ht="18">
      <c r="B12" s="142" t="s">
        <v>10</v>
      </c>
      <c r="C12" s="143"/>
      <c r="D12" s="144"/>
      <c r="F12" s="43" t="s">
        <v>157</v>
      </c>
      <c r="G12" s="44">
        <f>C16-1</f>
        <v>1</v>
      </c>
      <c r="H12" s="45">
        <f>I4-I5</f>
        <v>0.97999999999999332</v>
      </c>
      <c r="I12" s="91">
        <f>H12/G12</f>
        <v>0.97999999999999332</v>
      </c>
      <c r="J12" s="45">
        <f>I12/I13</f>
        <v>1.7345132743362675</v>
      </c>
      <c r="K12" s="45">
        <f>_xlfn.F.INV(1-K16,G12,G13)</f>
        <v>18.51282051282049</v>
      </c>
      <c r="L12" s="45">
        <f>_xlfn.F.DIST.RT(J12,G12,G13)</f>
        <v>0.31849066308427199</v>
      </c>
      <c r="M12" s="94" t="str">
        <f>IF(J12&lt;=K12, "No Hay Efecto Del Equipo", "Hay Efecto Del Equipo")</f>
        <v>No Hay Efecto Del Equipo</v>
      </c>
    </row>
    <row r="13" spans="2:13" ht="18">
      <c r="B13" s="142" t="s">
        <v>12</v>
      </c>
      <c r="C13" s="143"/>
      <c r="D13" s="144"/>
      <c r="F13" s="43" t="s">
        <v>158</v>
      </c>
      <c r="G13" s="45">
        <f>(C17-1)*C16</f>
        <v>2</v>
      </c>
      <c r="H13" s="45">
        <f>I6-I4</f>
        <v>1.1300000000000026</v>
      </c>
      <c r="I13" s="91">
        <f>H13/G13</f>
        <v>0.56500000000000128</v>
      </c>
      <c r="J13" s="45">
        <f>I13/I14</f>
        <v>8.3703703703705123</v>
      </c>
      <c r="K13" s="45">
        <f>_xlfn.F.INV(1-K16,G13,G14)</f>
        <v>6.944271909999153</v>
      </c>
      <c r="L13" s="45">
        <f>_xlfn.F.DIST.RT(J13,G13,G14)</f>
        <v>3.719387755101939E-2</v>
      </c>
      <c r="M13" s="94" t="str">
        <f>IF(J13&lt;=K13, "No Hay Efecto De La Velocidad", "Hay Efecto De La Velocidad")</f>
        <v>Hay Efecto De La Velocidad</v>
      </c>
    </row>
    <row r="14" spans="2:13" ht="18">
      <c r="B14" s="142" t="s">
        <v>20</v>
      </c>
      <c r="C14" s="143"/>
      <c r="D14" s="144"/>
      <c r="F14" s="43" t="s">
        <v>159</v>
      </c>
      <c r="G14" s="45">
        <f>(C18-1)*C16*C17</f>
        <v>4</v>
      </c>
      <c r="H14" s="45">
        <f>I7-I6</f>
        <v>0.26999999999999602</v>
      </c>
      <c r="I14" s="91">
        <f>H14/G14</f>
        <v>6.7499999999999005E-2</v>
      </c>
      <c r="J14" s="45"/>
      <c r="K14" s="45"/>
      <c r="L14" s="45"/>
      <c r="M14" s="45"/>
    </row>
    <row r="15" spans="2:13">
      <c r="F15" s="43" t="s">
        <v>23</v>
      </c>
      <c r="G15" s="45">
        <f>(C16*C17*C18)-1</f>
        <v>7</v>
      </c>
      <c r="H15" s="45">
        <f>I7-I5</f>
        <v>2.3799999999999919</v>
      </c>
      <c r="I15" s="45"/>
      <c r="J15" s="45"/>
      <c r="K15" s="45"/>
      <c r="L15" s="45"/>
      <c r="M15" s="45"/>
    </row>
    <row r="16" spans="2:13">
      <c r="B16" s="39" t="s">
        <v>53</v>
      </c>
      <c r="C16" s="40">
        <v>2</v>
      </c>
      <c r="J16" s="92" t="s">
        <v>25</v>
      </c>
      <c r="K16" s="45">
        <v>0.05</v>
      </c>
    </row>
    <row r="17" spans="2:13">
      <c r="B17" s="39" t="s">
        <v>51</v>
      </c>
      <c r="C17" s="40">
        <v>2</v>
      </c>
    </row>
    <row r="18" spans="2:13">
      <c r="B18" s="39" t="s">
        <v>27</v>
      </c>
      <c r="C18" s="40">
        <v>2</v>
      </c>
    </row>
    <row r="22" spans="2:13">
      <c r="M22" t="s">
        <v>160</v>
      </c>
    </row>
  </sheetData>
  <mergeCells count="9">
    <mergeCell ref="B2:M2"/>
    <mergeCell ref="F10:M10"/>
    <mergeCell ref="B13:D13"/>
    <mergeCell ref="B14:D14"/>
    <mergeCell ref="B5:B6"/>
    <mergeCell ref="B7:B8"/>
    <mergeCell ref="B10:D10"/>
    <mergeCell ref="B11:D11"/>
    <mergeCell ref="B12:D12"/>
  </mergeCells>
  <conditionalFormatting sqref="M12">
    <cfRule type="beginsWith" dxfId="3" priority="3" operator="beginsWith" text="Hay Efecto Del Equipo">
      <formula>LEFT(M12,LEN("Hay Efecto Del Equipo"))="Hay Efecto Del Equipo"</formula>
    </cfRule>
    <cfRule type="containsText" dxfId="2" priority="4" operator="containsText" text="No Hay Efecto Del Equipo">
      <formula>NOT(ISERROR(SEARCH("No Hay Efecto Del Equipo",M12)))</formula>
    </cfRule>
  </conditionalFormatting>
  <conditionalFormatting sqref="M13">
    <cfRule type="beginsWith" dxfId="1" priority="1" operator="beginsWith" text="Hay Efecto De La Velocidad">
      <formula>LEFT(M13,LEN("Hay Efecto De La Velocidad"))="Hay Efecto De La Velocidad"</formula>
    </cfRule>
    <cfRule type="containsText" dxfId="0" priority="2" operator="containsText" text="No Hay Efecto De La Velocidad">
      <formula>NOT(ISERROR(SEARCH("No Hay Efecto De La Velocidad",M13)))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Análisis de varianza</vt:lpstr>
      <vt:lpstr>Regresión lineal</vt:lpstr>
      <vt:lpstr>Normalidad,exactitud,yprecisión</vt:lpstr>
      <vt:lpstr>Estudio de dureza</vt:lpstr>
      <vt:lpstr>ANOVA 2F</vt:lpstr>
      <vt:lpstr>Valor</vt:lpstr>
      <vt:lpstr>Valore</vt:lpstr>
      <vt:lpstr>Valores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AURELIO SANTANDER MARTINEZ</dc:creator>
  <cp:keywords/>
  <dc:description/>
  <cp:lastModifiedBy>MARCO AURELIO SANTANDER MARTINEZ</cp:lastModifiedBy>
  <cp:revision/>
  <dcterms:created xsi:type="dcterms:W3CDTF">2019-10-06T18:16:52Z</dcterms:created>
  <dcterms:modified xsi:type="dcterms:W3CDTF">2023-10-27T22:45:05Z</dcterms:modified>
  <cp:category/>
  <cp:contentStatus/>
</cp:coreProperties>
</file>