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ET 4-2 Lectures\CE-404_Capstone\Week_4-5\"/>
    </mc:Choice>
  </mc:AlternateContent>
  <xr:revisionPtr revIDLastSave="0" documentId="13_ncr:1_{6182B81E-17A0-4142-B4D1-09EE374177D1}" xr6:coauthVersionLast="47" xr6:coauthVersionMax="47" xr10:uidLastSave="{00000000-0000-0000-0000-000000000000}"/>
  <bookViews>
    <workbookView xWindow="-108" yWindow="-108" windowWidth="23256" windowHeight="12576" xr2:uid="{099A50C5-774F-494B-A8DE-5989DE95E85B}"/>
  </bookViews>
  <sheets>
    <sheet name="Beam Design" sheetId="11" r:id="rId1"/>
    <sheet name="Column Design" sheetId="12" r:id="rId2"/>
    <sheet name="Foundation Design" sheetId="1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3" l="1"/>
  <c r="C53" i="13"/>
  <c r="D52" i="13"/>
  <c r="C52" i="13"/>
  <c r="D51" i="13"/>
  <c r="C51" i="13"/>
  <c r="D38" i="13"/>
  <c r="D35" i="13"/>
  <c r="D37" i="13"/>
  <c r="D30" i="13"/>
  <c r="D32" i="13" s="1"/>
  <c r="D34" i="13" s="1"/>
  <c r="C30" i="13"/>
  <c r="C37" i="13" s="1"/>
  <c r="D29" i="13"/>
  <c r="C29" i="13"/>
  <c r="G18" i="13"/>
  <c r="F18" i="13"/>
  <c r="C18" i="13"/>
  <c r="B18" i="13"/>
  <c r="G17" i="13"/>
  <c r="F17" i="13"/>
  <c r="C17" i="13"/>
  <c r="B17" i="13"/>
  <c r="G16" i="13"/>
  <c r="F16" i="13"/>
  <c r="C16" i="13"/>
  <c r="B16" i="13"/>
  <c r="G15" i="13"/>
  <c r="F15" i="13"/>
  <c r="C15" i="13"/>
  <c r="B15" i="13"/>
  <c r="G14" i="13"/>
  <c r="F14" i="13"/>
  <c r="C14" i="13"/>
  <c r="B14" i="13"/>
  <c r="G13" i="13"/>
  <c r="F13" i="13"/>
  <c r="C13" i="13"/>
  <c r="B13" i="13"/>
  <c r="G12" i="13"/>
  <c r="F12" i="13"/>
  <c r="C12" i="13"/>
  <c r="B12" i="13"/>
  <c r="G11" i="13"/>
  <c r="F11" i="13"/>
  <c r="C11" i="13"/>
  <c r="B11" i="13"/>
  <c r="G10" i="13"/>
  <c r="F10" i="13"/>
  <c r="C10" i="13"/>
  <c r="B10" i="13"/>
  <c r="C33" i="12"/>
  <c r="D33" i="12"/>
  <c r="E33" i="12"/>
  <c r="F33" i="12"/>
  <c r="G33" i="12"/>
  <c r="H33" i="12"/>
  <c r="I33" i="12"/>
  <c r="J33" i="12"/>
  <c r="C32" i="12"/>
  <c r="D32" i="12"/>
  <c r="E32" i="12"/>
  <c r="F32" i="12"/>
  <c r="G32" i="12"/>
  <c r="H32" i="12"/>
  <c r="I32" i="12"/>
  <c r="J32" i="12"/>
  <c r="B33" i="12"/>
  <c r="B32" i="12"/>
  <c r="C40" i="12"/>
  <c r="D40" i="12"/>
  <c r="E40" i="12"/>
  <c r="F40" i="12"/>
  <c r="G40" i="12"/>
  <c r="H40" i="12"/>
  <c r="I40" i="12"/>
  <c r="J40" i="12"/>
  <c r="C39" i="12"/>
  <c r="D39" i="12"/>
  <c r="E39" i="12"/>
  <c r="F39" i="12"/>
  <c r="G39" i="12"/>
  <c r="H39" i="12"/>
  <c r="I39" i="12"/>
  <c r="J39" i="12"/>
  <c r="C38" i="12"/>
  <c r="D38" i="12"/>
  <c r="E38" i="12"/>
  <c r="F38" i="12"/>
  <c r="G38" i="12"/>
  <c r="H38" i="12"/>
  <c r="I38" i="12"/>
  <c r="J38" i="12"/>
  <c r="B38" i="12"/>
  <c r="B40" i="12"/>
  <c r="B39" i="12"/>
  <c r="J31" i="12"/>
  <c r="I31" i="12"/>
  <c r="H31" i="12"/>
  <c r="G31" i="12"/>
  <c r="F31" i="12"/>
  <c r="E31" i="12"/>
  <c r="D31" i="12"/>
  <c r="C31" i="12"/>
  <c r="B31" i="12"/>
  <c r="M30" i="12"/>
  <c r="J30" i="12"/>
  <c r="I30" i="12"/>
  <c r="H30" i="12"/>
  <c r="G30" i="12"/>
  <c r="F30" i="12"/>
  <c r="E30" i="12"/>
  <c r="D30" i="12"/>
  <c r="C30" i="12"/>
  <c r="B30" i="12"/>
  <c r="M27" i="12"/>
  <c r="M28" i="12" s="1"/>
  <c r="B16" i="12"/>
  <c r="C15" i="12"/>
  <c r="G11" i="12"/>
  <c r="H11" i="12" s="1"/>
  <c r="I11" i="12" s="1"/>
  <c r="J11" i="12" s="1"/>
  <c r="C11" i="12"/>
  <c r="D11" i="12" s="1"/>
  <c r="E11" i="12" s="1"/>
  <c r="J8" i="12"/>
  <c r="J10" i="12" s="1"/>
  <c r="I8" i="12"/>
  <c r="I10" i="12" s="1"/>
  <c r="H8" i="12"/>
  <c r="H10" i="12" s="1"/>
  <c r="G8" i="12"/>
  <c r="G10" i="12" s="1"/>
  <c r="F8" i="12"/>
  <c r="F10" i="12" s="1"/>
  <c r="E8" i="12"/>
  <c r="E10" i="12" s="1"/>
  <c r="D8" i="12"/>
  <c r="D10" i="12" s="1"/>
  <c r="C8" i="12"/>
  <c r="C10" i="12" s="1"/>
  <c r="B8" i="12"/>
  <c r="B10" i="12" s="1"/>
  <c r="M7" i="12"/>
  <c r="J7" i="12"/>
  <c r="J9" i="12" s="1"/>
  <c r="I7" i="12"/>
  <c r="I9" i="12" s="1"/>
  <c r="H7" i="12"/>
  <c r="H9" i="12" s="1"/>
  <c r="G7" i="12"/>
  <c r="G9" i="12" s="1"/>
  <c r="F7" i="12"/>
  <c r="F9" i="12" s="1"/>
  <c r="E7" i="12"/>
  <c r="E9" i="12" s="1"/>
  <c r="D7" i="12"/>
  <c r="D9" i="12" s="1"/>
  <c r="C7" i="12"/>
  <c r="C9" i="12" s="1"/>
  <c r="B7" i="12"/>
  <c r="B9" i="12" s="1"/>
  <c r="M4" i="12"/>
  <c r="C32" i="13" l="1"/>
  <c r="C34" i="13" s="1"/>
  <c r="B19" i="13"/>
  <c r="C31" i="13" s="1"/>
  <c r="C19" i="13"/>
  <c r="D31" i="13" s="1"/>
  <c r="F19" i="13"/>
  <c r="C26" i="13" s="1"/>
  <c r="C27" i="13" s="1"/>
  <c r="G19" i="13"/>
  <c r="D26" i="13" s="1"/>
  <c r="D27" i="13" s="1"/>
  <c r="H16" i="12"/>
  <c r="J16" i="12"/>
  <c r="H17" i="12"/>
  <c r="I17" i="12"/>
  <c r="B15" i="12"/>
  <c r="I15" i="12"/>
  <c r="J15" i="12"/>
  <c r="I16" i="12"/>
  <c r="C16" i="12"/>
  <c r="C17" i="12"/>
  <c r="B17" i="12"/>
  <c r="F41" i="12"/>
  <c r="F42" i="12" s="1"/>
  <c r="F43" i="12" s="1"/>
  <c r="M5" i="12"/>
  <c r="E15" i="12"/>
  <c r="F15" i="12"/>
  <c r="E16" i="12"/>
  <c r="D17" i="12"/>
  <c r="D15" i="12"/>
  <c r="J17" i="12"/>
  <c r="D16" i="12"/>
  <c r="G15" i="12"/>
  <c r="F16" i="12"/>
  <c r="E17" i="12"/>
  <c r="H15" i="12"/>
  <c r="H18" i="12" s="1"/>
  <c r="H19" i="12" s="1"/>
  <c r="H20" i="12" s="1"/>
  <c r="G16" i="12"/>
  <c r="F17" i="12"/>
  <c r="G17" i="12"/>
  <c r="D41" i="12"/>
  <c r="D42" i="12" s="1"/>
  <c r="D43" i="12" s="1"/>
  <c r="D36" i="13" l="1"/>
  <c r="D33" i="13"/>
  <c r="D39" i="13"/>
  <c r="C33" i="13"/>
  <c r="C35" i="13" s="1"/>
  <c r="C39" i="13"/>
  <c r="C36" i="13"/>
  <c r="C38" i="13" s="1"/>
  <c r="J41" i="12"/>
  <c r="J42" i="12" s="1"/>
  <c r="J43" i="12" s="1"/>
  <c r="B18" i="12"/>
  <c r="B19" i="12" s="1"/>
  <c r="B20" i="12" s="1"/>
  <c r="C18" i="12"/>
  <c r="C19" i="12" s="1"/>
  <c r="C20" i="12" s="1"/>
  <c r="D18" i="12"/>
  <c r="D19" i="12" s="1"/>
  <c r="D20" i="12" s="1"/>
  <c r="C41" i="12"/>
  <c r="C42" i="12" s="1"/>
  <c r="C43" i="12" s="1"/>
  <c r="F18" i="12"/>
  <c r="F19" i="12" s="1"/>
  <c r="F20" i="12" s="1"/>
  <c r="I18" i="12"/>
  <c r="I19" i="12" s="1"/>
  <c r="I20" i="12" s="1"/>
  <c r="E41" i="12"/>
  <c r="E42" i="12" s="1"/>
  <c r="E43" i="12" s="1"/>
  <c r="J18" i="12"/>
  <c r="J19" i="12" s="1"/>
  <c r="J20" i="12" s="1"/>
  <c r="E18" i="12"/>
  <c r="E19" i="12" s="1"/>
  <c r="E20" i="12" s="1"/>
  <c r="G41" i="12"/>
  <c r="G42" i="12" s="1"/>
  <c r="G43" i="12" s="1"/>
  <c r="B41" i="12"/>
  <c r="B42" i="12" s="1"/>
  <c r="B43" i="12" s="1"/>
  <c r="I41" i="12"/>
  <c r="I42" i="12" s="1"/>
  <c r="I43" i="12" s="1"/>
  <c r="G18" i="12"/>
  <c r="G19" i="12" s="1"/>
  <c r="G20" i="12" s="1"/>
  <c r="H41" i="12"/>
  <c r="H42" i="12" s="1"/>
  <c r="H43" i="12" s="1"/>
  <c r="G25" i="11" l="1"/>
  <c r="G26" i="11"/>
  <c r="G27" i="11"/>
  <c r="H27" i="11" s="1"/>
  <c r="I27" i="11" s="1"/>
  <c r="G28" i="11"/>
  <c r="G29" i="11"/>
  <c r="G24" i="11"/>
  <c r="F25" i="11"/>
  <c r="F26" i="11"/>
  <c r="F27" i="11"/>
  <c r="F28" i="11"/>
  <c r="F29" i="11"/>
  <c r="H29" i="11" s="1"/>
  <c r="I29" i="11" s="1"/>
  <c r="F24" i="11"/>
  <c r="H24" i="11" s="1"/>
  <c r="I24" i="11" s="1"/>
  <c r="F12" i="11"/>
  <c r="F14" i="11" s="1"/>
  <c r="F16" i="11" s="1"/>
  <c r="F18" i="11" s="1"/>
  <c r="G12" i="11"/>
  <c r="G14" i="11" s="1"/>
  <c r="G16" i="11" s="1"/>
  <c r="G18" i="11" s="1"/>
  <c r="E12" i="11"/>
  <c r="C12" i="11"/>
  <c r="C14" i="11" s="1"/>
  <c r="C16" i="11" s="1"/>
  <c r="C18" i="11" s="1"/>
  <c r="D12" i="11"/>
  <c r="D14" i="11" s="1"/>
  <c r="D16" i="11" s="1"/>
  <c r="D18" i="11" s="1"/>
  <c r="B12" i="11"/>
  <c r="B14" i="11" s="1"/>
  <c r="B16" i="11" s="1"/>
  <c r="B18" i="11" s="1"/>
  <c r="C13" i="11"/>
  <c r="C15" i="11" s="1"/>
  <c r="C17" i="11" s="1"/>
  <c r="C19" i="11" s="1"/>
  <c r="D13" i="11"/>
  <c r="D15" i="11" s="1"/>
  <c r="D17" i="11" s="1"/>
  <c r="D19" i="11" s="1"/>
  <c r="E13" i="11"/>
  <c r="E15" i="11" s="1"/>
  <c r="E17" i="11" s="1"/>
  <c r="E19" i="11" s="1"/>
  <c r="F13" i="11"/>
  <c r="F15" i="11" s="1"/>
  <c r="F17" i="11" s="1"/>
  <c r="F19" i="11" s="1"/>
  <c r="G13" i="11"/>
  <c r="G15" i="11" s="1"/>
  <c r="G17" i="11" s="1"/>
  <c r="G19" i="11" s="1"/>
  <c r="E14" i="11"/>
  <c r="E16" i="11" s="1"/>
  <c r="E18" i="11" s="1"/>
  <c r="B13" i="11"/>
  <c r="B15" i="11" s="1"/>
  <c r="B17" i="11" s="1"/>
  <c r="B19" i="11" s="1"/>
  <c r="L3" i="11"/>
  <c r="M3" i="11" s="1"/>
  <c r="L4" i="11" s="1"/>
  <c r="M4" i="11" s="1"/>
  <c r="L5" i="11" s="1"/>
  <c r="M5" i="11" s="1"/>
  <c r="L6" i="11" s="1"/>
  <c r="M6" i="11" s="1"/>
  <c r="L7" i="11" s="1"/>
  <c r="M7" i="11" s="1"/>
  <c r="H26" i="11" l="1"/>
  <c r="I26" i="11" s="1"/>
  <c r="H25" i="11"/>
  <c r="I25" i="11" s="1"/>
  <c r="H28" i="11"/>
  <c r="I28" i="11" s="1"/>
</calcChain>
</file>

<file path=xl/sharedStrings.xml><?xml version="1.0" encoding="utf-8"?>
<sst xmlns="http://schemas.openxmlformats.org/spreadsheetml/2006/main" count="253" uniqueCount="179">
  <si>
    <t>Middle</t>
  </si>
  <si>
    <t>Span</t>
  </si>
  <si>
    <t>Location</t>
  </si>
  <si>
    <t>Vu (kip)</t>
  </si>
  <si>
    <t>ϕVc (kip)</t>
  </si>
  <si>
    <t xml:space="preserve">Shear Design of Beam B2 </t>
  </si>
  <si>
    <t>20 ft Span</t>
  </si>
  <si>
    <t xml:space="preserve">Exterior </t>
  </si>
  <si>
    <t>Interior</t>
  </si>
  <si>
    <t>Exterior</t>
  </si>
  <si>
    <t>d provided</t>
  </si>
  <si>
    <t>β1</t>
  </si>
  <si>
    <t>Calculation of Reinforcement Area for Flexure (Beam B2)</t>
  </si>
  <si>
    <t>a, pos (Asfy/0.85f'cb)</t>
  </si>
  <si>
    <t>a, neg (Asfy/0.85f'cb)</t>
  </si>
  <si>
    <t>Mu, positive(k-ft)</t>
  </si>
  <si>
    <t>Mu, negative(k-ft)</t>
  </si>
  <si>
    <t>C, pos (a/β1)</t>
  </si>
  <si>
    <t>C, neg (a/β1)</t>
  </si>
  <si>
    <t xml:space="preserve">	εt, pos (εu/c*(d-c))</t>
  </si>
  <si>
    <t xml:space="preserve">	εt, neg (εu/c*(d-c))</t>
  </si>
  <si>
    <t>ϕMn, pos (ϕAsfy(d-a/2))</t>
  </si>
  <si>
    <t>ϕMn, neg (ϕAsfy(d-a/2))</t>
  </si>
  <si>
    <t>As</t>
  </si>
  <si>
    <t>M</t>
  </si>
  <si>
    <t>a</t>
  </si>
  <si>
    <t>Fc' (ksi)</t>
  </si>
  <si>
    <t>Write this value in the table manually</t>
  </si>
  <si>
    <t>Fy (ksi)</t>
  </si>
  <si>
    <t xml:space="preserve">As, provided (pos) </t>
  </si>
  <si>
    <t>As, provided (neg)</t>
  </si>
  <si>
    <t>b, eef (in)</t>
  </si>
  <si>
    <t>20' Span</t>
  </si>
  <si>
    <t>As, min (in2)</t>
  </si>
  <si>
    <t>4 #6</t>
  </si>
  <si>
    <t>2 #6</t>
  </si>
  <si>
    <t>6 #6</t>
  </si>
  <si>
    <t>15 ft Span</t>
  </si>
  <si>
    <r>
      <t>As, positive(in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</si>
  <si>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As, negative(in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</si>
  <si>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As, provided (pos) (in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</si>
  <si>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As, provided (neg) (in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</si>
  <si>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ϕVn (kip)</t>
  </si>
  <si>
    <t>ϕVs (kip)</t>
  </si>
  <si>
    <t>According to IMRF Requirement Spacing, S (in)</t>
  </si>
  <si>
    <r>
      <t>Check ϕVn</t>
    </r>
    <r>
      <rPr>
        <b/>
        <sz val="12"/>
        <color theme="1"/>
        <rFont val="Calibri"/>
        <family val="2"/>
      </rPr>
      <t>≥</t>
    </r>
    <r>
      <rPr>
        <b/>
        <sz val="12"/>
        <color theme="1"/>
        <rFont val="Times New Roman"/>
        <family val="1"/>
      </rPr>
      <t xml:space="preserve">Vu </t>
    </r>
  </si>
  <si>
    <t>Design of Column C1 (A-1) (Ground Floor)</t>
  </si>
  <si>
    <t>Dimensions</t>
  </si>
  <si>
    <t>Column C1 (A-1)</t>
  </si>
  <si>
    <t>Parameters</t>
  </si>
  <si>
    <t xml:space="preserve">Load Combinations </t>
  </si>
  <si>
    <t>hx (in)</t>
  </si>
  <si>
    <t>hy (in)</t>
  </si>
  <si>
    <t>Pu (kip)</t>
  </si>
  <si>
    <t>Ag (in^2)</t>
  </si>
  <si>
    <t>Mux (kip-ft)</t>
  </si>
  <si>
    <t>As (in^2)</t>
  </si>
  <si>
    <t>Muy (kip-ft)</t>
  </si>
  <si>
    <t>f'c (ksi)</t>
  </si>
  <si>
    <t>fy (ksi)</t>
  </si>
  <si>
    <t>Design of Column C2 (B-2) (Ground Floor)</t>
  </si>
  <si>
    <t>Rebar Provided</t>
  </si>
  <si>
    <t>4 No. 8</t>
  </si>
  <si>
    <t>φpn</t>
  </si>
  <si>
    <r>
      <t>e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(in)</t>
    </r>
  </si>
  <si>
    <r>
      <t>e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 xml:space="preserve"> (in)</t>
    </r>
  </si>
  <si>
    <r>
      <t>e</t>
    </r>
    <r>
      <rPr>
        <b/>
        <vertAlign val="subscript"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/h</t>
    </r>
    <r>
      <rPr>
        <b/>
        <vertAlign val="subscript"/>
        <sz val="12"/>
        <color theme="1"/>
        <rFont val="Times New Roman"/>
        <family val="1"/>
      </rPr>
      <t>x</t>
    </r>
  </si>
  <si>
    <r>
      <t>e</t>
    </r>
    <r>
      <rPr>
        <b/>
        <vertAlign val="subscript"/>
        <sz val="12"/>
        <color theme="1"/>
        <rFont val="Times New Roman"/>
        <family val="1"/>
      </rPr>
      <t>y</t>
    </r>
    <r>
      <rPr>
        <b/>
        <sz val="12"/>
        <color theme="1"/>
        <rFont val="Times New Roman"/>
        <family val="1"/>
      </rPr>
      <t>/h</t>
    </r>
    <r>
      <rPr>
        <b/>
        <vertAlign val="subscript"/>
        <sz val="12"/>
        <color theme="1"/>
        <rFont val="Times New Roman"/>
        <family val="1"/>
      </rPr>
      <t>y</t>
    </r>
  </si>
  <si>
    <r>
      <t>ρ=A</t>
    </r>
    <r>
      <rPr>
        <b/>
        <vertAlign val="subscript"/>
        <sz val="12"/>
        <color theme="1"/>
        <rFont val="Times New Roman"/>
        <family val="1"/>
      </rPr>
      <t>st</t>
    </r>
    <r>
      <rPr>
        <b/>
        <sz val="12"/>
        <color theme="1"/>
        <rFont val="Times New Roman"/>
        <family val="1"/>
      </rPr>
      <t xml:space="preserve">/bh </t>
    </r>
  </si>
  <si>
    <r>
      <t>P</t>
    </r>
    <r>
      <rPr>
        <b/>
        <vertAlign val="subscript"/>
        <sz val="12"/>
        <color theme="1"/>
        <rFont val="Times New Roman"/>
        <family val="1"/>
      </rPr>
      <t>nxo</t>
    </r>
    <r>
      <rPr>
        <b/>
        <sz val="12"/>
        <color theme="1"/>
        <rFont val="Times New Roman"/>
        <family val="1"/>
      </rPr>
      <t>/f’</t>
    </r>
    <r>
      <rPr>
        <b/>
        <vertAlign val="subscript"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Ag</t>
    </r>
  </si>
  <si>
    <r>
      <t>P</t>
    </r>
    <r>
      <rPr>
        <b/>
        <vertAlign val="subscript"/>
        <sz val="12"/>
        <color theme="1"/>
        <rFont val="Times New Roman"/>
        <family val="1"/>
      </rPr>
      <t>nyo</t>
    </r>
    <r>
      <rPr>
        <b/>
        <sz val="12"/>
        <color theme="1"/>
        <rFont val="Times New Roman"/>
        <family val="1"/>
      </rPr>
      <t>/f’</t>
    </r>
    <r>
      <rPr>
        <b/>
        <vertAlign val="subscript"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Ag</t>
    </r>
  </si>
  <si>
    <r>
      <t>P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/f’</t>
    </r>
    <r>
      <rPr>
        <b/>
        <vertAlign val="subscript"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Ag</t>
    </r>
  </si>
  <si>
    <r>
      <t>P</t>
    </r>
    <r>
      <rPr>
        <b/>
        <vertAlign val="subscript"/>
        <sz val="12"/>
        <color theme="1"/>
        <rFont val="Times New Roman"/>
        <family val="1"/>
      </rPr>
      <t>nxo</t>
    </r>
  </si>
  <si>
    <r>
      <t>P</t>
    </r>
    <r>
      <rPr>
        <b/>
        <vertAlign val="subscript"/>
        <sz val="12"/>
        <color theme="1"/>
        <rFont val="Times New Roman"/>
        <family val="1"/>
      </rPr>
      <t>nyo</t>
    </r>
  </si>
  <si>
    <r>
      <t>P</t>
    </r>
    <r>
      <rPr>
        <b/>
        <vertAlign val="subscript"/>
        <sz val="12"/>
        <color theme="1"/>
        <rFont val="Times New Roman"/>
        <family val="1"/>
      </rPr>
      <t>o</t>
    </r>
  </si>
  <si>
    <r>
      <t>p</t>
    </r>
    <r>
      <rPr>
        <b/>
        <vertAlign val="subscript"/>
        <sz val="12"/>
        <color theme="1"/>
        <rFont val="Times New Roman"/>
        <family val="1"/>
      </rPr>
      <t>n</t>
    </r>
  </si>
  <si>
    <r>
      <t>φp</t>
    </r>
    <r>
      <rPr>
        <b/>
        <vertAlign val="subscript"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&gt;p</t>
    </r>
    <r>
      <rPr>
        <b/>
        <vertAlign val="subscript"/>
        <sz val="12"/>
        <color theme="1"/>
        <rFont val="Times New Roman"/>
        <family val="1"/>
      </rPr>
      <t>u</t>
    </r>
  </si>
  <si>
    <t>1.2D+1.6L</t>
  </si>
  <si>
    <t>1.2D+1.6Wx+L</t>
  </si>
  <si>
    <t>1.2D-1.6Wx+L</t>
  </si>
  <si>
    <t>1.2D+1.6Wy+L</t>
  </si>
  <si>
    <t>1.2D-1.6Wy+L</t>
  </si>
  <si>
    <t>1.2D+Eqx+L</t>
  </si>
  <si>
    <t>1.2D-Eqx+L</t>
  </si>
  <si>
    <t>1.2D+Eqy+L</t>
  </si>
  <si>
    <t>1.2D-Eqy+L</t>
  </si>
  <si>
    <t>Column C2 (B-2)</t>
  </si>
  <si>
    <t>γ</t>
  </si>
  <si>
    <t>Factored Load Combinations for Footings</t>
  </si>
  <si>
    <t>Unfactored Load Combinations for Footings</t>
  </si>
  <si>
    <t>Load Case</t>
  </si>
  <si>
    <t>Axial Load at Base of Column C1 (A-1), Fz (kips)</t>
  </si>
  <si>
    <t>DL</t>
  </si>
  <si>
    <t>LL</t>
  </si>
  <si>
    <t>WLx</t>
  </si>
  <si>
    <t>WLy</t>
  </si>
  <si>
    <t>EQx</t>
  </si>
  <si>
    <t>EQy</t>
  </si>
  <si>
    <t>1.2DL+1.6LL</t>
  </si>
  <si>
    <t>DL+LL</t>
  </si>
  <si>
    <t>1.2DL+LL+1.6WLx</t>
  </si>
  <si>
    <t>DL+WLx</t>
  </si>
  <si>
    <t>1.2DL+LL-1.6WLx</t>
  </si>
  <si>
    <t>DL-WLx</t>
  </si>
  <si>
    <t>1.2DL+LL+1.6WLy</t>
  </si>
  <si>
    <t>DL+WLy</t>
  </si>
  <si>
    <t>1.2DL+LL-1.6WLy</t>
  </si>
  <si>
    <t>DL-WLy</t>
  </si>
  <si>
    <t>1.2DL+LL+EQx</t>
  </si>
  <si>
    <t>DL+0.7EQx</t>
  </si>
  <si>
    <t>1.2DL+LL-EQx</t>
  </si>
  <si>
    <t>DL-0.7EQx</t>
  </si>
  <si>
    <t>1.2DL+LL+EQy</t>
  </si>
  <si>
    <t>DL+0.7EQy</t>
  </si>
  <si>
    <t>1.2DL+LL-EQy</t>
  </si>
  <si>
    <t>DL-0.7EQy</t>
  </si>
  <si>
    <t>Axial Load at Base of Column C2 (B-2), Fz (kips)</t>
  </si>
  <si>
    <t>Maximum Fz</t>
  </si>
  <si>
    <t>Footing Design Summary</t>
  </si>
  <si>
    <t>Footing</t>
  </si>
  <si>
    <t>C2</t>
  </si>
  <si>
    <t>Size of Footing</t>
  </si>
  <si>
    <t>Column side (in)</t>
  </si>
  <si>
    <t>Effective bearing pressure, qe (ksf)</t>
  </si>
  <si>
    <t>Areq (ft2)</t>
  </si>
  <si>
    <t>B = L (ft)</t>
  </si>
  <si>
    <t>Provided B=L (ft)</t>
  </si>
  <si>
    <t>Aprovided (ft2)</t>
  </si>
  <si>
    <t>Effective depth, d (in) [assumed]</t>
  </si>
  <si>
    <t>qu (ksf)</t>
  </si>
  <si>
    <t>bo (in)</t>
  </si>
  <si>
    <t>Factored Shear, Vu1 (kip)</t>
  </si>
  <si>
    <t>φVc (kip)</t>
  </si>
  <si>
    <t>Check φVc≥ Vu1</t>
  </si>
  <si>
    <t>Factored Shear, Vu2 (kip)</t>
  </si>
  <si>
    <t>Reinforcement Design</t>
  </si>
  <si>
    <t>Mu (kip-ft/width)</t>
  </si>
  <si>
    <t>As (in2)</t>
  </si>
  <si>
    <t>As (min) (in2)</t>
  </si>
  <si>
    <t>As ≥As (min)</t>
  </si>
  <si>
    <t>OK</t>
  </si>
  <si>
    <t>Maximum Spacing (in)</t>
  </si>
  <si>
    <t>Bottom bar Spacing, S (in)</t>
  </si>
  <si>
    <t>As provided in both direction(bottom)</t>
  </si>
  <si>
    <t>Top bar Spacing, S (in)</t>
  </si>
  <si>
    <t>As provided in both direction (top)</t>
  </si>
  <si>
    <t>ld (in)</t>
  </si>
  <si>
    <t>Check</t>
  </si>
  <si>
    <t>Dowel Reinforcement</t>
  </si>
  <si>
    <t>In Compression, Development Length</t>
  </si>
  <si>
    <t>Ldc1 (0.02dbfy/√f'c)</t>
  </si>
  <si>
    <t>Ldc2 (0.003dbfy&gt;8")</t>
  </si>
  <si>
    <t>Ldc (in)</t>
  </si>
  <si>
    <t>Check Ldc&lt;d</t>
  </si>
  <si>
    <t>Bearing Strength</t>
  </si>
  <si>
    <t>N1 (kip)</t>
  </si>
  <si>
    <t>N2 (kip)</t>
  </si>
  <si>
    <t>Check Pu&gt;N2</t>
  </si>
  <si>
    <t>C1</t>
  </si>
  <si>
    <t>fc' (psi)</t>
  </si>
  <si>
    <t>Fy (psi)</t>
  </si>
  <si>
    <t>Punching Shear Check</t>
  </si>
  <si>
    <t>Beam Shear Ckeck</t>
  </si>
  <si>
    <t>Using #5 Bar</t>
  </si>
  <si>
    <t>Using #8 Bar</t>
  </si>
  <si>
    <t>#8 @9"c/c</t>
  </si>
  <si>
    <t>#5 @ 5.5" c/c</t>
  </si>
  <si>
    <t>#5 @6" c/c</t>
  </si>
  <si>
    <t>#5 @ 9" c/c</t>
  </si>
  <si>
    <t>Development Length of Main Bar</t>
  </si>
  <si>
    <t>Lap Splice Length of Dowel Bar in Column</t>
  </si>
  <si>
    <t>Lds</t>
  </si>
  <si>
    <t>Using 4-#5 Bar</t>
  </si>
  <si>
    <t>Using 4-#9 Bar</t>
  </si>
  <si>
    <t>Available length (in) (Column edge to   end of bar)</t>
  </si>
  <si>
    <t>Depth of Footing, t(in)</t>
  </si>
  <si>
    <t xml:space="preserve">14 ft Span </t>
  </si>
  <si>
    <t>14' Span</t>
  </si>
  <si>
    <t xml:space="preserve">4 #8, 4#7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</si>
</sst>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color rgb="FF000000"/>
      <name val="Times New Roman"/>
      <family val="1"/>
    </font>
    <font>
      <sz val="11"/>
      <name val="Trebuchet MS"/>
      <family val="2"/>
    </font>
    <font>
      <sz val="11"/>
      <color rgb="FF000000"/>
      <name val="Carlito"/>
      <family val="2"/>
    </font>
    <font>
      <sz val="11"/>
      <name val="Carlito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1" fontId="13" fillId="0" borderId="0" xfId="0" applyNumberFormat="1" applyFont="1" applyAlignment="1">
      <alignment horizontal="center" vertical="top" shrinkToFit="1"/>
    </xf>
    <xf numFmtId="164" fontId="13" fillId="0" borderId="0" xfId="0" applyNumberFormat="1" applyFont="1" applyAlignment="1">
      <alignment horizontal="center" vertical="top" shrinkToFit="1"/>
    </xf>
    <xf numFmtId="165" fontId="13" fillId="0" borderId="0" xfId="0" applyNumberFormat="1" applyFont="1" applyAlignment="1">
      <alignment horizontal="center" vertical="top" shrinkToFit="1"/>
    </xf>
    <xf numFmtId="2" fontId="13" fillId="0" borderId="0" xfId="0" applyNumberFormat="1" applyFont="1" applyAlignment="1">
      <alignment horizontal="center" vertical="top" shrinkToFit="1"/>
    </xf>
    <xf numFmtId="166" fontId="13" fillId="0" borderId="0" xfId="0" applyNumberFormat="1" applyFont="1" applyAlignment="1">
      <alignment horizontal="center" vertical="top" shrinkToFit="1"/>
    </xf>
    <xf numFmtId="0" fontId="14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2" fontId="15" fillId="0" borderId="1" xfId="0" applyNumberFormat="1" applyFont="1" applyBorder="1" applyAlignment="1">
      <alignment horizontal="center" vertical="center" shrinkToFit="1"/>
    </xf>
    <xf numFmtId="0" fontId="0" fillId="2" borderId="0" xfId="0" applyFill="1"/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165" fontId="5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 vertical="center" shrinkToFit="1"/>
    </xf>
    <xf numFmtId="164" fontId="15" fillId="2" borderId="1" xfId="0" applyNumberFormat="1" applyFont="1" applyFill="1" applyBorder="1" applyAlignment="1">
      <alignment horizontal="center" vertical="center" shrinkToFit="1"/>
    </xf>
    <xf numFmtId="2" fontId="15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shrinkToFit="1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B57B-C44E-4C5A-977D-5AF59342849B}">
  <sheetPr>
    <pageSetUpPr fitToPage="1"/>
  </sheetPr>
  <dimension ref="A1:T38"/>
  <sheetViews>
    <sheetView tabSelected="1" workbookViewId="0">
      <selection activeCell="D8" sqref="D8"/>
    </sheetView>
  </sheetViews>
  <sheetFormatPr defaultRowHeight="14.4"/>
  <cols>
    <col min="1" max="1" width="23.33203125" customWidth="1"/>
    <col min="2" max="2" width="11.5546875" customWidth="1"/>
    <col min="3" max="3" width="10.5546875" customWidth="1"/>
    <col min="4" max="5" width="9.5546875" bestFit="1" customWidth="1"/>
    <col min="6" max="6" width="10.33203125" customWidth="1"/>
    <col min="7" max="7" width="12.6640625" customWidth="1"/>
    <col min="8" max="8" width="11.21875" customWidth="1"/>
    <col min="9" max="9" width="13.88671875" customWidth="1"/>
    <col min="10" max="10" width="13.77734375" customWidth="1"/>
    <col min="17" max="17" width="10.88671875" bestFit="1" customWidth="1"/>
    <col min="18" max="18" width="13.6640625" bestFit="1" customWidth="1"/>
    <col min="19" max="19" width="22.33203125" bestFit="1" customWidth="1"/>
    <col min="20" max="20" width="18" bestFit="1" customWidth="1"/>
  </cols>
  <sheetData>
    <row r="1" spans="1:20" ht="19.8" customHeight="1">
      <c r="A1" s="83" t="s">
        <v>12</v>
      </c>
      <c r="B1" s="83"/>
      <c r="C1" s="83"/>
      <c r="D1" s="83"/>
      <c r="E1" s="83"/>
      <c r="F1" s="83"/>
      <c r="G1" s="83"/>
      <c r="H1" s="9" t="s">
        <v>26</v>
      </c>
      <c r="I1" s="10" t="s">
        <v>10</v>
      </c>
      <c r="J1" s="11" t="s">
        <v>11</v>
      </c>
      <c r="K1" s="12"/>
      <c r="L1" s="12"/>
      <c r="M1" s="12"/>
      <c r="N1" s="12"/>
      <c r="O1" s="12"/>
      <c r="P1" s="12"/>
      <c r="Q1" s="1"/>
      <c r="R1" s="1"/>
      <c r="S1" s="1"/>
      <c r="T1" s="1"/>
    </row>
    <row r="2" spans="1:20" ht="15.6">
      <c r="A2" s="13"/>
      <c r="B2" s="83" t="s">
        <v>176</v>
      </c>
      <c r="C2" s="83"/>
      <c r="D2" s="83"/>
      <c r="E2" s="83" t="s">
        <v>6</v>
      </c>
      <c r="F2" s="83"/>
      <c r="G2" s="83"/>
      <c r="H2" s="80">
        <v>4</v>
      </c>
      <c r="I2" s="80">
        <v>21</v>
      </c>
      <c r="J2" s="81">
        <v>0.85</v>
      </c>
      <c r="K2" s="11" t="s">
        <v>24</v>
      </c>
      <c r="L2" s="11" t="s">
        <v>23</v>
      </c>
      <c r="M2" s="11" t="s">
        <v>25</v>
      </c>
      <c r="N2" s="11"/>
      <c r="O2" s="11"/>
      <c r="P2" s="11"/>
      <c r="Q2" s="6"/>
      <c r="R2" s="6"/>
      <c r="S2" s="6"/>
      <c r="T2" s="6"/>
    </row>
    <row r="3" spans="1:20" ht="15.6">
      <c r="A3" s="15"/>
      <c r="B3" s="15" t="s">
        <v>7</v>
      </c>
      <c r="C3" s="15" t="s">
        <v>0</v>
      </c>
      <c r="D3" s="15" t="s">
        <v>8</v>
      </c>
      <c r="E3" s="15" t="s">
        <v>8</v>
      </c>
      <c r="F3" s="15" t="s">
        <v>0</v>
      </c>
      <c r="G3" s="15" t="s">
        <v>9</v>
      </c>
      <c r="H3" s="11" t="s">
        <v>28</v>
      </c>
      <c r="I3" s="85" t="s">
        <v>31</v>
      </c>
      <c r="J3" s="85"/>
      <c r="K3" s="14">
        <v>404</v>
      </c>
      <c r="L3" s="16">
        <f>$K$3*12/(0.9*60*($I$2-0.5))</f>
        <v>4.3794037940379402</v>
      </c>
      <c r="M3" s="16">
        <f>L3*60/(0.85*$H$2*12)</f>
        <v>6.440299697114618</v>
      </c>
      <c r="N3" s="17"/>
      <c r="O3" s="18"/>
      <c r="P3" s="18"/>
      <c r="Q3" s="4"/>
      <c r="R3" s="5"/>
      <c r="S3" s="5"/>
      <c r="T3" s="5"/>
    </row>
    <row r="4" spans="1:20" ht="15.6">
      <c r="A4" s="15" t="s">
        <v>15</v>
      </c>
      <c r="B4" s="79">
        <v>0</v>
      </c>
      <c r="C4" s="79">
        <v>211</v>
      </c>
      <c r="D4" s="79">
        <v>0</v>
      </c>
      <c r="E4" s="75">
        <v>82.343000000000004</v>
      </c>
      <c r="F4" s="75">
        <v>49.313000000000002</v>
      </c>
      <c r="G4" s="75">
        <v>50.078000000000003</v>
      </c>
      <c r="H4" s="18">
        <v>60</v>
      </c>
      <c r="I4" s="9" t="s">
        <v>177</v>
      </c>
      <c r="J4" s="12" t="s">
        <v>32</v>
      </c>
      <c r="K4" s="11"/>
      <c r="L4" s="16">
        <f>$K$3*12/(0.9*60*($I$2-0.5*M3))</f>
        <v>5.0494113849712638</v>
      </c>
      <c r="M4" s="16">
        <f>L4*60/(0.85*$H$2*12)</f>
        <v>7.4256049778989182</v>
      </c>
      <c r="N4" s="17"/>
      <c r="O4" s="18"/>
      <c r="P4" s="18"/>
      <c r="Q4" s="4"/>
      <c r="R4" s="5"/>
      <c r="S4" s="5"/>
      <c r="T4" s="5"/>
    </row>
    <row r="5" spans="1:20" ht="15.6">
      <c r="A5" s="15" t="s">
        <v>16</v>
      </c>
      <c r="B5" s="79">
        <v>404</v>
      </c>
      <c r="C5" s="79">
        <v>-1.45</v>
      </c>
      <c r="D5" s="79">
        <v>435.21</v>
      </c>
      <c r="E5" s="75">
        <v>161.73599999999999</v>
      </c>
      <c r="F5" s="75">
        <v>32.347000000000001</v>
      </c>
      <c r="G5" s="75">
        <v>150.23400000000001</v>
      </c>
      <c r="H5" s="19"/>
      <c r="I5" s="81">
        <v>14</v>
      </c>
      <c r="J5" s="20">
        <v>60</v>
      </c>
      <c r="K5" s="11"/>
      <c r="L5" s="16">
        <f>$K$3*12/(0.9*60*($I$2-0.5*M4))</f>
        <v>5.193310119838042</v>
      </c>
      <c r="M5" s="16">
        <f>L5*60/(0.85*$H$2*12)</f>
        <v>7.6372207644677088</v>
      </c>
      <c r="N5" s="17"/>
      <c r="O5" s="18"/>
      <c r="P5" s="18"/>
      <c r="Q5" s="4"/>
      <c r="R5" s="5"/>
      <c r="S5" s="5"/>
      <c r="T5" s="5"/>
    </row>
    <row r="6" spans="1:20" ht="18">
      <c r="A6" s="15" t="s">
        <v>38</v>
      </c>
      <c r="B6" s="76">
        <v>1.57</v>
      </c>
      <c r="C6" s="82">
        <v>3.66</v>
      </c>
      <c r="D6" s="76">
        <v>0.8</v>
      </c>
      <c r="E6" s="76">
        <v>1.25</v>
      </c>
      <c r="F6" s="76">
        <v>0.73</v>
      </c>
      <c r="G6" s="76">
        <v>0.74</v>
      </c>
      <c r="H6" s="19"/>
      <c r="I6" s="9" t="s">
        <v>33</v>
      </c>
      <c r="J6" s="12"/>
      <c r="K6" s="11"/>
      <c r="L6" s="16">
        <f>$K$3*12/(0.9*60*($I$2-0.5*M5))</f>
        <v>5.2252920034444985</v>
      </c>
      <c r="M6" s="16">
        <f>L6*60/(0.85*$H$2*12)</f>
        <v>7.6842529462419105</v>
      </c>
      <c r="N6" s="17"/>
      <c r="O6" s="18"/>
      <c r="P6" s="18"/>
      <c r="Q6" s="4"/>
      <c r="R6" s="5"/>
      <c r="S6" s="5"/>
      <c r="T6" s="5"/>
    </row>
    <row r="7" spans="1:20" ht="16.2" customHeight="1">
      <c r="A7" s="15" t="s">
        <v>39</v>
      </c>
      <c r="B7" s="82">
        <v>5.23</v>
      </c>
      <c r="C7" s="76">
        <v>0.47</v>
      </c>
      <c r="D7" s="82">
        <v>16.07</v>
      </c>
      <c r="E7" s="76">
        <v>2.6</v>
      </c>
      <c r="F7" s="76">
        <v>0.47</v>
      </c>
      <c r="G7" s="76">
        <v>2.4</v>
      </c>
      <c r="H7" s="19"/>
      <c r="I7" s="22">
        <v>0.624</v>
      </c>
      <c r="J7" s="84" t="s">
        <v>27</v>
      </c>
      <c r="K7" s="84"/>
      <c r="L7" s="23">
        <f>$K$3*12/(0.9*60*($I$2-0.5*M6))</f>
        <v>5.2324536392656364</v>
      </c>
      <c r="M7" s="24">
        <f>L7*60/(0.85*$H$2*12)</f>
        <v>7.6947847636259361</v>
      </c>
      <c r="N7" s="17"/>
      <c r="O7" s="18"/>
      <c r="P7" s="18"/>
      <c r="Q7" s="4"/>
      <c r="R7" s="5"/>
      <c r="S7" s="5"/>
      <c r="T7" s="5"/>
    </row>
    <row r="8" spans="1:20" ht="16.2" customHeight="1">
      <c r="A8" s="15" t="s">
        <v>29</v>
      </c>
      <c r="B8" s="77" t="s">
        <v>178</v>
      </c>
      <c r="C8" s="77" t="s">
        <v>35</v>
      </c>
      <c r="D8" s="77" t="s">
        <v>35</v>
      </c>
      <c r="E8" s="77" t="s">
        <v>34</v>
      </c>
      <c r="F8" s="77" t="s">
        <v>35</v>
      </c>
      <c r="G8" s="77" t="s">
        <v>35</v>
      </c>
      <c r="H8" s="19"/>
      <c r="I8" s="19"/>
      <c r="J8" s="84"/>
      <c r="K8" s="84"/>
      <c r="L8" s="23"/>
      <c r="M8" s="24"/>
      <c r="N8" s="17"/>
      <c r="O8" s="18"/>
      <c r="P8" s="18"/>
      <c r="Q8" s="4"/>
      <c r="R8" s="5"/>
      <c r="S8" s="5"/>
      <c r="T8" s="5"/>
    </row>
    <row r="9" spans="1:20" ht="18">
      <c r="A9" s="15" t="s">
        <v>40</v>
      </c>
      <c r="B9" s="75">
        <v>1.76</v>
      </c>
      <c r="C9" s="75">
        <v>0.88</v>
      </c>
      <c r="D9" s="75">
        <v>0.88</v>
      </c>
      <c r="E9" s="75">
        <v>1.76</v>
      </c>
      <c r="F9" s="75">
        <v>0.88</v>
      </c>
      <c r="G9" s="75">
        <v>0.88</v>
      </c>
      <c r="H9" s="19"/>
      <c r="I9" s="19"/>
      <c r="J9" s="84"/>
      <c r="K9" s="84"/>
      <c r="L9" s="17"/>
      <c r="M9" s="17"/>
      <c r="N9" s="17"/>
      <c r="O9" s="18"/>
      <c r="P9" s="18"/>
      <c r="Q9" s="4"/>
      <c r="R9" s="5"/>
      <c r="S9" s="5"/>
      <c r="T9" s="5"/>
    </row>
    <row r="10" spans="1:20" ht="15.6">
      <c r="A10" s="15" t="s">
        <v>30</v>
      </c>
      <c r="B10" s="78" t="s">
        <v>36</v>
      </c>
      <c r="C10" s="78" t="s">
        <v>35</v>
      </c>
      <c r="D10" s="78" t="s">
        <v>36</v>
      </c>
      <c r="E10" s="78" t="s">
        <v>36</v>
      </c>
      <c r="F10" s="78" t="s">
        <v>35</v>
      </c>
      <c r="G10" s="78" t="s">
        <v>36</v>
      </c>
      <c r="H10" s="19"/>
      <c r="I10" s="19"/>
      <c r="J10" s="25"/>
      <c r="K10" s="25"/>
      <c r="L10" s="17"/>
      <c r="M10" s="17"/>
      <c r="N10" s="17"/>
      <c r="O10" s="18"/>
      <c r="P10" s="18"/>
      <c r="Q10" s="4"/>
      <c r="R10" s="5"/>
      <c r="S10" s="5"/>
      <c r="T10" s="5"/>
    </row>
    <row r="11" spans="1:20" ht="18">
      <c r="A11" s="15" t="s">
        <v>41</v>
      </c>
      <c r="B11" s="76">
        <v>2.64</v>
      </c>
      <c r="C11" s="75">
        <v>0.88</v>
      </c>
      <c r="D11" s="75">
        <v>2.64</v>
      </c>
      <c r="E11" s="75">
        <v>2.64</v>
      </c>
      <c r="F11" s="75">
        <v>0.88</v>
      </c>
      <c r="G11" s="75">
        <v>2.64</v>
      </c>
      <c r="H11" s="19"/>
      <c r="I11" s="19"/>
      <c r="J11" s="19"/>
      <c r="K11" s="19"/>
      <c r="L11" s="19"/>
      <c r="M11" s="19"/>
      <c r="N11" s="19"/>
      <c r="O11" s="19"/>
      <c r="P11" s="19"/>
    </row>
    <row r="12" spans="1:20" ht="15.6">
      <c r="A12" s="15" t="s">
        <v>13</v>
      </c>
      <c r="B12" s="21">
        <f>B9*60/(0.85*$H$2*$I$5)</f>
        <v>2.2184873949579829</v>
      </c>
      <c r="C12" s="21">
        <f t="shared" ref="C12:D12" si="0">C9*60/(0.85*$H$2*$I$5)</f>
        <v>1.1092436974789914</v>
      </c>
      <c r="D12" s="21">
        <f t="shared" si="0"/>
        <v>1.1092436974789914</v>
      </c>
      <c r="E12" s="21">
        <f>E9*60/(0.85*$H$2*$J$5)</f>
        <v>0.51764705882352935</v>
      </c>
      <c r="F12" s="21">
        <f t="shared" ref="F12:G12" si="1">F9*60/(0.85*$H$2*$J$5)</f>
        <v>0.25882352941176467</v>
      </c>
      <c r="G12" s="21">
        <f t="shared" si="1"/>
        <v>0.25882352941176467</v>
      </c>
      <c r="H12" s="19"/>
      <c r="I12" s="19"/>
      <c r="J12" s="19"/>
      <c r="K12" s="19"/>
      <c r="L12" s="19"/>
      <c r="M12" s="19"/>
      <c r="N12" s="19"/>
      <c r="O12" s="19"/>
      <c r="P12" s="19"/>
    </row>
    <row r="13" spans="1:20" ht="15.6">
      <c r="A13" s="15" t="s">
        <v>14</v>
      </c>
      <c r="B13" s="21">
        <f>B11*60/(0.85*$H$2*12)</f>
        <v>3.882352941176471</v>
      </c>
      <c r="C13" s="21">
        <f t="shared" ref="C13:G13" si="2">C11*60/(0.85*$H$2*12)</f>
        <v>1.2941176470588236</v>
      </c>
      <c r="D13" s="21">
        <f t="shared" si="2"/>
        <v>3.882352941176471</v>
      </c>
      <c r="E13" s="21">
        <f t="shared" si="2"/>
        <v>3.882352941176471</v>
      </c>
      <c r="F13" s="21">
        <f t="shared" si="2"/>
        <v>1.2941176470588236</v>
      </c>
      <c r="G13" s="21">
        <f t="shared" si="2"/>
        <v>3.882352941176471</v>
      </c>
      <c r="H13" s="19"/>
      <c r="I13" s="19"/>
      <c r="J13" s="19"/>
      <c r="K13" s="19"/>
      <c r="L13" s="19"/>
      <c r="M13" s="19"/>
      <c r="N13" s="19"/>
      <c r="O13" s="19"/>
      <c r="P13" s="19"/>
    </row>
    <row r="14" spans="1:20" ht="15.6">
      <c r="A14" s="15" t="s">
        <v>17</v>
      </c>
      <c r="B14" s="21">
        <f>B12/$J$2</f>
        <v>2.6099851705388035</v>
      </c>
      <c r="C14" s="21">
        <f t="shared" ref="C14:G14" si="3">C12/$J$2</f>
        <v>1.3049925852694018</v>
      </c>
      <c r="D14" s="21">
        <f t="shared" si="3"/>
        <v>1.3049925852694018</v>
      </c>
      <c r="E14" s="21">
        <f t="shared" si="3"/>
        <v>0.60899653979238744</v>
      </c>
      <c r="F14" s="21">
        <f t="shared" si="3"/>
        <v>0.30449826989619372</v>
      </c>
      <c r="G14" s="21">
        <f t="shared" si="3"/>
        <v>0.30449826989619372</v>
      </c>
      <c r="H14" s="19"/>
      <c r="I14" s="19"/>
      <c r="J14" s="19"/>
      <c r="K14" s="19"/>
      <c r="L14" s="19"/>
      <c r="M14" s="19"/>
      <c r="N14" s="19"/>
      <c r="O14" s="19"/>
      <c r="P14" s="19"/>
    </row>
    <row r="15" spans="1:20" ht="15.6">
      <c r="A15" s="15" t="s">
        <v>18</v>
      </c>
      <c r="B15" s="21">
        <f>B13/$J$2</f>
        <v>4.5674740484429073</v>
      </c>
      <c r="C15" s="21">
        <f t="shared" ref="C15:G15" si="4">C13/$J$2</f>
        <v>1.5224913494809689</v>
      </c>
      <c r="D15" s="21">
        <f t="shared" si="4"/>
        <v>4.5674740484429073</v>
      </c>
      <c r="E15" s="21">
        <f t="shared" si="4"/>
        <v>4.5674740484429073</v>
      </c>
      <c r="F15" s="21">
        <f t="shared" si="4"/>
        <v>1.5224913494809689</v>
      </c>
      <c r="G15" s="21">
        <f t="shared" si="4"/>
        <v>4.5674740484429073</v>
      </c>
      <c r="H15" s="19"/>
      <c r="I15" s="19"/>
      <c r="J15" s="19"/>
      <c r="K15" s="19"/>
      <c r="L15" s="19"/>
      <c r="M15" s="19"/>
      <c r="N15" s="19"/>
      <c r="O15" s="19"/>
      <c r="P15" s="19"/>
    </row>
    <row r="16" spans="1:20" ht="15.6">
      <c r="A16" s="15" t="s">
        <v>19</v>
      </c>
      <c r="B16" s="26">
        <f>0.003/B14*($I$2-B14)</f>
        <v>2.1138068181818185E-2</v>
      </c>
      <c r="C16" s="26">
        <f t="shared" ref="C16:G16" si="5">0.003/C14*($I$2-C14)</f>
        <v>4.5276136363636366E-2</v>
      </c>
      <c r="D16" s="26">
        <f t="shared" si="5"/>
        <v>4.5276136363636366E-2</v>
      </c>
      <c r="E16" s="26">
        <f t="shared" si="5"/>
        <v>0.10044886363636366</v>
      </c>
      <c r="F16" s="26">
        <f t="shared" si="5"/>
        <v>0.20389772727272731</v>
      </c>
      <c r="G16" s="26">
        <f t="shared" si="5"/>
        <v>0.20389772727272731</v>
      </c>
      <c r="H16" s="19"/>
      <c r="I16" s="19"/>
      <c r="J16" s="19"/>
      <c r="K16" s="19"/>
      <c r="L16" s="19"/>
      <c r="M16" s="19"/>
      <c r="N16" s="19"/>
      <c r="O16" s="19"/>
      <c r="P16" s="19"/>
    </row>
    <row r="17" spans="1:16" ht="15.6">
      <c r="A17" s="15" t="s">
        <v>20</v>
      </c>
      <c r="B17" s="26">
        <f>0.003/B15*($I$2-B15)</f>
        <v>1.0793181818181816E-2</v>
      </c>
      <c r="C17" s="26">
        <f t="shared" ref="C17:G17" si="6">0.003/C15*($I$2-C15)</f>
        <v>3.8379545454545458E-2</v>
      </c>
      <c r="D17" s="26">
        <f t="shared" si="6"/>
        <v>1.0793181818181816E-2</v>
      </c>
      <c r="E17" s="26">
        <f t="shared" si="6"/>
        <v>1.0793181818181816E-2</v>
      </c>
      <c r="F17" s="26">
        <f t="shared" si="6"/>
        <v>3.8379545454545458E-2</v>
      </c>
      <c r="G17" s="26">
        <f t="shared" si="6"/>
        <v>1.0793181818181816E-2</v>
      </c>
      <c r="H17" s="19"/>
      <c r="I17" s="19"/>
      <c r="J17" s="19"/>
      <c r="K17" s="19"/>
      <c r="L17" s="19"/>
      <c r="M17" s="19"/>
      <c r="N17" s="19"/>
      <c r="O17" s="19"/>
      <c r="P17" s="19"/>
    </row>
    <row r="18" spans="1:16" ht="15.6">
      <c r="A18" s="15" t="s">
        <v>21</v>
      </c>
      <c r="B18" s="26">
        <f>IF(B16&lt;0.005,(0.4833+83.3333*B16),0.9)*B9*60*($I$2-0.5*B12)/12</f>
        <v>157.5347899159664</v>
      </c>
      <c r="C18" s="26">
        <f t="shared" ref="C18:G18" si="7">IF(C16&lt;0.005,(0.4833+83.3333*C16),0.9)*C9*60*($I$2-0.5*C12)/12</f>
        <v>80.963697478991591</v>
      </c>
      <c r="D18" s="26">
        <f t="shared" si="7"/>
        <v>80.963697478991591</v>
      </c>
      <c r="E18" s="26">
        <f t="shared" si="7"/>
        <v>164.27011764705884</v>
      </c>
      <c r="F18" s="26">
        <f t="shared" si="7"/>
        <v>82.647529411764722</v>
      </c>
      <c r="G18" s="26">
        <f t="shared" si="7"/>
        <v>82.647529411764722</v>
      </c>
      <c r="H18" s="19"/>
      <c r="I18" s="19"/>
      <c r="J18" s="19"/>
      <c r="K18" s="19"/>
      <c r="L18" s="19"/>
      <c r="M18" s="19"/>
      <c r="N18" s="19"/>
      <c r="O18" s="19"/>
      <c r="P18" s="19"/>
    </row>
    <row r="19" spans="1:16" ht="15.6">
      <c r="A19" s="15" t="s">
        <v>22</v>
      </c>
      <c r="B19" s="26">
        <f>IF(B17&lt;0.005,(0.4833+83.3333*B17),0.9)*B11*60*($I$2-0.5*B13)/12</f>
        <v>226.41882352941181</v>
      </c>
      <c r="C19" s="26">
        <f t="shared" ref="C19:G19" si="8">IF(C17&lt;0.005,(0.4833+83.3333*C17),0.9)*C11*60*($I$2-0.5*C13)/12</f>
        <v>80.597647058823526</v>
      </c>
      <c r="D19" s="26">
        <f t="shared" si="8"/>
        <v>226.41882352941181</v>
      </c>
      <c r="E19" s="26">
        <f t="shared" si="8"/>
        <v>226.41882352941181</v>
      </c>
      <c r="F19" s="26">
        <f t="shared" si="8"/>
        <v>80.597647058823526</v>
      </c>
      <c r="G19" s="26">
        <f t="shared" si="8"/>
        <v>226.41882352941181</v>
      </c>
      <c r="H19" s="19"/>
      <c r="I19" s="19"/>
      <c r="J19" s="19"/>
      <c r="K19" s="19"/>
      <c r="L19" s="19"/>
      <c r="M19" s="19"/>
      <c r="N19" s="19"/>
      <c r="O19" s="19"/>
      <c r="P19" s="19"/>
    </row>
    <row r="20" spans="1:16" ht="15.6">
      <c r="A20" s="18"/>
      <c r="B20" s="18"/>
      <c r="C20" s="18"/>
      <c r="D20" s="18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</row>
    <row r="21" spans="1:16" ht="13.2" customHeight="1">
      <c r="A21" s="18"/>
      <c r="B21" s="18"/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</row>
    <row r="22" spans="1:16" ht="19.2" customHeight="1">
      <c r="A22" s="83" t="s">
        <v>5</v>
      </c>
      <c r="B22" s="83"/>
      <c r="C22" s="83"/>
      <c r="D22" s="83"/>
      <c r="E22" s="83"/>
      <c r="F22" s="83"/>
      <c r="G22" s="83"/>
      <c r="H22" s="83"/>
      <c r="I22" s="83"/>
      <c r="J22" s="12"/>
      <c r="K22" s="12"/>
      <c r="L22" s="19"/>
      <c r="M22" s="19"/>
      <c r="N22" s="19"/>
      <c r="O22" s="19"/>
      <c r="P22" s="19"/>
    </row>
    <row r="23" spans="1:16" ht="61.8" customHeight="1">
      <c r="A23" s="15" t="s">
        <v>1</v>
      </c>
      <c r="B23" s="15" t="s">
        <v>2</v>
      </c>
      <c r="C23" s="15" t="s">
        <v>3</v>
      </c>
      <c r="D23" s="86" t="s">
        <v>44</v>
      </c>
      <c r="E23" s="86"/>
      <c r="F23" s="15" t="s">
        <v>4</v>
      </c>
      <c r="G23" s="15" t="s">
        <v>43</v>
      </c>
      <c r="H23" s="15" t="s">
        <v>42</v>
      </c>
      <c r="I23" s="36" t="s">
        <v>45</v>
      </c>
      <c r="K23" s="25"/>
      <c r="L23" s="19"/>
      <c r="M23" s="19"/>
      <c r="N23" s="19"/>
      <c r="O23" s="19"/>
      <c r="P23" s="19"/>
    </row>
    <row r="24" spans="1:16" ht="15.6">
      <c r="A24" s="83" t="s">
        <v>37</v>
      </c>
      <c r="B24" s="15" t="s">
        <v>9</v>
      </c>
      <c r="C24" s="71">
        <v>44.07</v>
      </c>
      <c r="D24" s="87">
        <v>3.5</v>
      </c>
      <c r="E24" s="87"/>
      <c r="F24" s="31">
        <f>0.75*2*12*$I$2*SQRT($H$2*1000)/1000</f>
        <v>23.906819110872949</v>
      </c>
      <c r="G24" s="31">
        <f>0.75*0.22*60*$I$2/D24</f>
        <v>59.4</v>
      </c>
      <c r="H24" s="31">
        <f>F24+G24</f>
        <v>83.306819110872951</v>
      </c>
      <c r="I24" s="37" t="str">
        <f>IF(H24&gt;ABS(C24),"OK","NOT OK")</f>
        <v>OK</v>
      </c>
      <c r="J24" s="18"/>
      <c r="K24" s="18"/>
      <c r="L24" s="19"/>
      <c r="M24" s="19"/>
      <c r="N24" s="19"/>
      <c r="O24" s="19"/>
      <c r="P24" s="19"/>
    </row>
    <row r="25" spans="1:16" ht="15.6">
      <c r="A25" s="83"/>
      <c r="B25" s="15" t="s">
        <v>0</v>
      </c>
      <c r="C25" s="71">
        <v>28.01</v>
      </c>
      <c r="D25" s="87">
        <v>7.5</v>
      </c>
      <c r="E25" s="87"/>
      <c r="F25" s="31">
        <f t="shared" ref="F25:F29" si="9">0.75*2*12*$I$2*SQRT($H$2*1000)/1000</f>
        <v>23.906819110872949</v>
      </c>
      <c r="G25" s="31">
        <f t="shared" ref="G25:G29" si="10">0.75*0.22*60*$I$2/D25</f>
        <v>27.720000000000002</v>
      </c>
      <c r="H25" s="31">
        <f t="shared" ref="H25:H29" si="11">F25+G25</f>
        <v>51.626819110872951</v>
      </c>
      <c r="I25" s="37" t="str">
        <f t="shared" ref="I25:I29" si="12">IF(H25&gt;ABS(C25),"OK","NOT OK")</f>
        <v>OK</v>
      </c>
      <c r="J25" s="18"/>
      <c r="K25" s="18"/>
      <c r="L25" s="19"/>
      <c r="M25" s="19"/>
      <c r="N25" s="19"/>
      <c r="O25" s="19"/>
      <c r="P25" s="19"/>
    </row>
    <row r="26" spans="1:16" ht="15.6">
      <c r="A26" s="83"/>
      <c r="B26" s="15" t="s">
        <v>8</v>
      </c>
      <c r="C26" s="71">
        <v>45.6</v>
      </c>
      <c r="D26" s="87">
        <v>3.5</v>
      </c>
      <c r="E26" s="87"/>
      <c r="F26" s="31">
        <f t="shared" si="9"/>
        <v>23.906819110872949</v>
      </c>
      <c r="G26" s="31">
        <f t="shared" si="10"/>
        <v>59.4</v>
      </c>
      <c r="H26" s="31">
        <f t="shared" si="11"/>
        <v>83.306819110872951</v>
      </c>
      <c r="I26" s="37" t="str">
        <f t="shared" si="12"/>
        <v>OK</v>
      </c>
      <c r="J26" s="18"/>
      <c r="K26" s="18"/>
      <c r="L26" s="19"/>
      <c r="M26" s="19"/>
      <c r="N26" s="19"/>
      <c r="O26" s="19"/>
      <c r="P26" s="19"/>
    </row>
    <row r="27" spans="1:16" ht="15.6">
      <c r="A27" s="83" t="s">
        <v>6</v>
      </c>
      <c r="B27" s="15" t="s">
        <v>8</v>
      </c>
      <c r="C27" s="71">
        <v>40.909999999999997</v>
      </c>
      <c r="D27" s="87">
        <v>3.5</v>
      </c>
      <c r="E27" s="87"/>
      <c r="F27" s="31">
        <f t="shared" si="9"/>
        <v>23.906819110872949</v>
      </c>
      <c r="G27" s="31">
        <f t="shared" si="10"/>
        <v>59.4</v>
      </c>
      <c r="H27" s="31">
        <f t="shared" si="11"/>
        <v>83.306819110872951</v>
      </c>
      <c r="I27" s="37" t="str">
        <f t="shared" si="12"/>
        <v>OK</v>
      </c>
      <c r="J27" s="18"/>
      <c r="K27" s="18"/>
      <c r="L27" s="19"/>
      <c r="M27" s="19"/>
      <c r="N27" s="19"/>
      <c r="O27" s="19"/>
      <c r="P27" s="19"/>
    </row>
    <row r="28" spans="1:16" ht="15.6">
      <c r="A28" s="83"/>
      <c r="B28" s="15" t="s">
        <v>0</v>
      </c>
      <c r="C28" s="71">
        <v>17.45</v>
      </c>
      <c r="D28" s="87">
        <v>7.5</v>
      </c>
      <c r="E28" s="87"/>
      <c r="F28" s="31">
        <f t="shared" si="9"/>
        <v>23.906819110872949</v>
      </c>
      <c r="G28" s="31">
        <f t="shared" si="10"/>
        <v>27.720000000000002</v>
      </c>
      <c r="H28" s="31">
        <f t="shared" si="11"/>
        <v>51.626819110872951</v>
      </c>
      <c r="I28" s="37" t="str">
        <f t="shared" si="12"/>
        <v>OK</v>
      </c>
      <c r="J28" s="18"/>
      <c r="K28" s="18"/>
      <c r="L28" s="19"/>
      <c r="M28" s="19"/>
      <c r="N28" s="19"/>
      <c r="O28" s="19"/>
      <c r="P28" s="19"/>
    </row>
    <row r="29" spans="1:16" ht="15.6">
      <c r="A29" s="83"/>
      <c r="B29" s="15" t="s">
        <v>9</v>
      </c>
      <c r="C29" s="71">
        <v>39.479999999999997</v>
      </c>
      <c r="D29" s="87">
        <v>3.5</v>
      </c>
      <c r="E29" s="87"/>
      <c r="F29" s="31">
        <f t="shared" si="9"/>
        <v>23.906819110872949</v>
      </c>
      <c r="G29" s="31">
        <f t="shared" si="10"/>
        <v>59.4</v>
      </c>
      <c r="H29" s="31">
        <f t="shared" si="11"/>
        <v>83.306819110872951</v>
      </c>
      <c r="I29" s="37" t="str">
        <f t="shared" si="12"/>
        <v>OK</v>
      </c>
      <c r="J29" s="18"/>
      <c r="K29" s="18"/>
      <c r="L29" s="19"/>
      <c r="M29" s="19"/>
      <c r="N29" s="19"/>
      <c r="O29" s="19"/>
      <c r="P29" s="19"/>
    </row>
    <row r="30" spans="1:16">
      <c r="A30" s="6"/>
      <c r="B30" s="5"/>
      <c r="C30" s="5"/>
      <c r="D30" s="2"/>
      <c r="E30" s="2"/>
      <c r="F30" s="5"/>
      <c r="G30" s="5"/>
    </row>
    <row r="31" spans="1:16">
      <c r="A31" s="6"/>
      <c r="B31" s="5"/>
      <c r="C31" s="5"/>
      <c r="D31" s="2"/>
      <c r="E31" s="2"/>
      <c r="F31" s="5"/>
      <c r="G31" s="5"/>
    </row>
    <row r="32" spans="1:16">
      <c r="A32" s="6"/>
      <c r="B32" s="5"/>
      <c r="C32" s="5"/>
      <c r="D32" s="2"/>
      <c r="E32" s="2"/>
      <c r="F32" s="5"/>
      <c r="G32" s="5"/>
    </row>
    <row r="33" spans="1:7">
      <c r="A33" s="3"/>
      <c r="B33" s="7"/>
      <c r="C33" s="7"/>
      <c r="D33" s="8"/>
      <c r="E33" s="8"/>
      <c r="F33" s="7"/>
      <c r="G33" s="7"/>
    </row>
    <row r="34" spans="1:7">
      <c r="A34" s="6"/>
      <c r="B34" s="7"/>
      <c r="C34" s="7"/>
      <c r="D34" s="8"/>
      <c r="E34" s="8"/>
      <c r="F34" s="7"/>
      <c r="G34" s="7"/>
    </row>
    <row r="35" spans="1:7">
      <c r="A35" s="6"/>
      <c r="B35" s="7"/>
      <c r="C35" s="7"/>
      <c r="D35" s="8"/>
      <c r="E35" s="8"/>
      <c r="F35" s="7"/>
      <c r="G35" s="7"/>
    </row>
    <row r="36" spans="1:7">
      <c r="A36" s="6"/>
      <c r="B36" s="7"/>
      <c r="C36" s="7"/>
      <c r="D36" s="8"/>
      <c r="E36" s="8"/>
      <c r="F36" s="7"/>
      <c r="G36" s="7"/>
    </row>
    <row r="37" spans="1:7">
      <c r="A37" s="6"/>
      <c r="B37" s="7"/>
      <c r="C37" s="7"/>
      <c r="D37" s="8"/>
      <c r="E37" s="8"/>
      <c r="F37" s="7"/>
      <c r="G37" s="7"/>
    </row>
    <row r="38" spans="1:7">
      <c r="A38" s="6"/>
      <c r="B38" s="7"/>
      <c r="C38" s="7"/>
      <c r="D38" s="8"/>
      <c r="E38" s="8"/>
      <c r="F38" s="7"/>
      <c r="G38" s="7"/>
    </row>
  </sheetData>
  <mergeCells count="15">
    <mergeCell ref="A27:A29"/>
    <mergeCell ref="A1:G1"/>
    <mergeCell ref="B2:D2"/>
    <mergeCell ref="E2:G2"/>
    <mergeCell ref="J7:K9"/>
    <mergeCell ref="I3:J3"/>
    <mergeCell ref="A24:A26"/>
    <mergeCell ref="D23:E23"/>
    <mergeCell ref="D24:E24"/>
    <mergeCell ref="D25:E25"/>
    <mergeCell ref="D26:E26"/>
    <mergeCell ref="D27:E27"/>
    <mergeCell ref="D28:E28"/>
    <mergeCell ref="D29:E29"/>
    <mergeCell ref="A22:I22"/>
  </mergeCells>
  <conditionalFormatting sqref="I24:I29">
    <cfRule type="containsText" dxfId="11" priority="1" operator="containsText" text="OK">
      <formula>NOT(ISERROR(SEARCH("OK",I24)))</formula>
    </cfRule>
    <cfRule type="containsText" dxfId="10" priority="2" operator="containsText" text="NOT OK">
      <formula>NOT(ISERROR(SEARCH("NOT OK",I24)))</formula>
    </cfRule>
  </conditionalFormatting>
  <pageMargins left="0.5" right="0.25" top="0.75" bottom="0.75" header="0.3" footer="0.3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6E2D-0B6F-4B06-A452-77A05A56C205}">
  <sheetPr>
    <pageSetUpPr fitToPage="1"/>
  </sheetPr>
  <dimension ref="A1:N45"/>
  <sheetViews>
    <sheetView topLeftCell="A30" workbookViewId="0">
      <selection activeCell="L37" sqref="L37"/>
    </sheetView>
  </sheetViews>
  <sheetFormatPr defaultRowHeight="14.4"/>
  <cols>
    <col min="1" max="1" width="12.77734375" customWidth="1"/>
    <col min="2" max="2" width="12.5546875" customWidth="1"/>
    <col min="3" max="3" width="15.77734375" customWidth="1"/>
    <col min="4" max="4" width="15.6640625" customWidth="1"/>
    <col min="5" max="5" width="16.21875" customWidth="1"/>
    <col min="6" max="6" width="16" customWidth="1"/>
    <col min="7" max="7" width="13.6640625" customWidth="1"/>
    <col min="8" max="8" width="13" customWidth="1"/>
    <col min="9" max="9" width="13.21875" customWidth="1"/>
    <col min="10" max="10" width="12.6640625" customWidth="1"/>
    <col min="11" max="11" width="6.88671875" customWidth="1"/>
    <col min="12" max="12" width="15.44140625" customWidth="1"/>
    <col min="13" max="13" width="16.33203125" customWidth="1"/>
  </cols>
  <sheetData>
    <row r="1" spans="1:14" ht="20.399999999999999" customHeight="1">
      <c r="A1" s="88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19"/>
      <c r="L1" s="15" t="s">
        <v>47</v>
      </c>
      <c r="M1" s="15" t="s">
        <v>48</v>
      </c>
      <c r="N1" s="19"/>
    </row>
    <row r="2" spans="1:14" ht="20.399999999999999" customHeight="1">
      <c r="A2" s="89" t="s">
        <v>49</v>
      </c>
      <c r="B2" s="90" t="s">
        <v>50</v>
      </c>
      <c r="C2" s="91"/>
      <c r="D2" s="91"/>
      <c r="E2" s="91"/>
      <c r="F2" s="91"/>
      <c r="G2" s="91"/>
      <c r="H2" s="91"/>
      <c r="I2" s="91"/>
      <c r="J2" s="91"/>
      <c r="K2" s="19"/>
      <c r="L2" s="15" t="s">
        <v>51</v>
      </c>
      <c r="M2" s="73">
        <v>12</v>
      </c>
      <c r="N2" s="19"/>
    </row>
    <row r="3" spans="1:14" ht="19.2" customHeight="1">
      <c r="A3" s="89"/>
      <c r="B3" s="27" t="s">
        <v>77</v>
      </c>
      <c r="C3" s="27" t="s">
        <v>78</v>
      </c>
      <c r="D3" s="27" t="s">
        <v>79</v>
      </c>
      <c r="E3" s="27" t="s">
        <v>80</v>
      </c>
      <c r="F3" s="27" t="s">
        <v>81</v>
      </c>
      <c r="G3" s="27" t="s">
        <v>82</v>
      </c>
      <c r="H3" s="27" t="s">
        <v>83</v>
      </c>
      <c r="I3" s="27" t="s">
        <v>84</v>
      </c>
      <c r="J3" s="27" t="s">
        <v>85</v>
      </c>
      <c r="K3" s="19"/>
      <c r="L3" s="28" t="s">
        <v>52</v>
      </c>
      <c r="M3" s="73">
        <v>12</v>
      </c>
      <c r="N3" s="19"/>
    </row>
    <row r="4" spans="1:14" ht="15.6">
      <c r="A4" s="28" t="s">
        <v>53</v>
      </c>
      <c r="B4" s="71">
        <v>-189.88</v>
      </c>
      <c r="C4" s="71">
        <v>-164.75</v>
      </c>
      <c r="D4" s="71">
        <v>-190.16</v>
      </c>
      <c r="E4" s="71">
        <v>-190.91</v>
      </c>
      <c r="F4" s="71">
        <v>-164</v>
      </c>
      <c r="G4" s="71">
        <v>-134.19999999999999</v>
      </c>
      <c r="H4" s="71">
        <v>-220.71</v>
      </c>
      <c r="I4" s="71">
        <v>-218.41</v>
      </c>
      <c r="J4" s="71">
        <v>-136.5</v>
      </c>
      <c r="K4" s="19"/>
      <c r="L4" s="15" t="s">
        <v>54</v>
      </c>
      <c r="M4" s="13">
        <f>M2*M3</f>
        <v>144</v>
      </c>
      <c r="N4" s="19"/>
    </row>
    <row r="5" spans="1:14" ht="15.6">
      <c r="A5" s="28" t="s">
        <v>55</v>
      </c>
      <c r="B5" s="72">
        <v>-16.93</v>
      </c>
      <c r="C5" s="72">
        <v>-16.783000000000001</v>
      </c>
      <c r="D5" s="72">
        <v>-14.664</v>
      </c>
      <c r="E5" s="72">
        <v>-44.744</v>
      </c>
      <c r="F5" s="72">
        <v>13.295999999999999</v>
      </c>
      <c r="G5" s="72">
        <v>-18.722000000000001</v>
      </c>
      <c r="H5" s="72">
        <v>-12.726000000000001</v>
      </c>
      <c r="I5" s="72">
        <v>-87.194999999999993</v>
      </c>
      <c r="J5" s="72">
        <v>55.747999999999998</v>
      </c>
      <c r="K5" s="19"/>
      <c r="L5" s="15" t="s">
        <v>56</v>
      </c>
      <c r="M5" s="13">
        <f>B11*M4</f>
        <v>1.44</v>
      </c>
      <c r="N5" s="19"/>
    </row>
    <row r="6" spans="1:14" ht="15.6">
      <c r="A6" s="28" t="s">
        <v>57</v>
      </c>
      <c r="B6" s="72">
        <v>10.451000000000001</v>
      </c>
      <c r="C6" s="72">
        <v>-14.445</v>
      </c>
      <c r="D6" s="72">
        <v>33.906999999999996</v>
      </c>
      <c r="E6" s="72">
        <v>8.7889999999999997</v>
      </c>
      <c r="F6" s="72">
        <v>10.672000000000001</v>
      </c>
      <c r="G6" s="72">
        <v>-56.77</v>
      </c>
      <c r="H6" s="72">
        <v>76.231999999999999</v>
      </c>
      <c r="I6" s="72">
        <v>7.2709999999999999</v>
      </c>
      <c r="J6" s="72">
        <v>12.19</v>
      </c>
      <c r="K6" s="19"/>
      <c r="L6" s="15" t="s">
        <v>61</v>
      </c>
      <c r="M6" s="74" t="s">
        <v>62</v>
      </c>
      <c r="N6" s="19"/>
    </row>
    <row r="7" spans="1:14" ht="18">
      <c r="A7" s="28" t="s">
        <v>64</v>
      </c>
      <c r="B7" s="30">
        <f t="shared" ref="B7:J7" si="0">ABS(B6*12/B4)</f>
        <v>0.66048030334948393</v>
      </c>
      <c r="C7" s="30">
        <f t="shared" si="0"/>
        <v>1.0521396054628225</v>
      </c>
      <c r="D7" s="30">
        <f t="shared" si="0"/>
        <v>2.1396928901977281</v>
      </c>
      <c r="E7" s="30">
        <f t="shared" si="0"/>
        <v>0.55244879786286727</v>
      </c>
      <c r="F7" s="30">
        <f t="shared" si="0"/>
        <v>0.78087804878048794</v>
      </c>
      <c r="G7" s="30">
        <f t="shared" si="0"/>
        <v>5.0763040238450081</v>
      </c>
      <c r="H7" s="30">
        <f t="shared" si="0"/>
        <v>4.1447329074350954</v>
      </c>
      <c r="I7" s="30">
        <f t="shared" si="0"/>
        <v>0.3994872029668971</v>
      </c>
      <c r="J7" s="30">
        <f t="shared" si="0"/>
        <v>1.0716483516483517</v>
      </c>
      <c r="K7" s="19"/>
      <c r="L7" s="34" t="s">
        <v>87</v>
      </c>
      <c r="M7" s="31">
        <f>(M2-5)/M2</f>
        <v>0.58333333333333337</v>
      </c>
      <c r="N7" s="19"/>
    </row>
    <row r="8" spans="1:14" ht="18">
      <c r="A8" s="28" t="s">
        <v>65</v>
      </c>
      <c r="B8" s="30">
        <f t="shared" ref="B8:J8" si="1">ABS(B5*12/B4)</f>
        <v>1.0699389087844955</v>
      </c>
      <c r="C8" s="30">
        <f t="shared" si="1"/>
        <v>1.2224339908952959</v>
      </c>
      <c r="D8" s="30">
        <f t="shared" si="1"/>
        <v>0.92536811106436678</v>
      </c>
      <c r="E8" s="30">
        <f t="shared" si="1"/>
        <v>2.8124666073018698</v>
      </c>
      <c r="F8" s="30">
        <f t="shared" si="1"/>
        <v>0.97287804878048778</v>
      </c>
      <c r="G8" s="30">
        <f t="shared" si="1"/>
        <v>1.674098360655738</v>
      </c>
      <c r="H8" s="30">
        <f t="shared" si="1"/>
        <v>0.69191246431969555</v>
      </c>
      <c r="I8" s="30">
        <f t="shared" si="1"/>
        <v>4.7907147108648864</v>
      </c>
      <c r="J8" s="30">
        <f t="shared" si="1"/>
        <v>4.9009230769230765</v>
      </c>
      <c r="K8" s="19"/>
      <c r="L8" s="15" t="s">
        <v>58</v>
      </c>
      <c r="M8" s="73">
        <v>4.5</v>
      </c>
      <c r="N8" s="19"/>
    </row>
    <row r="9" spans="1:14" ht="18">
      <c r="A9" s="28" t="s">
        <v>66</v>
      </c>
      <c r="B9" s="30">
        <f>B7/$M$2</f>
        <v>5.5040025279123661E-2</v>
      </c>
      <c r="C9" s="30">
        <f t="shared" ref="C9:J9" si="2">C7/$M$2</f>
        <v>8.7678300455235211E-2</v>
      </c>
      <c r="D9" s="30">
        <f t="shared" si="2"/>
        <v>0.17830774084981069</v>
      </c>
      <c r="E9" s="30">
        <f t="shared" si="2"/>
        <v>4.6037399821905606E-2</v>
      </c>
      <c r="F9" s="30">
        <f t="shared" si="2"/>
        <v>6.5073170731707333E-2</v>
      </c>
      <c r="G9" s="30">
        <f t="shared" si="2"/>
        <v>0.42302533532041736</v>
      </c>
      <c r="H9" s="30">
        <f t="shared" si="2"/>
        <v>0.34539440895292461</v>
      </c>
      <c r="I9" s="30">
        <f t="shared" si="2"/>
        <v>3.3290600247241425E-2</v>
      </c>
      <c r="J9" s="30">
        <f t="shared" si="2"/>
        <v>8.9304029304029309E-2</v>
      </c>
      <c r="K9" s="19"/>
      <c r="L9" s="15" t="s">
        <v>59</v>
      </c>
      <c r="M9" s="73">
        <v>60</v>
      </c>
      <c r="N9" s="19"/>
    </row>
    <row r="10" spans="1:14" ht="18">
      <c r="A10" s="28" t="s">
        <v>67</v>
      </c>
      <c r="B10" s="30">
        <f>B8/$M$3</f>
        <v>8.9161575732041295E-2</v>
      </c>
      <c r="C10" s="30">
        <f t="shared" ref="C10:J10" si="3">C8/$M$3</f>
        <v>0.10186949924127466</v>
      </c>
      <c r="D10" s="30">
        <f t="shared" si="3"/>
        <v>7.7114009255363894E-2</v>
      </c>
      <c r="E10" s="30">
        <f t="shared" si="3"/>
        <v>0.23437221727515581</v>
      </c>
      <c r="F10" s="30">
        <f t="shared" si="3"/>
        <v>8.107317073170732E-2</v>
      </c>
      <c r="G10" s="30">
        <f t="shared" si="3"/>
        <v>0.13950819672131151</v>
      </c>
      <c r="H10" s="30">
        <f t="shared" si="3"/>
        <v>5.7659372026641294E-2</v>
      </c>
      <c r="I10" s="30">
        <f t="shared" si="3"/>
        <v>0.39922622590540718</v>
      </c>
      <c r="J10" s="30">
        <f t="shared" si="3"/>
        <v>0.40841025641025636</v>
      </c>
      <c r="K10" s="19"/>
      <c r="L10" s="19"/>
      <c r="M10" s="19"/>
      <c r="N10" s="19"/>
    </row>
    <row r="11" spans="1:14" ht="18">
      <c r="A11" s="28" t="s">
        <v>68</v>
      </c>
      <c r="B11" s="73">
        <v>0.01</v>
      </c>
      <c r="C11" s="73">
        <f>B11</f>
        <v>0.01</v>
      </c>
      <c r="D11" s="73">
        <f>C11</f>
        <v>0.01</v>
      </c>
      <c r="E11" s="73">
        <f>D11</f>
        <v>0.01</v>
      </c>
      <c r="F11" s="73">
        <v>0.01</v>
      </c>
      <c r="G11" s="73">
        <f>F11</f>
        <v>0.01</v>
      </c>
      <c r="H11" s="73">
        <f>G11</f>
        <v>0.01</v>
      </c>
      <c r="I11" s="73">
        <f>H11</f>
        <v>0.01</v>
      </c>
      <c r="J11" s="73">
        <f>I11</f>
        <v>0.01</v>
      </c>
      <c r="K11" s="19"/>
      <c r="L11" s="19"/>
      <c r="M11" s="19"/>
      <c r="N11" s="19"/>
    </row>
    <row r="12" spans="1:14" ht="18">
      <c r="A12" s="28" t="s">
        <v>69</v>
      </c>
      <c r="B12" s="72">
        <v>0.80900000000000005</v>
      </c>
      <c r="C12" s="72">
        <v>0.77400000000000002</v>
      </c>
      <c r="D12" s="72">
        <v>0.83199999999999996</v>
      </c>
      <c r="E12" s="72">
        <v>0.53800000000000003</v>
      </c>
      <c r="F12" s="72">
        <v>0.83199999999999996</v>
      </c>
      <c r="G12" s="72">
        <v>0.70799999999999996</v>
      </c>
      <c r="H12" s="72">
        <v>0.85599999999999998</v>
      </c>
      <c r="I12" s="72">
        <v>0.318</v>
      </c>
      <c r="J12" s="72">
        <v>0.30499999999999999</v>
      </c>
      <c r="K12" s="19"/>
      <c r="L12" s="19"/>
      <c r="M12" s="19"/>
      <c r="N12" s="19"/>
    </row>
    <row r="13" spans="1:14" ht="18">
      <c r="A13" s="28" t="s">
        <v>70</v>
      </c>
      <c r="B13" s="72">
        <v>0.85599999999999998</v>
      </c>
      <c r="C13" s="72">
        <v>0.80900000000000005</v>
      </c>
      <c r="D13" s="72">
        <v>0.64200000000000002</v>
      </c>
      <c r="E13" s="72">
        <v>0.89600000000000002</v>
      </c>
      <c r="F13" s="72">
        <v>0.85899999999999999</v>
      </c>
      <c r="G13" s="72">
        <v>0.30599999999999999</v>
      </c>
      <c r="H13" s="72">
        <v>0.36399999999999999</v>
      </c>
      <c r="I13" s="72">
        <v>0.92200000000000004</v>
      </c>
      <c r="J13" s="72">
        <v>0.80900000000000005</v>
      </c>
      <c r="K13" s="19"/>
      <c r="L13" s="19"/>
      <c r="M13" s="19"/>
      <c r="N13" s="19"/>
    </row>
    <row r="14" spans="1:14" ht="18">
      <c r="A14" s="28" t="s">
        <v>71</v>
      </c>
      <c r="B14" s="73">
        <v>0.99</v>
      </c>
      <c r="C14" s="73">
        <v>0.99</v>
      </c>
      <c r="D14" s="73">
        <v>0.99</v>
      </c>
      <c r="E14" s="73">
        <v>0.99</v>
      </c>
      <c r="F14" s="73">
        <v>0.99</v>
      </c>
      <c r="G14" s="73">
        <v>0.99</v>
      </c>
      <c r="H14" s="73">
        <v>0.99</v>
      </c>
      <c r="I14" s="73">
        <v>0.99</v>
      </c>
      <c r="J14" s="73">
        <v>0.99</v>
      </c>
      <c r="K14" s="19"/>
      <c r="L14" s="19"/>
      <c r="M14" s="19"/>
      <c r="N14" s="19"/>
    </row>
    <row r="15" spans="1:14" ht="18">
      <c r="A15" s="28" t="s">
        <v>72</v>
      </c>
      <c r="B15" s="35">
        <f t="shared" ref="B15:J15" si="4">B12*$M$8*$M$4</f>
        <v>524.23200000000008</v>
      </c>
      <c r="C15" s="35">
        <f t="shared" si="4"/>
        <v>501.55200000000002</v>
      </c>
      <c r="D15" s="35">
        <f t="shared" si="4"/>
        <v>539.13599999999997</v>
      </c>
      <c r="E15" s="35">
        <f t="shared" si="4"/>
        <v>348.62400000000002</v>
      </c>
      <c r="F15" s="35">
        <f t="shared" si="4"/>
        <v>539.13599999999997</v>
      </c>
      <c r="G15" s="35">
        <f t="shared" si="4"/>
        <v>458.78399999999999</v>
      </c>
      <c r="H15" s="35">
        <f t="shared" si="4"/>
        <v>554.68799999999999</v>
      </c>
      <c r="I15" s="35">
        <f t="shared" si="4"/>
        <v>206.06400000000002</v>
      </c>
      <c r="J15" s="35">
        <f t="shared" si="4"/>
        <v>197.64000000000001</v>
      </c>
      <c r="K15" s="19"/>
      <c r="L15" s="19"/>
      <c r="M15" s="19"/>
      <c r="N15" s="19"/>
    </row>
    <row r="16" spans="1:14" ht="18">
      <c r="A16" s="28" t="s">
        <v>73</v>
      </c>
      <c r="B16" s="35">
        <f t="shared" ref="B16:J16" si="5">B13*$M$8*$M$4</f>
        <v>554.68799999999999</v>
      </c>
      <c r="C16" s="35">
        <f t="shared" si="5"/>
        <v>524.23200000000008</v>
      </c>
      <c r="D16" s="35">
        <f t="shared" si="5"/>
        <v>416.01600000000002</v>
      </c>
      <c r="E16" s="35">
        <f t="shared" si="5"/>
        <v>580.60799999999995</v>
      </c>
      <c r="F16" s="35">
        <f t="shared" si="5"/>
        <v>556.63199999999995</v>
      </c>
      <c r="G16" s="35">
        <f t="shared" si="5"/>
        <v>198.28800000000001</v>
      </c>
      <c r="H16" s="35">
        <f t="shared" si="5"/>
        <v>235.87199999999999</v>
      </c>
      <c r="I16" s="35">
        <f t="shared" si="5"/>
        <v>597.45600000000002</v>
      </c>
      <c r="J16" s="35">
        <f t="shared" si="5"/>
        <v>524.23200000000008</v>
      </c>
      <c r="K16" s="19"/>
      <c r="L16" s="19"/>
      <c r="M16" s="19"/>
      <c r="N16" s="19"/>
    </row>
    <row r="17" spans="1:14" ht="18">
      <c r="A17" s="28" t="s">
        <v>74</v>
      </c>
      <c r="B17" s="35">
        <f t="shared" ref="B17:J17" si="6">B14*$M$8*$M$4</f>
        <v>641.52</v>
      </c>
      <c r="C17" s="35">
        <f t="shared" si="6"/>
        <v>641.52</v>
      </c>
      <c r="D17" s="35">
        <f t="shared" si="6"/>
        <v>641.52</v>
      </c>
      <c r="E17" s="35">
        <f t="shared" si="6"/>
        <v>641.52</v>
      </c>
      <c r="F17" s="35">
        <f t="shared" si="6"/>
        <v>641.52</v>
      </c>
      <c r="G17" s="35">
        <f t="shared" si="6"/>
        <v>641.52</v>
      </c>
      <c r="H17" s="35">
        <f t="shared" si="6"/>
        <v>641.52</v>
      </c>
      <c r="I17" s="35">
        <f t="shared" si="6"/>
        <v>641.52</v>
      </c>
      <c r="J17" s="35">
        <f t="shared" si="6"/>
        <v>641.52</v>
      </c>
      <c r="K17" s="19"/>
      <c r="L17" s="19"/>
      <c r="M17" s="19"/>
      <c r="N17" s="19"/>
    </row>
    <row r="18" spans="1:14" ht="18">
      <c r="A18" s="28" t="s">
        <v>75</v>
      </c>
      <c r="B18" s="30">
        <f>1/(1/B15+1/B16-1/B17)</f>
        <v>464.77692649234308</v>
      </c>
      <c r="C18" s="30">
        <f t="shared" ref="C18:J18" si="7">1/(1/C15+1/C16-1/C17)</f>
        <v>426.88236428325501</v>
      </c>
      <c r="D18" s="30">
        <f t="shared" si="7"/>
        <v>370.40118091136679</v>
      </c>
      <c r="E18" s="30">
        <f t="shared" si="7"/>
        <v>329.82025929702263</v>
      </c>
      <c r="F18" s="30">
        <f t="shared" si="7"/>
        <v>477.88794036285105</v>
      </c>
      <c r="G18" s="30">
        <f t="shared" si="7"/>
        <v>176.55221841130469</v>
      </c>
      <c r="H18" s="30">
        <f t="shared" si="7"/>
        <v>223.03481267908629</v>
      </c>
      <c r="I18" s="30">
        <f t="shared" si="7"/>
        <v>201.29526192096785</v>
      </c>
      <c r="J18" s="30">
        <f t="shared" si="7"/>
        <v>184.8955483784305</v>
      </c>
      <c r="K18" s="19"/>
      <c r="L18" s="19"/>
      <c r="M18" s="19"/>
      <c r="N18" s="19"/>
    </row>
    <row r="19" spans="1:14" ht="15.6">
      <c r="A19" s="28" t="s">
        <v>63</v>
      </c>
      <c r="B19" s="30">
        <f t="shared" ref="B19:J19" si="8">0.65*B18</f>
        <v>302.10500222002304</v>
      </c>
      <c r="C19" s="30">
        <f t="shared" si="8"/>
        <v>277.47353678411577</v>
      </c>
      <c r="D19" s="30">
        <f t="shared" si="8"/>
        <v>240.76076759238842</v>
      </c>
      <c r="E19" s="30">
        <f t="shared" si="8"/>
        <v>214.38316854306473</v>
      </c>
      <c r="F19" s="30">
        <f t="shared" si="8"/>
        <v>310.62716123585318</v>
      </c>
      <c r="G19" s="30">
        <f t="shared" si="8"/>
        <v>114.75894196734805</v>
      </c>
      <c r="H19" s="30">
        <f t="shared" si="8"/>
        <v>144.97262824140608</v>
      </c>
      <c r="I19" s="30">
        <f t="shared" si="8"/>
        <v>130.84192024862909</v>
      </c>
      <c r="J19" s="30">
        <f t="shared" si="8"/>
        <v>120.18210644597983</v>
      </c>
      <c r="K19" s="19"/>
      <c r="L19" s="19"/>
      <c r="M19" s="19"/>
      <c r="N19" s="19"/>
    </row>
    <row r="20" spans="1:14" ht="18">
      <c r="A20" s="28" t="s">
        <v>76</v>
      </c>
      <c r="B20" s="28" t="str">
        <f t="shared" ref="B20:J20" si="9">IF(B19&gt;ABS(B4),"OK","NOT OK")</f>
        <v>OK</v>
      </c>
      <c r="C20" s="28" t="str">
        <f t="shared" si="9"/>
        <v>OK</v>
      </c>
      <c r="D20" s="28" t="str">
        <f t="shared" si="9"/>
        <v>OK</v>
      </c>
      <c r="E20" s="28" t="str">
        <f t="shared" si="9"/>
        <v>OK</v>
      </c>
      <c r="F20" s="28" t="str">
        <f t="shared" si="9"/>
        <v>OK</v>
      </c>
      <c r="G20" s="28" t="str">
        <f t="shared" si="9"/>
        <v>NOT OK</v>
      </c>
      <c r="H20" s="28" t="str">
        <f t="shared" si="9"/>
        <v>NOT OK</v>
      </c>
      <c r="I20" s="28" t="str">
        <f t="shared" si="9"/>
        <v>NOT OK</v>
      </c>
      <c r="J20" s="28" t="str">
        <f t="shared" si="9"/>
        <v>NOT OK</v>
      </c>
      <c r="K20" s="19"/>
      <c r="L20" s="19"/>
      <c r="M20" s="19"/>
      <c r="N20" s="19"/>
    </row>
    <row r="21" spans="1:14" ht="15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6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8.4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  <c r="N23" s="19"/>
    </row>
    <row r="24" spans="1:14" ht="20.399999999999999" customHeight="1">
      <c r="A24" s="83" t="s">
        <v>60</v>
      </c>
      <c r="B24" s="83"/>
      <c r="C24" s="83"/>
      <c r="D24" s="83"/>
      <c r="E24" s="83"/>
      <c r="F24" s="83"/>
      <c r="G24" s="83"/>
      <c r="H24" s="83"/>
      <c r="I24" s="83"/>
      <c r="J24" s="83"/>
      <c r="K24" s="19"/>
      <c r="L24" s="33" t="s">
        <v>47</v>
      </c>
      <c r="M24" s="33" t="s">
        <v>86</v>
      </c>
      <c r="N24" s="19"/>
    </row>
    <row r="25" spans="1:14" ht="17.399999999999999" customHeight="1">
      <c r="A25" s="89" t="s">
        <v>49</v>
      </c>
      <c r="B25" s="92" t="s">
        <v>50</v>
      </c>
      <c r="C25" s="93"/>
      <c r="D25" s="93"/>
      <c r="E25" s="93"/>
      <c r="F25" s="93"/>
      <c r="G25" s="93"/>
      <c r="H25" s="93"/>
      <c r="I25" s="93"/>
      <c r="J25" s="93"/>
      <c r="K25" s="19"/>
      <c r="L25" s="33" t="s">
        <v>51</v>
      </c>
      <c r="M25" s="74">
        <v>14</v>
      </c>
      <c r="N25" s="19"/>
    </row>
    <row r="26" spans="1:14" ht="18" customHeight="1">
      <c r="A26" s="89"/>
      <c r="B26" s="27" t="s">
        <v>77</v>
      </c>
      <c r="C26" s="27" t="s">
        <v>78</v>
      </c>
      <c r="D26" s="27" t="s">
        <v>79</v>
      </c>
      <c r="E26" s="27" t="s">
        <v>80</v>
      </c>
      <c r="F26" s="27" t="s">
        <v>81</v>
      </c>
      <c r="G26" s="27" t="s">
        <v>82</v>
      </c>
      <c r="H26" s="27" t="s">
        <v>83</v>
      </c>
      <c r="I26" s="27" t="s">
        <v>84</v>
      </c>
      <c r="J26" s="27" t="s">
        <v>85</v>
      </c>
      <c r="K26" s="19"/>
      <c r="L26" s="27" t="s">
        <v>52</v>
      </c>
      <c r="M26" s="74">
        <v>14</v>
      </c>
      <c r="N26" s="19"/>
    </row>
    <row r="27" spans="1:14" ht="15.6">
      <c r="A27" s="28" t="s">
        <v>53</v>
      </c>
      <c r="B27" s="71">
        <v>-564.86</v>
      </c>
      <c r="C27" s="71">
        <v>-495.2</v>
      </c>
      <c r="D27" s="71">
        <v>-542</v>
      </c>
      <c r="E27" s="71">
        <v>-528.38</v>
      </c>
      <c r="F27" s="71">
        <v>-508.83</v>
      </c>
      <c r="G27" s="71">
        <v>-440.18</v>
      </c>
      <c r="H27" s="71">
        <v>-597.03</v>
      </c>
      <c r="I27" s="71">
        <v>-548.22</v>
      </c>
      <c r="J27" s="71">
        <v>-488.99</v>
      </c>
      <c r="K27" s="19"/>
      <c r="L27" s="33" t="s">
        <v>54</v>
      </c>
      <c r="M27" s="29">
        <f>M25*M26</f>
        <v>196</v>
      </c>
      <c r="N27" s="19"/>
    </row>
    <row r="28" spans="1:14" ht="15.6">
      <c r="A28" s="28" t="s">
        <v>55</v>
      </c>
      <c r="B28" s="72">
        <v>15.169</v>
      </c>
      <c r="C28" s="72">
        <v>13.409000000000001</v>
      </c>
      <c r="D28" s="72">
        <v>14.313000000000001</v>
      </c>
      <c r="E28" s="72">
        <v>-49.555</v>
      </c>
      <c r="F28" s="72">
        <v>77.278000000000006</v>
      </c>
      <c r="G28" s="72">
        <v>12.704000000000001</v>
      </c>
      <c r="H28" s="72">
        <v>15.019</v>
      </c>
      <c r="I28" s="72">
        <v>-140.58099999999999</v>
      </c>
      <c r="J28" s="72">
        <v>168.303</v>
      </c>
      <c r="K28" s="19"/>
      <c r="L28" s="33" t="s">
        <v>56</v>
      </c>
      <c r="M28" s="29">
        <f>B34*M27</f>
        <v>3.92</v>
      </c>
      <c r="N28" s="19"/>
    </row>
    <row r="29" spans="1:14" ht="15.6">
      <c r="A29" s="28" t="s">
        <v>57</v>
      </c>
      <c r="B29" s="72">
        <v>-13.747999999999999</v>
      </c>
      <c r="C29" s="72">
        <v>-68.347999999999999</v>
      </c>
      <c r="D29" s="72">
        <v>42.991999999999997</v>
      </c>
      <c r="E29" s="72">
        <v>-12.577</v>
      </c>
      <c r="F29" s="72">
        <v>-12.779</v>
      </c>
      <c r="G29" s="72">
        <v>-162.56200000000001</v>
      </c>
      <c r="H29" s="72">
        <v>137.20599999999999</v>
      </c>
      <c r="I29" s="72">
        <v>-12.327999999999999</v>
      </c>
      <c r="J29" s="72">
        <v>-13.029</v>
      </c>
      <c r="K29" s="19"/>
      <c r="L29" s="15" t="s">
        <v>61</v>
      </c>
      <c r="M29" s="74" t="s">
        <v>62</v>
      </c>
      <c r="N29" s="19"/>
    </row>
    <row r="30" spans="1:14" ht="18">
      <c r="A30" s="28" t="s">
        <v>64</v>
      </c>
      <c r="B30" s="30">
        <f t="shared" ref="B30:J30" si="10">ABS(B29*12/B27)</f>
        <v>0.29206529051446373</v>
      </c>
      <c r="C30" s="30">
        <f t="shared" si="10"/>
        <v>1.6562520193861066</v>
      </c>
      <c r="D30" s="30">
        <f t="shared" si="10"/>
        <v>0.95185239852398529</v>
      </c>
      <c r="E30" s="30">
        <f t="shared" si="10"/>
        <v>0.28563533820356563</v>
      </c>
      <c r="F30" s="30">
        <f t="shared" si="10"/>
        <v>0.30137373975591064</v>
      </c>
      <c r="G30" s="30">
        <f t="shared" si="10"/>
        <v>4.431696124312781</v>
      </c>
      <c r="H30" s="30">
        <f t="shared" si="10"/>
        <v>2.7577709662831009</v>
      </c>
      <c r="I30" s="30">
        <f t="shared" si="10"/>
        <v>0.26984787129254673</v>
      </c>
      <c r="J30" s="30">
        <f t="shared" si="10"/>
        <v>0.31973659993046893</v>
      </c>
      <c r="K30" s="19"/>
      <c r="L30" s="34" t="s">
        <v>87</v>
      </c>
      <c r="M30" s="38">
        <f>(M25-5)/M25</f>
        <v>0.6428571428571429</v>
      </c>
      <c r="N30" s="19"/>
    </row>
    <row r="31" spans="1:14" ht="18">
      <c r="A31" s="28" t="s">
        <v>65</v>
      </c>
      <c r="B31" s="30">
        <f t="shared" ref="B31:J31" si="11">ABS(B28*12/B27)</f>
        <v>0.32225330170307692</v>
      </c>
      <c r="C31" s="30">
        <f t="shared" si="11"/>
        <v>0.32493537964458807</v>
      </c>
      <c r="D31" s="30">
        <f t="shared" si="11"/>
        <v>0.31689298892988932</v>
      </c>
      <c r="E31" s="30">
        <f t="shared" si="11"/>
        <v>1.1254400242249896</v>
      </c>
      <c r="F31" s="30">
        <f t="shared" si="11"/>
        <v>1.8224868816697128</v>
      </c>
      <c r="G31" s="30">
        <f t="shared" si="11"/>
        <v>0.34633104639011314</v>
      </c>
      <c r="H31" s="30">
        <f t="shared" si="11"/>
        <v>0.30187427767448877</v>
      </c>
      <c r="I31" s="30">
        <f t="shared" si="11"/>
        <v>3.0771806938820174</v>
      </c>
      <c r="J31" s="30">
        <f t="shared" si="11"/>
        <v>4.1302194318902226</v>
      </c>
      <c r="K31" s="19"/>
      <c r="L31" s="33" t="s">
        <v>58</v>
      </c>
      <c r="M31" s="74">
        <v>4.5</v>
      </c>
      <c r="N31" s="19"/>
    </row>
    <row r="32" spans="1:14" ht="18">
      <c r="A32" s="28" t="s">
        <v>66</v>
      </c>
      <c r="B32" s="30">
        <f>B30/$M$25</f>
        <v>2.0861806465318839E-2</v>
      </c>
      <c r="C32" s="30">
        <f t="shared" ref="C32:J32" si="12">C30/$M$25</f>
        <v>0.11830371567043618</v>
      </c>
      <c r="D32" s="30">
        <f t="shared" si="12"/>
        <v>6.7989457037427523E-2</v>
      </c>
      <c r="E32" s="30">
        <f t="shared" si="12"/>
        <v>2.0402524157397545E-2</v>
      </c>
      <c r="F32" s="30">
        <f t="shared" si="12"/>
        <v>2.152669569685076E-2</v>
      </c>
      <c r="G32" s="30">
        <f t="shared" si="12"/>
        <v>0.31654972316519864</v>
      </c>
      <c r="H32" s="30">
        <f t="shared" si="12"/>
        <v>0.19698364044879293</v>
      </c>
      <c r="I32" s="30">
        <f t="shared" si="12"/>
        <v>1.9274847949467624E-2</v>
      </c>
      <c r="J32" s="30">
        <f t="shared" si="12"/>
        <v>2.2838328566462066E-2</v>
      </c>
      <c r="K32" s="19"/>
      <c r="L32" s="33" t="s">
        <v>59</v>
      </c>
      <c r="M32" s="74">
        <v>50</v>
      </c>
      <c r="N32" s="19"/>
    </row>
    <row r="33" spans="1:14" ht="18">
      <c r="A33" s="28" t="s">
        <v>67</v>
      </c>
      <c r="B33" s="30">
        <f>B31/$M$26</f>
        <v>2.3018092978791208E-2</v>
      </c>
      <c r="C33" s="30">
        <f t="shared" ref="C33:J33" si="13">C31/$M$26</f>
        <v>2.3209669974613434E-2</v>
      </c>
      <c r="D33" s="30">
        <f t="shared" si="13"/>
        <v>2.2635213494992094E-2</v>
      </c>
      <c r="E33" s="30">
        <f t="shared" si="13"/>
        <v>8.038857315892782E-2</v>
      </c>
      <c r="F33" s="30">
        <f t="shared" si="13"/>
        <v>0.13017763440497948</v>
      </c>
      <c r="G33" s="30">
        <f t="shared" si="13"/>
        <v>2.4737931885008082E-2</v>
      </c>
      <c r="H33" s="30">
        <f t="shared" si="13"/>
        <v>2.1562448405320626E-2</v>
      </c>
      <c r="I33" s="30">
        <f t="shared" si="13"/>
        <v>0.21979862099157269</v>
      </c>
      <c r="J33" s="30">
        <f t="shared" si="13"/>
        <v>0.29501567370644449</v>
      </c>
      <c r="K33" s="19"/>
      <c r="L33" s="19"/>
      <c r="M33" s="19"/>
      <c r="N33" s="19"/>
    </row>
    <row r="34" spans="1:14" ht="18">
      <c r="A34" s="15" t="s">
        <v>68</v>
      </c>
      <c r="B34" s="73">
        <v>0.02</v>
      </c>
      <c r="C34" s="73">
        <v>0.02</v>
      </c>
      <c r="D34" s="73">
        <v>0.02</v>
      </c>
      <c r="E34" s="73">
        <v>0.02</v>
      </c>
      <c r="F34" s="73">
        <v>0.02</v>
      </c>
      <c r="G34" s="73">
        <v>0.02</v>
      </c>
      <c r="H34" s="73">
        <v>0.02</v>
      </c>
      <c r="I34" s="73">
        <v>0.02</v>
      </c>
      <c r="J34" s="73">
        <v>0.02</v>
      </c>
      <c r="K34" s="19"/>
      <c r="L34" s="19"/>
      <c r="M34" s="19"/>
      <c r="N34" s="19"/>
    </row>
    <row r="35" spans="1:14" ht="18">
      <c r="A35" s="28" t="s">
        <v>69</v>
      </c>
      <c r="B35" s="73">
        <v>1.0660000000000001</v>
      </c>
      <c r="C35" s="73">
        <v>1.0660000000000001</v>
      </c>
      <c r="D35" s="73">
        <v>1.0660000000000001</v>
      </c>
      <c r="E35" s="73">
        <v>0.93400000000000005</v>
      </c>
      <c r="F35" s="73">
        <v>0.80800000000000005</v>
      </c>
      <c r="G35" s="73">
        <v>1.0660000000000001</v>
      </c>
      <c r="H35" s="73">
        <v>1.0660000000000001</v>
      </c>
      <c r="I35" s="73">
        <v>0.628</v>
      </c>
      <c r="J35" s="73">
        <v>0.51200000000000001</v>
      </c>
      <c r="K35" s="19"/>
      <c r="L35" s="19"/>
      <c r="M35" s="19"/>
      <c r="N35" s="19"/>
    </row>
    <row r="36" spans="1:14" ht="18">
      <c r="A36" s="28" t="s">
        <v>70</v>
      </c>
      <c r="B36" s="73">
        <v>1.0660000000000001</v>
      </c>
      <c r="C36" s="73">
        <v>0.83799999999999997</v>
      </c>
      <c r="D36" s="73">
        <v>0.94399999999999995</v>
      </c>
      <c r="E36" s="73">
        <v>1.0660000000000001</v>
      </c>
      <c r="F36" s="73">
        <v>1.0660000000000001</v>
      </c>
      <c r="G36" s="73">
        <v>0.48799999999999999</v>
      </c>
      <c r="H36" s="73">
        <v>0.66800000000000004</v>
      </c>
      <c r="I36" s="73">
        <v>1.0660000000000001</v>
      </c>
      <c r="J36" s="73">
        <v>1.0660000000000001</v>
      </c>
      <c r="K36" s="19"/>
      <c r="L36" s="19"/>
      <c r="M36" s="19"/>
      <c r="N36" s="19"/>
    </row>
    <row r="37" spans="1:14" ht="18">
      <c r="A37" s="28" t="s">
        <v>71</v>
      </c>
      <c r="B37" s="73">
        <v>1.1299999999999999</v>
      </c>
      <c r="C37" s="73">
        <v>1.1299999999999999</v>
      </c>
      <c r="D37" s="73">
        <v>1.1299999999999999</v>
      </c>
      <c r="E37" s="73">
        <v>1.1299999999999999</v>
      </c>
      <c r="F37" s="73">
        <v>1.1299999999999999</v>
      </c>
      <c r="G37" s="73">
        <v>1.1299999999999999</v>
      </c>
      <c r="H37" s="73">
        <v>1.1299999999999999</v>
      </c>
      <c r="I37" s="73">
        <v>1.1299999999999999</v>
      </c>
      <c r="J37" s="73">
        <v>1.1299999999999999</v>
      </c>
      <c r="K37" s="19"/>
      <c r="L37" s="19"/>
      <c r="M37" s="19"/>
      <c r="N37" s="19"/>
    </row>
    <row r="38" spans="1:14" ht="18">
      <c r="A38" s="28" t="s">
        <v>72</v>
      </c>
      <c r="B38" s="32">
        <f>B35*$M$31*$M$27</f>
        <v>940.2120000000001</v>
      </c>
      <c r="C38" s="32">
        <f t="shared" ref="C38:J38" si="14">C35*$M$31*$M$27</f>
        <v>940.2120000000001</v>
      </c>
      <c r="D38" s="32">
        <f t="shared" si="14"/>
        <v>940.2120000000001</v>
      </c>
      <c r="E38" s="32">
        <f t="shared" si="14"/>
        <v>823.78800000000001</v>
      </c>
      <c r="F38" s="32">
        <f t="shared" si="14"/>
        <v>712.65600000000006</v>
      </c>
      <c r="G38" s="32">
        <f t="shared" si="14"/>
        <v>940.2120000000001</v>
      </c>
      <c r="H38" s="32">
        <f t="shared" si="14"/>
        <v>940.2120000000001</v>
      </c>
      <c r="I38" s="32">
        <f t="shared" si="14"/>
        <v>553.89599999999996</v>
      </c>
      <c r="J38" s="32">
        <f t="shared" si="14"/>
        <v>451.58400000000006</v>
      </c>
      <c r="K38" s="19"/>
      <c r="L38" s="19"/>
      <c r="M38" s="19"/>
      <c r="N38" s="19"/>
    </row>
    <row r="39" spans="1:14" ht="18">
      <c r="A39" s="28" t="s">
        <v>73</v>
      </c>
      <c r="B39" s="32">
        <f>B36*$M$31*$M$27</f>
        <v>940.2120000000001</v>
      </c>
      <c r="C39" s="32">
        <f t="shared" ref="C39:J39" si="15">C36*$M$31*$M$27</f>
        <v>739.11599999999999</v>
      </c>
      <c r="D39" s="32">
        <f t="shared" si="15"/>
        <v>832.60799999999983</v>
      </c>
      <c r="E39" s="32">
        <f t="shared" si="15"/>
        <v>940.2120000000001</v>
      </c>
      <c r="F39" s="32">
        <f t="shared" si="15"/>
        <v>940.2120000000001</v>
      </c>
      <c r="G39" s="32">
        <f t="shared" si="15"/>
        <v>430.41599999999994</v>
      </c>
      <c r="H39" s="32">
        <f t="shared" si="15"/>
        <v>589.17600000000004</v>
      </c>
      <c r="I39" s="32">
        <f t="shared" si="15"/>
        <v>940.2120000000001</v>
      </c>
      <c r="J39" s="32">
        <f t="shared" si="15"/>
        <v>940.2120000000001</v>
      </c>
      <c r="K39" s="19"/>
      <c r="L39" s="19"/>
      <c r="M39" s="19"/>
      <c r="N39" s="19"/>
    </row>
    <row r="40" spans="1:14" ht="18">
      <c r="A40" s="28" t="s">
        <v>74</v>
      </c>
      <c r="B40" s="32">
        <f>B37*$M$31*$M$27</f>
        <v>996.65999999999985</v>
      </c>
      <c r="C40" s="32">
        <f t="shared" ref="C40:J40" si="16">C37*$M$31*$M$27</f>
        <v>996.65999999999985</v>
      </c>
      <c r="D40" s="32">
        <f t="shared" si="16"/>
        <v>996.65999999999985</v>
      </c>
      <c r="E40" s="32">
        <f t="shared" si="16"/>
        <v>996.65999999999985</v>
      </c>
      <c r="F40" s="32">
        <f t="shared" si="16"/>
        <v>996.65999999999985</v>
      </c>
      <c r="G40" s="32">
        <f t="shared" si="16"/>
        <v>996.65999999999985</v>
      </c>
      <c r="H40" s="32">
        <f t="shared" si="16"/>
        <v>996.65999999999985</v>
      </c>
      <c r="I40" s="32">
        <f t="shared" si="16"/>
        <v>996.65999999999985</v>
      </c>
      <c r="J40" s="32">
        <f t="shared" si="16"/>
        <v>996.65999999999985</v>
      </c>
      <c r="K40" s="19"/>
      <c r="L40" s="19"/>
      <c r="M40" s="19"/>
      <c r="N40" s="19"/>
    </row>
    <row r="41" spans="1:14" ht="18">
      <c r="A41" s="28" t="s">
        <v>75</v>
      </c>
      <c r="B41" s="30">
        <f>1/(1/B38+1/B39-1/B40)</f>
        <v>889.81537688442245</v>
      </c>
      <c r="C41" s="30">
        <f t="shared" ref="C41:J41" si="17">1/(1/C38+1/C39-1/C40)</f>
        <v>707.61076136612928</v>
      </c>
      <c r="D41" s="30">
        <f t="shared" si="17"/>
        <v>792.84277945542897</v>
      </c>
      <c r="E41" s="30">
        <f t="shared" si="17"/>
        <v>784.84109621024481</v>
      </c>
      <c r="F41" s="30">
        <f t="shared" si="17"/>
        <v>683.32136516032926</v>
      </c>
      <c r="G41" s="30">
        <f t="shared" si="17"/>
        <v>419.53833210876735</v>
      </c>
      <c r="H41" s="30">
        <f t="shared" si="17"/>
        <v>568.9821363357953</v>
      </c>
      <c r="I41" s="30">
        <f t="shared" si="17"/>
        <v>536.01144922925641</v>
      </c>
      <c r="J41" s="30">
        <f t="shared" si="17"/>
        <v>439.62495168699525</v>
      </c>
      <c r="K41" s="19"/>
      <c r="L41" s="19"/>
      <c r="M41" s="19"/>
      <c r="N41" s="19"/>
    </row>
    <row r="42" spans="1:14" ht="15.6">
      <c r="A42" s="28" t="s">
        <v>63</v>
      </c>
      <c r="B42" s="30">
        <f t="shared" ref="B42:J42" si="18">0.65*B41</f>
        <v>578.37999497487465</v>
      </c>
      <c r="C42" s="30">
        <f t="shared" si="18"/>
        <v>459.94699488798403</v>
      </c>
      <c r="D42" s="30">
        <f t="shared" si="18"/>
        <v>515.34780664602886</v>
      </c>
      <c r="E42" s="30">
        <f t="shared" si="18"/>
        <v>510.14671253665915</v>
      </c>
      <c r="F42" s="30">
        <f t="shared" si="18"/>
        <v>444.15888735421402</v>
      </c>
      <c r="G42" s="30">
        <f t="shared" si="18"/>
        <v>272.69991587069876</v>
      </c>
      <c r="H42" s="30">
        <f t="shared" si="18"/>
        <v>369.83838861826695</v>
      </c>
      <c r="I42" s="30">
        <f t="shared" si="18"/>
        <v>348.40744199901667</v>
      </c>
      <c r="J42" s="30">
        <f t="shared" si="18"/>
        <v>285.75621859654694</v>
      </c>
      <c r="K42" s="19"/>
      <c r="L42" s="19"/>
      <c r="M42" s="19"/>
      <c r="N42" s="19"/>
    </row>
    <row r="43" spans="1:14" ht="18">
      <c r="A43" s="28" t="s">
        <v>76</v>
      </c>
      <c r="B43" s="28" t="str">
        <f t="shared" ref="B43:J43" si="19">IF(B42&gt;ABS(B27),"OK","NOT OK")</f>
        <v>OK</v>
      </c>
      <c r="C43" s="28" t="str">
        <f t="shared" si="19"/>
        <v>NOT OK</v>
      </c>
      <c r="D43" s="28" t="str">
        <f t="shared" si="19"/>
        <v>NOT OK</v>
      </c>
      <c r="E43" s="28" t="str">
        <f t="shared" si="19"/>
        <v>NOT OK</v>
      </c>
      <c r="F43" s="28" t="str">
        <f t="shared" si="19"/>
        <v>NOT OK</v>
      </c>
      <c r="G43" s="28" t="str">
        <f t="shared" si="19"/>
        <v>NOT OK</v>
      </c>
      <c r="H43" s="28" t="str">
        <f t="shared" si="19"/>
        <v>NOT OK</v>
      </c>
      <c r="I43" s="28" t="str">
        <f t="shared" si="19"/>
        <v>NOT OK</v>
      </c>
      <c r="J43" s="28" t="str">
        <f t="shared" si="19"/>
        <v>NOT OK</v>
      </c>
      <c r="K43" s="19"/>
      <c r="L43" s="19"/>
      <c r="M43" s="19"/>
      <c r="N43" s="19"/>
    </row>
    <row r="44" spans="1:14" ht="15.6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 ht="15.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</sheetData>
  <mergeCells count="6">
    <mergeCell ref="A1:J1"/>
    <mergeCell ref="A2:A3"/>
    <mergeCell ref="B2:J2"/>
    <mergeCell ref="A24:J24"/>
    <mergeCell ref="A25:A26"/>
    <mergeCell ref="B25:J25"/>
  </mergeCells>
  <conditionalFormatting sqref="B20:J20">
    <cfRule type="containsText" dxfId="9" priority="3" operator="containsText" text="not ok">
      <formula>NOT(ISERROR(SEARCH("not ok",B20)))</formula>
    </cfRule>
    <cfRule type="containsText" dxfId="8" priority="4" operator="containsText" text="ok">
      <formula>NOT(ISERROR(SEARCH("ok",B20)))</formula>
    </cfRule>
  </conditionalFormatting>
  <conditionalFormatting sqref="B43:J43">
    <cfRule type="containsText" dxfId="7" priority="1" operator="containsText" text="not ok">
      <formula>NOT(ISERROR(SEARCH("not ok",B43)))</formula>
    </cfRule>
    <cfRule type="containsText" dxfId="6" priority="2" operator="containsText" text="ok">
      <formula>NOT(ISERROR(SEARCH("ok",B43)))</formula>
    </cfRule>
  </conditionalFormatting>
  <pageMargins left="0.7" right="0.7" top="0.75" bottom="0.75" header="0.3" footer="0.3"/>
  <pageSetup scale="67" fitToHeight="0" orientation="landscape" r:id="rId1"/>
  <ignoredErrors>
    <ignoredError sqref="B3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605E-71A3-4CF9-B2FE-62DF8137E832}">
  <sheetPr>
    <pageSetUpPr fitToPage="1"/>
  </sheetPr>
  <dimension ref="A1:N64"/>
  <sheetViews>
    <sheetView workbookViewId="0">
      <selection activeCell="F63" sqref="F63"/>
    </sheetView>
  </sheetViews>
  <sheetFormatPr defaultRowHeight="14.4"/>
  <cols>
    <col min="1" max="1" width="21.6640625" customWidth="1"/>
    <col min="2" max="2" width="22" customWidth="1"/>
    <col min="3" max="3" width="22.21875" customWidth="1"/>
    <col min="4" max="4" width="19.5546875" customWidth="1"/>
    <col min="5" max="5" width="17.109375" customWidth="1"/>
    <col min="6" max="6" width="21.6640625" customWidth="1"/>
    <col min="7" max="7" width="22.5546875" customWidth="1"/>
    <col min="8" max="8" width="8.6640625" customWidth="1"/>
    <col min="9" max="9" width="8" customWidth="1"/>
  </cols>
  <sheetData>
    <row r="1" spans="1:14" ht="9" customHeight="1">
      <c r="A1" s="39"/>
      <c r="B1" s="9"/>
      <c r="C1" s="9"/>
      <c r="D1" s="9"/>
      <c r="E1" s="9"/>
      <c r="F1" s="9"/>
      <c r="G1" s="39"/>
      <c r="H1" s="39"/>
      <c r="I1" s="39"/>
      <c r="J1" s="39"/>
      <c r="K1" s="19"/>
      <c r="L1" s="19"/>
      <c r="M1" s="19"/>
      <c r="N1" s="19"/>
    </row>
    <row r="2" spans="1:14" ht="19.8" customHeight="1">
      <c r="A2" s="88" t="s">
        <v>88</v>
      </c>
      <c r="B2" s="88"/>
      <c r="C2" s="88"/>
      <c r="D2" s="40"/>
      <c r="E2" s="88" t="s">
        <v>89</v>
      </c>
      <c r="F2" s="88"/>
      <c r="G2" s="88"/>
      <c r="H2" s="10"/>
      <c r="K2" s="19"/>
      <c r="L2" s="19"/>
      <c r="M2" s="19"/>
      <c r="N2" s="19"/>
    </row>
    <row r="3" spans="1:14" ht="48" customHeight="1">
      <c r="A3" s="15" t="s">
        <v>90</v>
      </c>
      <c r="B3" s="41" t="s">
        <v>91</v>
      </c>
      <c r="C3" s="41" t="s">
        <v>116</v>
      </c>
      <c r="D3" s="33"/>
      <c r="E3" s="15" t="s">
        <v>90</v>
      </c>
      <c r="F3" s="41" t="s">
        <v>91</v>
      </c>
      <c r="G3" s="41" t="s">
        <v>116</v>
      </c>
      <c r="H3" s="10"/>
      <c r="K3" s="19"/>
      <c r="L3" s="19"/>
      <c r="M3" s="19"/>
      <c r="N3" s="19"/>
    </row>
    <row r="4" spans="1:14" ht="15.6">
      <c r="A4" s="29" t="s">
        <v>92</v>
      </c>
      <c r="B4" s="64">
        <v>-130.61699999999999</v>
      </c>
      <c r="C4" s="64">
        <v>-367.93</v>
      </c>
      <c r="D4" s="29"/>
      <c r="E4" s="29" t="s">
        <v>92</v>
      </c>
      <c r="F4" s="64">
        <v>-130.61699999999999</v>
      </c>
      <c r="G4" s="64">
        <v>-367.93</v>
      </c>
      <c r="H4" s="39"/>
      <c r="K4" s="19"/>
      <c r="L4" s="19"/>
      <c r="M4" s="19"/>
      <c r="N4" s="19"/>
    </row>
    <row r="5" spans="1:14" ht="15.6">
      <c r="A5" s="29" t="s">
        <v>93</v>
      </c>
      <c r="B5" s="64">
        <v>-20.715</v>
      </c>
      <c r="C5" s="64">
        <v>-77.087999999999994</v>
      </c>
      <c r="D5" s="29"/>
      <c r="E5" s="29" t="s">
        <v>93</v>
      </c>
      <c r="F5" s="64">
        <v>-20.715</v>
      </c>
      <c r="G5" s="64">
        <v>-77.087999999999994</v>
      </c>
      <c r="H5" s="39"/>
      <c r="K5" s="19"/>
      <c r="L5" s="19"/>
      <c r="M5" s="19"/>
      <c r="N5" s="19"/>
    </row>
    <row r="6" spans="1:14" ht="15.6">
      <c r="A6" s="29" t="s">
        <v>94</v>
      </c>
      <c r="B6" s="64">
        <v>7.9420000000000002</v>
      </c>
      <c r="C6" s="64">
        <v>14.625</v>
      </c>
      <c r="D6" s="29"/>
      <c r="E6" s="29" t="s">
        <v>94</v>
      </c>
      <c r="F6" s="64">
        <v>7.9420000000000002</v>
      </c>
      <c r="G6" s="64">
        <v>14.625</v>
      </c>
      <c r="H6" s="39"/>
      <c r="K6" s="19"/>
      <c r="L6" s="19"/>
      <c r="M6" s="19"/>
      <c r="N6" s="19"/>
    </row>
    <row r="7" spans="1:14" ht="15.6">
      <c r="A7" s="29" t="s">
        <v>95</v>
      </c>
      <c r="B7" s="64">
        <v>-8.4090000000000007</v>
      </c>
      <c r="C7" s="64">
        <v>-6.1070000000000002</v>
      </c>
      <c r="D7" s="29"/>
      <c r="E7" s="29" t="s">
        <v>95</v>
      </c>
      <c r="F7" s="64">
        <v>-8.4090000000000007</v>
      </c>
      <c r="G7" s="64">
        <v>-6.1070000000000002</v>
      </c>
      <c r="H7" s="39"/>
      <c r="K7" s="19"/>
      <c r="L7" s="19"/>
      <c r="M7" s="19"/>
      <c r="N7" s="19"/>
    </row>
    <row r="8" spans="1:14" ht="15.6">
      <c r="A8" s="29" t="s">
        <v>96</v>
      </c>
      <c r="B8" s="64">
        <v>43.253999999999998</v>
      </c>
      <c r="C8" s="64">
        <v>78.421999999999997</v>
      </c>
      <c r="D8" s="29"/>
      <c r="E8" s="29" t="s">
        <v>96</v>
      </c>
      <c r="F8" s="64">
        <v>43.253999999999998</v>
      </c>
      <c r="G8" s="64">
        <v>78.421999999999997</v>
      </c>
      <c r="H8" s="39"/>
      <c r="K8" s="19"/>
      <c r="L8" s="19"/>
      <c r="M8" s="19"/>
      <c r="N8" s="19"/>
    </row>
    <row r="9" spans="1:14" ht="15.6">
      <c r="A9" s="29" t="s">
        <v>97</v>
      </c>
      <c r="B9" s="64">
        <v>-40.951000000000001</v>
      </c>
      <c r="C9" s="64">
        <v>-29.616</v>
      </c>
      <c r="D9" s="29"/>
      <c r="E9" s="29" t="s">
        <v>97</v>
      </c>
      <c r="F9" s="64">
        <v>-40.951000000000001</v>
      </c>
      <c r="G9" s="64">
        <v>-29.616</v>
      </c>
      <c r="H9" s="39"/>
      <c r="K9" s="19"/>
      <c r="L9" s="19"/>
      <c r="M9" s="19"/>
      <c r="N9" s="19"/>
    </row>
    <row r="10" spans="1:14" ht="15.6">
      <c r="A10" s="33" t="s">
        <v>98</v>
      </c>
      <c r="B10" s="38">
        <f>1.2*B4+1.6*B5</f>
        <v>-189.8844</v>
      </c>
      <c r="C10" s="38">
        <f>1.2*C4+1.6*C5</f>
        <v>-564.85680000000002</v>
      </c>
      <c r="D10" s="29"/>
      <c r="E10" s="42" t="s">
        <v>99</v>
      </c>
      <c r="F10" s="38">
        <f>F4+F5</f>
        <v>-151.33199999999999</v>
      </c>
      <c r="G10" s="38">
        <f t="shared" ref="G10" si="0">G4+G5</f>
        <v>-445.01800000000003</v>
      </c>
      <c r="H10" s="39"/>
      <c r="K10" s="19"/>
      <c r="L10" s="19"/>
      <c r="M10" s="19"/>
      <c r="N10" s="19"/>
    </row>
    <row r="11" spans="1:14" ht="15.6">
      <c r="A11" s="33" t="s">
        <v>100</v>
      </c>
      <c r="B11" s="38">
        <f>1.2*B4+B5+1.6*B6</f>
        <v>-164.7482</v>
      </c>
      <c r="C11" s="38">
        <f>1.2*C4+C5+1.6*C6</f>
        <v>-495.20400000000006</v>
      </c>
      <c r="D11" s="29"/>
      <c r="E11" s="42" t="s">
        <v>101</v>
      </c>
      <c r="F11" s="38">
        <f>F4+F6</f>
        <v>-122.67499999999998</v>
      </c>
      <c r="G11" s="38">
        <f t="shared" ref="G11" si="1">G4+G6</f>
        <v>-353.30500000000001</v>
      </c>
      <c r="H11" s="39"/>
      <c r="K11" s="19"/>
      <c r="L11" s="19"/>
      <c r="M11" s="19"/>
      <c r="N11" s="19"/>
    </row>
    <row r="12" spans="1:14" ht="15.6">
      <c r="A12" s="33" t="s">
        <v>102</v>
      </c>
      <c r="B12" s="38">
        <f>1.2*B4+B5-1.6*B6</f>
        <v>-190.1626</v>
      </c>
      <c r="C12" s="38">
        <f>1.2*C4+C5-1.6*C6</f>
        <v>-542.00400000000002</v>
      </c>
      <c r="D12" s="29"/>
      <c r="E12" s="42" t="s">
        <v>103</v>
      </c>
      <c r="F12" s="38">
        <f>F4-F6</f>
        <v>-138.559</v>
      </c>
      <c r="G12" s="38">
        <f t="shared" ref="G12" si="2">G4-G6</f>
        <v>-382.55500000000001</v>
      </c>
      <c r="H12" s="39"/>
      <c r="K12" s="19"/>
      <c r="L12" s="19"/>
      <c r="M12" s="19"/>
      <c r="N12" s="19"/>
    </row>
    <row r="13" spans="1:14" ht="15.6">
      <c r="A13" s="33" t="s">
        <v>104</v>
      </c>
      <c r="B13" s="38">
        <f>1.2*B4+B5+1.6*B7</f>
        <v>-190.90979999999999</v>
      </c>
      <c r="C13" s="38">
        <f>1.2*C4+C5+1.6*C7</f>
        <v>-528.37520000000006</v>
      </c>
      <c r="D13" s="29"/>
      <c r="E13" s="42" t="s">
        <v>105</v>
      </c>
      <c r="F13" s="38">
        <f>F4+F7</f>
        <v>-139.02599999999998</v>
      </c>
      <c r="G13" s="38">
        <f t="shared" ref="G13" si="3">G4+G7</f>
        <v>-374.03700000000003</v>
      </c>
      <c r="H13" s="39"/>
      <c r="K13" s="19"/>
      <c r="L13" s="19"/>
      <c r="M13" s="19"/>
      <c r="N13" s="19"/>
    </row>
    <row r="14" spans="1:14" ht="15.6">
      <c r="A14" s="33" t="s">
        <v>106</v>
      </c>
      <c r="B14" s="38">
        <f>1.2*B4+B5-1.6*B7</f>
        <v>-164.001</v>
      </c>
      <c r="C14" s="38">
        <f>1.2*C4+C5-1.6*C7</f>
        <v>-508.83280000000002</v>
      </c>
      <c r="D14" s="29"/>
      <c r="E14" s="42" t="s">
        <v>107</v>
      </c>
      <c r="F14" s="38">
        <f>F4-F7</f>
        <v>-122.20799999999998</v>
      </c>
      <c r="G14" s="38">
        <f t="shared" ref="G14" si="4">G4-G7</f>
        <v>-361.82299999999998</v>
      </c>
      <c r="H14" s="39"/>
      <c r="K14" s="19"/>
      <c r="L14" s="19"/>
      <c r="M14" s="19"/>
      <c r="N14" s="19"/>
    </row>
    <row r="15" spans="1:14" ht="15.6">
      <c r="A15" s="33" t="s">
        <v>108</v>
      </c>
      <c r="B15" s="38">
        <f>1.2*B4+B5+B8</f>
        <v>-134.20140000000001</v>
      </c>
      <c r="C15" s="38">
        <f>1.2*C4+C5+C8</f>
        <v>-440.18200000000002</v>
      </c>
      <c r="D15" s="29"/>
      <c r="E15" s="42" t="s">
        <v>109</v>
      </c>
      <c r="F15" s="38">
        <f>F4+0.7*F8</f>
        <v>-100.33919999999999</v>
      </c>
      <c r="G15" s="38">
        <f t="shared" ref="G15" si="5">G4+0.7*G8</f>
        <v>-313.03460000000001</v>
      </c>
      <c r="H15" s="39"/>
      <c r="K15" s="19"/>
      <c r="L15" s="19"/>
      <c r="M15" s="19"/>
      <c r="N15" s="19"/>
    </row>
    <row r="16" spans="1:14" ht="15.6">
      <c r="A16" s="33" t="s">
        <v>110</v>
      </c>
      <c r="B16" s="38">
        <f>1.2*B4+B5-B8</f>
        <v>-220.70939999999999</v>
      </c>
      <c r="C16" s="38">
        <f>1.2*C4+C5-C8</f>
        <v>-597.02600000000007</v>
      </c>
      <c r="D16" s="29"/>
      <c r="E16" s="42" t="s">
        <v>111</v>
      </c>
      <c r="F16" s="38">
        <f>F4-0.7*F8</f>
        <v>-160.89479999999998</v>
      </c>
      <c r="G16" s="38">
        <f t="shared" ref="G16" si="6">G4-0.7*G8</f>
        <v>-422.8254</v>
      </c>
      <c r="H16" s="39"/>
      <c r="K16" s="19"/>
      <c r="L16" s="19"/>
      <c r="M16" s="19"/>
      <c r="N16" s="19"/>
    </row>
    <row r="17" spans="1:14" ht="15.6">
      <c r="A17" s="33" t="s">
        <v>112</v>
      </c>
      <c r="B17" s="38">
        <f>1.2*B4+B5+B8</f>
        <v>-134.20140000000001</v>
      </c>
      <c r="C17" s="38">
        <f>1.2*C4+C5+C8</f>
        <v>-440.18200000000002</v>
      </c>
      <c r="D17" s="29"/>
      <c r="E17" s="42" t="s">
        <v>113</v>
      </c>
      <c r="F17" s="38">
        <f>F4+0.7*F8</f>
        <v>-100.33919999999999</v>
      </c>
      <c r="G17" s="38">
        <f t="shared" ref="G17" si="7">G4+0.7*G8</f>
        <v>-313.03460000000001</v>
      </c>
      <c r="H17" s="39"/>
      <c r="K17" s="19"/>
      <c r="L17" s="19"/>
      <c r="M17" s="19"/>
      <c r="N17" s="19"/>
    </row>
    <row r="18" spans="1:14" ht="15.6">
      <c r="A18" s="33" t="s">
        <v>114</v>
      </c>
      <c r="B18" s="38">
        <f>1.2*B4+B5-B9</f>
        <v>-136.5044</v>
      </c>
      <c r="C18" s="38">
        <f>1.2*C4+C5-C9</f>
        <v>-488.98800000000006</v>
      </c>
      <c r="D18" s="29"/>
      <c r="E18" s="42" t="s">
        <v>115</v>
      </c>
      <c r="F18" s="38">
        <f>F4-0.7*F9</f>
        <v>-101.95129999999999</v>
      </c>
      <c r="G18" s="38">
        <f>G4-0.7*G9</f>
        <v>-347.19880000000001</v>
      </c>
      <c r="H18" s="39"/>
      <c r="K18" s="19"/>
      <c r="L18" s="19"/>
      <c r="M18" s="19"/>
      <c r="N18" s="19"/>
    </row>
    <row r="19" spans="1:14" ht="15.6">
      <c r="A19" s="33" t="s">
        <v>117</v>
      </c>
      <c r="B19" s="43">
        <f>IF(MIN(B10:B18)&lt;0,MIN(B10:B18),0)</f>
        <v>-220.70939999999999</v>
      </c>
      <c r="C19" s="43">
        <f>IF(MIN(C10:C18)&lt;0,MIN(C10:C18),0)</f>
        <v>-597.02600000000007</v>
      </c>
      <c r="D19" s="29"/>
      <c r="E19" s="33" t="s">
        <v>117</v>
      </c>
      <c r="F19" s="43">
        <f>IF(MIN(F10:F18)&lt;0,MIN(F10:F18),0)</f>
        <v>-160.89479999999998</v>
      </c>
      <c r="G19" s="43">
        <f>IF(MIN(G10:G18)&lt;0,MIN(G10:G18),0)</f>
        <v>-445.01800000000003</v>
      </c>
      <c r="H19" s="39"/>
      <c r="K19" s="19"/>
      <c r="L19" s="19"/>
      <c r="M19" s="19"/>
      <c r="N19" s="19"/>
    </row>
    <row r="20" spans="1:14" ht="15.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6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6" customHeight="1">
      <c r="A22" s="95" t="s">
        <v>118</v>
      </c>
      <c r="B22" s="95"/>
      <c r="C22" s="95"/>
      <c r="D22" s="95"/>
      <c r="E22" s="44"/>
      <c r="F22" s="19"/>
      <c r="G22" s="19"/>
      <c r="H22" s="19"/>
      <c r="I22" s="19"/>
      <c r="J22" s="19"/>
      <c r="K22" s="19"/>
      <c r="L22" s="19"/>
      <c r="M22" s="19"/>
      <c r="N22" s="19"/>
    </row>
    <row r="23" spans="1:14" ht="15.6">
      <c r="A23" s="95" t="s">
        <v>119</v>
      </c>
      <c r="B23" s="95"/>
      <c r="C23" s="59" t="s">
        <v>158</v>
      </c>
      <c r="D23" s="59" t="s">
        <v>120</v>
      </c>
      <c r="E23" s="45"/>
      <c r="F23" s="57" t="s">
        <v>159</v>
      </c>
      <c r="G23" s="56">
        <v>4500</v>
      </c>
    </row>
    <row r="24" spans="1:14" ht="15.6">
      <c r="A24" s="94" t="s">
        <v>121</v>
      </c>
      <c r="B24" s="59" t="s">
        <v>122</v>
      </c>
      <c r="C24" s="65">
        <v>12</v>
      </c>
      <c r="D24" s="65">
        <v>14</v>
      </c>
      <c r="E24" s="46"/>
      <c r="F24" s="57" t="s">
        <v>160</v>
      </c>
      <c r="G24" s="56">
        <v>60000</v>
      </c>
    </row>
    <row r="25" spans="1:14" ht="31.2">
      <c r="A25" s="94"/>
      <c r="B25" s="59" t="s">
        <v>123</v>
      </c>
      <c r="C25" s="66">
        <v>3.0550000000000002</v>
      </c>
      <c r="D25" s="66">
        <v>3.0550000000000002</v>
      </c>
      <c r="E25" s="47"/>
    </row>
    <row r="26" spans="1:14" ht="15.6">
      <c r="A26" s="94"/>
      <c r="B26" s="59" t="s">
        <v>124</v>
      </c>
      <c r="C26" s="55">
        <f>ABS(F19)/C25</f>
        <v>52.666055646481169</v>
      </c>
      <c r="D26" s="55">
        <f>ABS(G19)/D25</f>
        <v>145.66873977086743</v>
      </c>
      <c r="E26" s="48"/>
    </row>
    <row r="27" spans="1:14" ht="15.6">
      <c r="A27" s="94"/>
      <c r="B27" s="59" t="s">
        <v>125</v>
      </c>
      <c r="C27" s="55">
        <f>SQRT(C26)</f>
        <v>7.2571382546070575</v>
      </c>
      <c r="D27" s="55">
        <f>SQRT(D26)</f>
        <v>12.069330543607936</v>
      </c>
      <c r="E27" s="48"/>
    </row>
    <row r="28" spans="1:14" ht="15.6">
      <c r="A28" s="94"/>
      <c r="B28" s="59" t="s">
        <v>126</v>
      </c>
      <c r="C28" s="61">
        <v>7.5</v>
      </c>
      <c r="D28" s="61">
        <v>12.5</v>
      </c>
      <c r="E28" s="48"/>
    </row>
    <row r="29" spans="1:14" ht="15.6">
      <c r="A29" s="94"/>
      <c r="B29" s="59" t="s">
        <v>127</v>
      </c>
      <c r="C29" s="55">
        <f>C28^2</f>
        <v>56.25</v>
      </c>
      <c r="D29" s="55">
        <f>D28^2</f>
        <v>156.25</v>
      </c>
      <c r="E29" s="46"/>
    </row>
    <row r="30" spans="1:14" ht="31.2">
      <c r="A30" s="94"/>
      <c r="B30" s="59" t="s">
        <v>128</v>
      </c>
      <c r="C30" s="60">
        <f>2*C28</f>
        <v>15</v>
      </c>
      <c r="D30" s="60">
        <f>2*D28</f>
        <v>25</v>
      </c>
      <c r="E30" s="46"/>
    </row>
    <row r="31" spans="1:14" ht="15.6" customHeight="1">
      <c r="A31" s="96" t="s">
        <v>161</v>
      </c>
      <c r="B31" s="59" t="s">
        <v>129</v>
      </c>
      <c r="C31" s="54">
        <f>ABS(B19)/C29</f>
        <v>3.9237226666666665</v>
      </c>
      <c r="D31" s="54">
        <f>ABS(C19)/D29</f>
        <v>3.8209664000000005</v>
      </c>
      <c r="E31" s="49"/>
    </row>
    <row r="32" spans="1:14" ht="15.6">
      <c r="A32" s="97"/>
      <c r="B32" s="59" t="s">
        <v>130</v>
      </c>
      <c r="C32" s="53">
        <f>4*(C24+C30)</f>
        <v>108</v>
      </c>
      <c r="D32" s="53">
        <f>4*(D24+D30)</f>
        <v>156</v>
      </c>
      <c r="E32" s="46"/>
    </row>
    <row r="33" spans="1:5" ht="31.2">
      <c r="A33" s="97"/>
      <c r="B33" s="59" t="s">
        <v>131</v>
      </c>
      <c r="C33" s="55">
        <f>C31*((C28^2)- (((C24+C30)/12)^2))</f>
        <v>200.84555399999999</v>
      </c>
      <c r="D33" s="55">
        <f>D31*((D28^2)- (((D24+D30)/12)^2))</f>
        <v>556.66704240000013</v>
      </c>
      <c r="E33" s="49"/>
    </row>
    <row r="34" spans="1:5" ht="15.6">
      <c r="A34" s="97"/>
      <c r="B34" s="59" t="s">
        <v>132</v>
      </c>
      <c r="C34" s="55">
        <f>0.75*4*C32*C30*SQRT($G$23)/1000</f>
        <v>326.01871111946929</v>
      </c>
      <c r="D34" s="55">
        <f>0.75*4*D32*D30*SQRT($G$23)/1000</f>
        <v>784.85986010242618</v>
      </c>
      <c r="E34" s="49"/>
    </row>
    <row r="35" spans="1:5" ht="13.2" customHeight="1">
      <c r="A35" s="98"/>
      <c r="B35" s="59" t="s">
        <v>133</v>
      </c>
      <c r="C35" s="52" t="str">
        <f>IF(C34&gt;C33,"Eff. Depth OK","Eff. Depth NOT OK")</f>
        <v>Eff. Depth OK</v>
      </c>
      <c r="D35" s="52" t="str">
        <f>IF(D34&gt;D33,"Eff. Depth OK","Eff. Depth NOT OK")</f>
        <v>Eff. Depth OK</v>
      </c>
      <c r="E35" s="45"/>
    </row>
    <row r="36" spans="1:5" ht="31.2">
      <c r="A36" s="96" t="s">
        <v>162</v>
      </c>
      <c r="B36" s="59" t="s">
        <v>134</v>
      </c>
      <c r="C36" s="55">
        <f>C31*C28*(C28*6-C24*0.5-C30)/12</f>
        <v>58.855840000000001</v>
      </c>
      <c r="D36" s="55">
        <f>D31*D28*(D28*6-D24*0.5-D30)/12</f>
        <v>171.14745333333335</v>
      </c>
      <c r="E36" s="49"/>
    </row>
    <row r="37" spans="1:5" ht="15.6">
      <c r="A37" s="97"/>
      <c r="B37" s="59" t="s">
        <v>132</v>
      </c>
      <c r="C37" s="55">
        <f>0.75*2*C28*12*C30*SQRT($G$23)/1000</f>
        <v>135.84112963311222</v>
      </c>
      <c r="D37" s="55">
        <f>0.75*2*D28*12*D30*SQRT($G$23)/1000</f>
        <v>377.3364712030895</v>
      </c>
      <c r="E37" s="49"/>
    </row>
    <row r="38" spans="1:5" ht="25.2" customHeight="1">
      <c r="A38" s="98"/>
      <c r="B38" s="59" t="s">
        <v>133</v>
      </c>
      <c r="C38" s="52" t="str">
        <f>IF(C37&gt;C36,"Eff. Depth OK","Eff. Depth NOT OK")</f>
        <v>Eff. Depth OK</v>
      </c>
      <c r="D38" s="52" t="str">
        <f>IF(D37&gt;D36,"Eff. Depth OK","Eff. Depth NOT OK")</f>
        <v>Eff. Depth OK</v>
      </c>
      <c r="E38" s="45"/>
    </row>
    <row r="39" spans="1:5" ht="15.6">
      <c r="A39" s="94" t="s">
        <v>135</v>
      </c>
      <c r="B39" s="59" t="s">
        <v>136</v>
      </c>
      <c r="C39" s="55">
        <f>0.5*C31*C28*((C28*6-C24*0.5)/12)^2</f>
        <v>155.4162025</v>
      </c>
      <c r="D39" s="55">
        <f>0.5*D31*D28*((D28*6-D24*0.5)/12)^2</f>
        <v>766.84672888888906</v>
      </c>
      <c r="E39" s="47"/>
    </row>
    <row r="40" spans="1:5" ht="19.2" customHeight="1">
      <c r="A40" s="94"/>
      <c r="B40" s="59" t="s">
        <v>175</v>
      </c>
      <c r="C40" s="53">
        <v>19</v>
      </c>
      <c r="D40" s="53">
        <v>30</v>
      </c>
      <c r="E40" s="49"/>
    </row>
    <row r="41" spans="1:5" ht="15.6">
      <c r="A41" s="94"/>
      <c r="B41" s="59" t="s">
        <v>138</v>
      </c>
      <c r="C41" s="67">
        <v>4.53</v>
      </c>
      <c r="D41" s="67">
        <v>12.56</v>
      </c>
      <c r="E41" s="46"/>
    </row>
    <row r="42" spans="1:5" ht="15.6">
      <c r="A42" s="94"/>
      <c r="B42" s="59" t="s">
        <v>137</v>
      </c>
      <c r="C42" s="67">
        <v>4.53</v>
      </c>
      <c r="D42" s="67">
        <v>12.56</v>
      </c>
      <c r="E42" s="50"/>
    </row>
    <row r="43" spans="1:5" ht="15.6">
      <c r="A43" s="94"/>
      <c r="B43" s="59" t="s">
        <v>139</v>
      </c>
      <c r="C43" s="52" t="s">
        <v>140</v>
      </c>
      <c r="D43" s="52" t="s">
        <v>140</v>
      </c>
      <c r="E43" s="45"/>
    </row>
    <row r="44" spans="1:5" ht="31.2">
      <c r="A44" s="94"/>
      <c r="B44" s="59" t="s">
        <v>141</v>
      </c>
      <c r="C44" s="53">
        <v>18</v>
      </c>
      <c r="D44" s="53">
        <v>18</v>
      </c>
      <c r="E44" s="46"/>
    </row>
    <row r="45" spans="1:5" ht="15.6">
      <c r="A45" s="94"/>
      <c r="B45" s="62"/>
      <c r="C45" s="68" t="s">
        <v>163</v>
      </c>
      <c r="D45" s="68" t="s">
        <v>164</v>
      </c>
      <c r="E45" s="44"/>
    </row>
    <row r="46" spans="1:5" ht="31.2">
      <c r="A46" s="94"/>
      <c r="B46" s="59" t="s">
        <v>142</v>
      </c>
      <c r="C46" s="67">
        <v>6</v>
      </c>
      <c r="D46" s="67">
        <v>9</v>
      </c>
      <c r="E46" s="49"/>
    </row>
    <row r="47" spans="1:5" ht="31.2">
      <c r="A47" s="94"/>
      <c r="B47" s="59" t="s">
        <v>143</v>
      </c>
      <c r="C47" s="69" t="s">
        <v>167</v>
      </c>
      <c r="D47" s="69" t="s">
        <v>165</v>
      </c>
      <c r="E47" s="51"/>
    </row>
    <row r="48" spans="1:5" ht="15.6">
      <c r="A48" s="94"/>
      <c r="B48" s="58"/>
      <c r="C48" s="68" t="s">
        <v>163</v>
      </c>
      <c r="D48" s="68" t="s">
        <v>163</v>
      </c>
      <c r="E48" s="44"/>
    </row>
    <row r="49" spans="1:5" ht="31.2">
      <c r="A49" s="94"/>
      <c r="B49" s="59" t="s">
        <v>144</v>
      </c>
      <c r="C49" s="67">
        <v>9</v>
      </c>
      <c r="D49" s="67">
        <v>5.5</v>
      </c>
      <c r="E49" s="49"/>
    </row>
    <row r="50" spans="1:5" ht="31.2">
      <c r="A50" s="94"/>
      <c r="B50" s="59" t="s">
        <v>145</v>
      </c>
      <c r="C50" s="69" t="s">
        <v>168</v>
      </c>
      <c r="D50" s="69" t="s">
        <v>166</v>
      </c>
      <c r="E50" s="51"/>
    </row>
    <row r="51" spans="1:5" ht="16.2" customHeight="1">
      <c r="A51" s="94" t="s">
        <v>154</v>
      </c>
      <c r="B51" s="59" t="s">
        <v>155</v>
      </c>
      <c r="C51" s="55">
        <f>0.65*0.85*$G$23/1000*C24^2</f>
        <v>358.02</v>
      </c>
      <c r="D51" s="55">
        <f>0.65*0.85*$G$23/1000*D24^2</f>
        <v>487.30500000000001</v>
      </c>
      <c r="E51" s="49"/>
    </row>
    <row r="52" spans="1:5" ht="19.2" customHeight="1">
      <c r="A52" s="94"/>
      <c r="B52" s="59" t="s">
        <v>156</v>
      </c>
      <c r="C52" s="55">
        <f>2*C51</f>
        <v>716.04</v>
      </c>
      <c r="D52" s="55">
        <f>2*D51</f>
        <v>974.61</v>
      </c>
      <c r="E52" s="46"/>
    </row>
    <row r="53" spans="1:5" ht="18.600000000000001" customHeight="1">
      <c r="A53" s="94"/>
      <c r="B53" s="59" t="s">
        <v>157</v>
      </c>
      <c r="C53" s="52" t="str">
        <f>IF(ABS(B19)&lt;C52,"OK","NOT OK")</f>
        <v>OK</v>
      </c>
      <c r="D53" s="52" t="str">
        <f>IF(ABS(C19)&lt;D52,"OK","NOT OK")</f>
        <v>OK</v>
      </c>
      <c r="E53" s="45"/>
    </row>
    <row r="54" spans="1:5" ht="14.4" customHeight="1">
      <c r="A54" s="94" t="s">
        <v>148</v>
      </c>
      <c r="B54" s="95" t="s">
        <v>149</v>
      </c>
      <c r="C54" s="95"/>
      <c r="D54" s="95"/>
      <c r="E54" s="44"/>
    </row>
    <row r="55" spans="1:5" ht="14.4" customHeight="1">
      <c r="A55" s="94"/>
      <c r="B55" s="52"/>
      <c r="C55" s="69" t="s">
        <v>172</v>
      </c>
      <c r="D55" s="69" t="s">
        <v>173</v>
      </c>
      <c r="E55" s="44"/>
    </row>
    <row r="56" spans="1:5" ht="15.6">
      <c r="A56" s="94"/>
      <c r="B56" s="59" t="s">
        <v>150</v>
      </c>
      <c r="C56" s="67">
        <v>11.18</v>
      </c>
      <c r="D56" s="67">
        <v>20.12</v>
      </c>
      <c r="E56" s="46"/>
    </row>
    <row r="57" spans="1:5" ht="15.6">
      <c r="A57" s="94"/>
      <c r="B57" s="59" t="s">
        <v>151</v>
      </c>
      <c r="C57" s="67">
        <v>11.25</v>
      </c>
      <c r="D57" s="67">
        <v>20.25</v>
      </c>
      <c r="E57" s="46"/>
    </row>
    <row r="58" spans="1:5" ht="15.6">
      <c r="A58" s="94"/>
      <c r="B58" s="59" t="s">
        <v>152</v>
      </c>
      <c r="C58" s="70">
        <v>12</v>
      </c>
      <c r="D58" s="70">
        <v>21</v>
      </c>
      <c r="E58" s="46"/>
    </row>
    <row r="59" spans="1:5" ht="15.6">
      <c r="A59" s="94"/>
      <c r="B59" s="59" t="s">
        <v>153</v>
      </c>
      <c r="C59" s="52" t="s">
        <v>140</v>
      </c>
      <c r="D59" s="52" t="s">
        <v>140</v>
      </c>
      <c r="E59" s="45"/>
    </row>
    <row r="60" spans="1:5" ht="14.4" customHeight="1">
      <c r="A60" s="94"/>
      <c r="B60" s="95" t="s">
        <v>170</v>
      </c>
      <c r="C60" s="95"/>
      <c r="D60" s="95"/>
      <c r="E60" s="44"/>
    </row>
    <row r="61" spans="1:5" ht="15.6">
      <c r="A61" s="94"/>
      <c r="B61" s="59" t="s">
        <v>171</v>
      </c>
      <c r="C61" s="70">
        <v>19</v>
      </c>
      <c r="D61" s="70">
        <v>34</v>
      </c>
      <c r="E61" s="46"/>
    </row>
    <row r="62" spans="1:5" ht="16.8" customHeight="1">
      <c r="A62" s="94" t="s">
        <v>169</v>
      </c>
      <c r="B62" s="59" t="s">
        <v>146</v>
      </c>
      <c r="C62" s="65">
        <v>30</v>
      </c>
      <c r="D62" s="65">
        <v>48</v>
      </c>
      <c r="E62" s="49"/>
    </row>
    <row r="63" spans="1:5" ht="42.6" customHeight="1">
      <c r="A63" s="94"/>
      <c r="B63" s="63" t="s">
        <v>174</v>
      </c>
      <c r="C63" s="65">
        <v>36</v>
      </c>
      <c r="D63" s="65">
        <v>65</v>
      </c>
      <c r="E63" s="49"/>
    </row>
    <row r="64" spans="1:5" ht="13.8" customHeight="1">
      <c r="A64" s="94"/>
      <c r="B64" s="59" t="s">
        <v>147</v>
      </c>
      <c r="C64" s="52" t="s">
        <v>140</v>
      </c>
      <c r="D64" s="52" t="s">
        <v>140</v>
      </c>
      <c r="E64" s="45"/>
    </row>
  </sheetData>
  <mergeCells count="13">
    <mergeCell ref="E2:G2"/>
    <mergeCell ref="A2:C2"/>
    <mergeCell ref="A22:D22"/>
    <mergeCell ref="A36:A38"/>
    <mergeCell ref="A31:A35"/>
    <mergeCell ref="A23:B23"/>
    <mergeCell ref="A24:A30"/>
    <mergeCell ref="A39:A50"/>
    <mergeCell ref="A62:A64"/>
    <mergeCell ref="A54:A61"/>
    <mergeCell ref="A51:A53"/>
    <mergeCell ref="B54:D54"/>
    <mergeCell ref="B60:D60"/>
  </mergeCells>
  <conditionalFormatting sqref="C35:D35">
    <cfRule type="containsText" dxfId="5" priority="6" operator="containsText" text="OK">
      <formula>NOT(ISERROR(SEARCH("OK",C35)))</formula>
    </cfRule>
  </conditionalFormatting>
  <conditionalFormatting sqref="C38:D38">
    <cfRule type="containsText" dxfId="4" priority="5" operator="containsText" text="OK">
      <formula>NOT(ISERROR(SEARCH("OK",C38)))</formula>
    </cfRule>
  </conditionalFormatting>
  <conditionalFormatting sqref="C43:D43">
    <cfRule type="containsText" dxfId="3" priority="4" operator="containsText" text="OK">
      <formula>NOT(ISERROR(SEARCH("OK",C43)))</formula>
    </cfRule>
  </conditionalFormatting>
  <conditionalFormatting sqref="C53:D53">
    <cfRule type="containsText" dxfId="2" priority="3" operator="containsText" text="OK">
      <formula>NOT(ISERROR(SEARCH("OK",C53)))</formula>
    </cfRule>
  </conditionalFormatting>
  <conditionalFormatting sqref="C59:D59">
    <cfRule type="containsText" dxfId="1" priority="2" operator="containsText" text="OK">
      <formula>NOT(ISERROR(SEARCH("OK",C59)))</formula>
    </cfRule>
  </conditionalFormatting>
  <conditionalFormatting sqref="C64:D64">
    <cfRule type="containsText" dxfId="0" priority="1" operator="containsText" text="OK">
      <formula>NOT(ISERROR(SEARCH("OK",C64)))</formula>
    </cfRule>
  </conditionalFormatting>
  <pageMargins left="0.7" right="0.7" top="0.75" bottom="0.75" header="0.3" footer="0.3"/>
  <pageSetup scale="56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961ed7-e538-4e99-aa76-dc62f6106b51">
      <Terms xmlns="http://schemas.microsoft.com/office/infopath/2007/PartnerControls"/>
    </lcf76f155ced4ddcb4097134ff3c332f>
    <TaxCatchAll xmlns="cef88615-5fb7-4c64-8f76-b88c34e8214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B519D023003448E9617098D86EDC5" ma:contentTypeVersion="18" ma:contentTypeDescription="Create a new document." ma:contentTypeScope="" ma:versionID="d6ba2dc97a7ce4e9c1e25db96f7b3e93">
  <xsd:schema xmlns:xsd="http://www.w3.org/2001/XMLSchema" xmlns:xs="http://www.w3.org/2001/XMLSchema" xmlns:p="http://schemas.microsoft.com/office/2006/metadata/properties" xmlns:ns2="28961ed7-e538-4e99-aa76-dc62f6106b51" xmlns:ns3="cef88615-5fb7-4c64-8f76-b88c34e82140" targetNamespace="http://schemas.microsoft.com/office/2006/metadata/properties" ma:root="true" ma:fieldsID="d945c37885a3a815080522f445c893c6" ns2:_="" ns3:_="">
    <xsd:import namespace="28961ed7-e538-4e99-aa76-dc62f6106b51"/>
    <xsd:import namespace="cef88615-5fb7-4c64-8f76-b88c34e82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61ed7-e538-4e99-aa76-dc62f6106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88615-5fb7-4c64-8f76-b88c34e8214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ba4e25b-771b-4fdc-a680-f3305fa89658}" ma:internalName="TaxCatchAll" ma:showField="CatchAllData" ma:web="cef88615-5fb7-4c64-8f76-b88c34e82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8F7BC7-87D7-4E00-B0B3-94DE4D507606}">
  <ds:schemaRefs>
    <ds:schemaRef ds:uri="http://schemas.microsoft.com/office/2006/metadata/properties"/>
    <ds:schemaRef ds:uri="http://schemas.microsoft.com/office/infopath/2007/PartnerControls"/>
    <ds:schemaRef ds:uri="28961ed7-e538-4e99-aa76-dc62f6106b51"/>
    <ds:schemaRef ds:uri="cef88615-5fb7-4c64-8f76-b88c34e82140"/>
  </ds:schemaRefs>
</ds:datastoreItem>
</file>

<file path=customXml/itemProps2.xml><?xml version="1.0" encoding="utf-8"?>
<ds:datastoreItem xmlns:ds="http://schemas.openxmlformats.org/officeDocument/2006/customXml" ds:itemID="{D81C1419-522C-49AE-8BFD-709BE692B9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B0352-D384-4B39-A110-A9D5A8A3D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61ed7-e538-4e99-aa76-dc62f6106b51"/>
    <ds:schemaRef ds:uri="cef88615-5fb7-4c64-8f76-b88c34e82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Beam Design</vt:lpstr>
      <vt:lpstr>Column Design</vt:lpstr>
      <vt:lpstr>Foundation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Meftahul Ahsan</dc:creator>
  <cp:keywords/>
  <dc:description/>
  <cp:lastModifiedBy>Ausaf Alam</cp:lastModifiedBy>
  <cp:revision/>
  <cp:lastPrinted>2024-01-08T07:05:01Z</cp:lastPrinted>
  <dcterms:created xsi:type="dcterms:W3CDTF">2021-07-08T05:02:21Z</dcterms:created>
  <dcterms:modified xsi:type="dcterms:W3CDTF">2024-10-19T17:32:06Z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0x0101002ACB519D023003448E9617098D86EDC5</vt:lpwstr>
  </property>
  <property fmtid="{D5CDD505-2E9C-101B-9397-08002B2CF9AE}" pid="3" name="MediaServiceImageTags">
    <vt:lpwstr/>
  </property>
</Properties>
</file>