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miscvals/"/>
    </mc:Choice>
  </mc:AlternateContent>
  <xr:revisionPtr revIDLastSave="23" documentId="8_{26B970E6-3DA7-40C0-8514-A95EF67C125B}" xr6:coauthVersionLast="45" xr6:coauthVersionMax="45" xr10:uidLastSave="{199E96C7-D334-42BC-B9A4-A925CE0AA74D}"/>
  <bookViews>
    <workbookView xWindow="-108" yWindow="-108" windowWidth="23256" windowHeight="13176" tabRatio="725" activeTab="3" xr2:uid="{00000000-000D-0000-FFFF-FFFF00000000}"/>
  </bookViews>
  <sheets>
    <sheet name="Tenant Rent Roll" sheetId="1" r:id="rId1"/>
    <sheet name="LH Valuation" sheetId="2" r:id="rId2"/>
    <sheet name="LF Analysis" sheetId="3" r:id="rId3"/>
    <sheet name="Summary Sheet" sheetId="4" r:id="rId4"/>
  </sheets>
  <definedNames>
    <definedName name="_xlnm.Print_Area" localSheetId="2">'LF Analysis'!$A$17:$K$67</definedName>
    <definedName name="_xlnm.Print_Area" localSheetId="1">'LH Valuation'!$A$11:$T$60</definedName>
    <definedName name="_xlnm.Print_Area" localSheetId="0">'Tenant Rent Roll'!$B$3:$M$28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N17" i="4"/>
  <c r="N16" i="3" l="1"/>
  <c r="K65" i="2" l="1"/>
  <c r="P13" i="1"/>
  <c r="G5" i="3"/>
  <c r="G4" i="3" s="1"/>
  <c r="I6" i="3" l="1"/>
  <c r="I23" i="1"/>
  <c r="K23" i="1"/>
  <c r="L23" i="1" s="1"/>
  <c r="E24" i="3"/>
  <c r="M26" i="1"/>
  <c r="I22" i="1"/>
  <c r="K22" i="1"/>
  <c r="I15" i="1"/>
  <c r="K15" i="1"/>
  <c r="K16" i="1" s="1"/>
  <c r="I16" i="1"/>
  <c r="I17" i="1"/>
  <c r="I18" i="1"/>
  <c r="I19" i="1"/>
  <c r="I20" i="1"/>
  <c r="I21" i="1"/>
  <c r="M13" i="1"/>
  <c r="K10" i="1"/>
  <c r="K11" i="1" s="1"/>
  <c r="K12" i="1" s="1"/>
  <c r="I12" i="1"/>
  <c r="I13" i="1"/>
  <c r="I14" i="1"/>
  <c r="I11" i="1"/>
  <c r="F59" i="3" l="1"/>
  <c r="F60" i="3"/>
  <c r="F57" i="3"/>
  <c r="F56" i="3"/>
  <c r="F58" i="3"/>
  <c r="E25" i="3"/>
  <c r="I65" i="2"/>
  <c r="I7" i="3"/>
  <c r="L22" i="1"/>
  <c r="E26" i="3"/>
  <c r="E27" i="3" s="1"/>
  <c r="E28" i="3" s="1"/>
  <c r="E29" i="3" s="1"/>
  <c r="F25" i="3"/>
  <c r="L19" i="2" s="1"/>
  <c r="F24" i="3"/>
  <c r="L18" i="2" s="1"/>
  <c r="K17" i="1"/>
  <c r="K13" i="1"/>
  <c r="P17" i="4"/>
  <c r="P15" i="4"/>
  <c r="M15" i="4"/>
  <c r="G15" i="4"/>
  <c r="F15" i="4"/>
  <c r="D15" i="4"/>
  <c r="C15" i="4"/>
  <c r="C17" i="4" s="1"/>
  <c r="N14" i="4"/>
  <c r="E14" i="4"/>
  <c r="N13" i="4"/>
  <c r="E13" i="4"/>
  <c r="N12" i="4"/>
  <c r="E12" i="4"/>
  <c r="N11" i="4"/>
  <c r="E11" i="4"/>
  <c r="N10" i="4"/>
  <c r="E10" i="4"/>
  <c r="N9" i="4"/>
  <c r="E9" i="4"/>
  <c r="N8" i="4"/>
  <c r="E8" i="4"/>
  <c r="E15" i="4" s="1"/>
  <c r="N7" i="4"/>
  <c r="N6" i="4"/>
  <c r="N5" i="4"/>
  <c r="D26" i="3"/>
  <c r="L25" i="3"/>
  <c r="L26" i="3" s="1"/>
  <c r="G25" i="3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G22" i="3"/>
  <c r="I20" i="2"/>
  <c r="U19" i="2"/>
  <c r="O19" i="2" s="1"/>
  <c r="G19" i="2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C18" i="2"/>
  <c r="O16" i="2"/>
  <c r="K26" i="1"/>
  <c r="D10" i="1"/>
  <c r="L15" i="1" s="1"/>
  <c r="O18" i="2" l="1"/>
  <c r="L27" i="3"/>
  <c r="L16" i="1"/>
  <c r="K18" i="1"/>
  <c r="L17" i="1"/>
  <c r="D26" i="1"/>
  <c r="L26" i="1" s="1"/>
  <c r="L12" i="1"/>
  <c r="L10" i="1"/>
  <c r="L11" i="1"/>
  <c r="M32" i="1"/>
  <c r="M34" i="1" s="1"/>
  <c r="L13" i="1"/>
  <c r="K14" i="1"/>
  <c r="L14" i="1" s="1"/>
  <c r="D11" i="1"/>
  <c r="N15" i="4"/>
  <c r="U20" i="2"/>
  <c r="G24" i="3"/>
  <c r="D27" i="3"/>
  <c r="I21" i="2"/>
  <c r="G9" i="3"/>
  <c r="I10" i="3" s="1"/>
  <c r="D18" i="2"/>
  <c r="G26" i="3"/>
  <c r="L18" i="1" l="1"/>
  <c r="K19" i="1"/>
  <c r="E27" i="1"/>
  <c r="I11" i="3"/>
  <c r="I22" i="2"/>
  <c r="D28" i="3"/>
  <c r="G27" i="3"/>
  <c r="I24" i="3"/>
  <c r="O20" i="2"/>
  <c r="U21" i="2"/>
  <c r="O21" i="2" s="1"/>
  <c r="L28" i="3"/>
  <c r="K18" i="2" l="1"/>
  <c r="K19" i="2" s="1"/>
  <c r="I12" i="3"/>
  <c r="L19" i="1"/>
  <c r="K20" i="1"/>
  <c r="I23" i="2"/>
  <c r="D29" i="3"/>
  <c r="G28" i="3"/>
  <c r="U22" i="2"/>
  <c r="O22" i="2" s="1"/>
  <c r="M18" i="2"/>
  <c r="Q18" i="2" s="1"/>
  <c r="I25" i="3"/>
  <c r="L29" i="3"/>
  <c r="L30" i="3" l="1"/>
  <c r="K21" i="1"/>
  <c r="L21" i="1" s="1"/>
  <c r="L20" i="1"/>
  <c r="D30" i="3"/>
  <c r="G29" i="3"/>
  <c r="K20" i="2"/>
  <c r="M19" i="2"/>
  <c r="Q19" i="2" s="1"/>
  <c r="I24" i="2"/>
  <c r="U23" i="2"/>
  <c r="O23" i="2" s="1"/>
  <c r="L31" i="3" l="1"/>
  <c r="U24" i="2"/>
  <c r="U25" i="2" s="1"/>
  <c r="I25" i="2"/>
  <c r="D31" i="3"/>
  <c r="G30" i="3"/>
  <c r="K21" i="2"/>
  <c r="L32" i="3" l="1"/>
  <c r="O24" i="2"/>
  <c r="K22" i="2"/>
  <c r="O25" i="2"/>
  <c r="I26" i="2"/>
  <c r="U26" i="2"/>
  <c r="G31" i="3"/>
  <c r="D32" i="3"/>
  <c r="O26" i="2" l="1"/>
  <c r="I27" i="2"/>
  <c r="U27" i="2"/>
  <c r="K23" i="2"/>
  <c r="G32" i="3"/>
  <c r="D33" i="3"/>
  <c r="L33" i="3"/>
  <c r="G56" i="3" l="1"/>
  <c r="I56" i="3" s="1"/>
  <c r="G33" i="3"/>
  <c r="D34" i="3"/>
  <c r="L34" i="3"/>
  <c r="K24" i="2"/>
  <c r="O27" i="2"/>
  <c r="I28" i="2"/>
  <c r="U28" i="2"/>
  <c r="K25" i="2" l="1"/>
  <c r="L35" i="3"/>
  <c r="G34" i="3"/>
  <c r="D35" i="3"/>
  <c r="O28" i="2"/>
  <c r="I29" i="2"/>
  <c r="U29" i="2"/>
  <c r="K26" i="2" l="1"/>
  <c r="D36" i="3"/>
  <c r="G35" i="3"/>
  <c r="O29" i="2"/>
  <c r="I30" i="2"/>
  <c r="U30" i="2"/>
  <c r="L36" i="3"/>
  <c r="L37" i="3" l="1"/>
  <c r="D37" i="3"/>
  <c r="G36" i="3"/>
  <c r="O30" i="2"/>
  <c r="I31" i="2"/>
  <c r="U31" i="2"/>
  <c r="K27" i="2"/>
  <c r="D38" i="3" l="1"/>
  <c r="G37" i="3"/>
  <c r="K28" i="2"/>
  <c r="O31" i="2"/>
  <c r="I32" i="2"/>
  <c r="U32" i="2"/>
  <c r="L38" i="3"/>
  <c r="G57" i="3" l="1"/>
  <c r="I57" i="3" s="1"/>
  <c r="L39" i="3"/>
  <c r="K29" i="2"/>
  <c r="O32" i="2"/>
  <c r="I33" i="2"/>
  <c r="U33" i="2"/>
  <c r="D39" i="3"/>
  <c r="G38" i="3"/>
  <c r="O33" i="2" l="1"/>
  <c r="I34" i="2"/>
  <c r="U34" i="2"/>
  <c r="G39" i="3"/>
  <c r="D40" i="3"/>
  <c r="L40" i="3"/>
  <c r="L41" i="3" s="1"/>
  <c r="K30" i="2"/>
  <c r="K31" i="2" l="1"/>
  <c r="O34" i="2"/>
  <c r="I35" i="2"/>
  <c r="U35" i="2"/>
  <c r="G40" i="3"/>
  <c r="D41" i="3"/>
  <c r="O35" i="2" l="1"/>
  <c r="I36" i="2"/>
  <c r="U36" i="2"/>
  <c r="K32" i="2"/>
  <c r="G41" i="3"/>
  <c r="D42" i="3"/>
  <c r="L42" i="3"/>
  <c r="L43" i="3" l="1"/>
  <c r="K33" i="2"/>
  <c r="O36" i="2"/>
  <c r="I37" i="2"/>
  <c r="U37" i="2"/>
  <c r="G42" i="3"/>
  <c r="D43" i="3"/>
  <c r="G58" i="3" l="1"/>
  <c r="I58" i="3"/>
  <c r="O37" i="2"/>
  <c r="I38" i="2"/>
  <c r="U38" i="2"/>
  <c r="D44" i="3"/>
  <c r="G43" i="3"/>
  <c r="L44" i="3"/>
  <c r="K34" i="2"/>
  <c r="K35" i="2" l="1"/>
  <c r="L45" i="3"/>
  <c r="O38" i="2"/>
  <c r="I39" i="2"/>
  <c r="U39" i="2"/>
  <c r="D45" i="3"/>
  <c r="G44" i="3"/>
  <c r="L46" i="3" l="1"/>
  <c r="D46" i="3"/>
  <c r="G45" i="3"/>
  <c r="K36" i="2"/>
  <c r="O39" i="2"/>
  <c r="I40" i="2"/>
  <c r="U40" i="2"/>
  <c r="L47" i="3" l="1"/>
  <c r="K37" i="2"/>
  <c r="O40" i="2"/>
  <c r="I41" i="2"/>
  <c r="U41" i="2"/>
  <c r="D47" i="3"/>
  <c r="G46" i="3"/>
  <c r="L48" i="3" l="1"/>
  <c r="K38" i="2"/>
  <c r="G47" i="3"/>
  <c r="D48" i="3"/>
  <c r="O41" i="2"/>
  <c r="I42" i="2"/>
  <c r="U42" i="2"/>
  <c r="G59" i="3" l="1"/>
  <c r="G48" i="3"/>
  <c r="D49" i="3"/>
  <c r="K39" i="2"/>
  <c r="O42" i="2"/>
  <c r="I43" i="2"/>
  <c r="U43" i="2"/>
  <c r="L49" i="3"/>
  <c r="L50" i="3" l="1"/>
  <c r="O43" i="2"/>
  <c r="I44" i="2"/>
  <c r="U44" i="2"/>
  <c r="K40" i="2"/>
  <c r="G49" i="3"/>
  <c r="D50" i="3"/>
  <c r="L51" i="3" l="1"/>
  <c r="K41" i="2"/>
  <c r="O44" i="2"/>
  <c r="I45" i="2"/>
  <c r="U45" i="2"/>
  <c r="G50" i="3"/>
  <c r="D51" i="3"/>
  <c r="L52" i="3" l="1"/>
  <c r="O45" i="2"/>
  <c r="I46" i="2"/>
  <c r="U46" i="2"/>
  <c r="D52" i="3"/>
  <c r="D53" i="3" s="1"/>
  <c r="G51" i="3"/>
  <c r="K42" i="2"/>
  <c r="G60" i="3" l="1"/>
  <c r="I60" i="3" s="1"/>
  <c r="I47" i="2"/>
  <c r="I62" i="2" s="1"/>
  <c r="U47" i="2"/>
  <c r="L53" i="3"/>
  <c r="G53" i="3" s="1"/>
  <c r="G52" i="3"/>
  <c r="K43" i="2"/>
  <c r="O46" i="2"/>
  <c r="O47" i="2" l="1"/>
  <c r="O62" i="2" s="1"/>
  <c r="K44" i="2"/>
  <c r="G71" i="3"/>
  <c r="I59" i="3" l="1"/>
  <c r="K45" i="2"/>
  <c r="K46" i="2" l="1"/>
  <c r="K47" i="2" s="1"/>
  <c r="F26" i="3" l="1"/>
  <c r="F27" i="3"/>
  <c r="L21" i="2" s="1"/>
  <c r="M21" i="2" s="1"/>
  <c r="Q21" i="2" s="1"/>
  <c r="F28" i="3"/>
  <c r="F29" i="3"/>
  <c r="E30" i="3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F53" i="3" s="1"/>
  <c r="F30" i="3" l="1"/>
  <c r="I30" i="3" s="1"/>
  <c r="F31" i="3"/>
  <c r="I31" i="3" s="1"/>
  <c r="L47" i="2"/>
  <c r="M47" i="2" s="1"/>
  <c r="Q47" i="2" s="1"/>
  <c r="I53" i="3"/>
  <c r="I27" i="3"/>
  <c r="I26" i="3"/>
  <c r="L20" i="2"/>
  <c r="L25" i="2"/>
  <c r="M25" i="2" s="1"/>
  <c r="Q25" i="2" s="1"/>
  <c r="I28" i="3"/>
  <c r="L22" i="2"/>
  <c r="M22" i="2" s="1"/>
  <c r="Q22" i="2" s="1"/>
  <c r="I29" i="3"/>
  <c r="L23" i="2"/>
  <c r="M23" i="2" s="1"/>
  <c r="Q23" i="2" s="1"/>
  <c r="F32" i="3"/>
  <c r="L24" i="2" l="1"/>
  <c r="M24" i="2" s="1"/>
  <c r="Q24" i="2" s="1"/>
  <c r="M20" i="2"/>
  <c r="Q20" i="2" s="1"/>
  <c r="I32" i="3"/>
  <c r="L26" i="2"/>
  <c r="M26" i="2" s="1"/>
  <c r="Q26" i="2" s="1"/>
  <c r="F33" i="3"/>
  <c r="I33" i="3" l="1"/>
  <c r="I62" i="3" s="1"/>
  <c r="L27" i="2"/>
  <c r="M27" i="2" s="1"/>
  <c r="Q27" i="2" s="1"/>
  <c r="S50" i="2" s="1"/>
  <c r="F34" i="3"/>
  <c r="I34" i="3" l="1"/>
  <c r="L28" i="2"/>
  <c r="F35" i="3"/>
  <c r="I76" i="3" l="1"/>
  <c r="M62" i="3"/>
  <c r="I35" i="3"/>
  <c r="L29" i="2"/>
  <c r="M29" i="2" s="1"/>
  <c r="Q29" i="2" s="1"/>
  <c r="M28" i="2"/>
  <c r="Q28" i="2" s="1"/>
  <c r="F36" i="3"/>
  <c r="I36" i="3" l="1"/>
  <c r="L30" i="2"/>
  <c r="F37" i="3"/>
  <c r="I37" i="3" l="1"/>
  <c r="L31" i="2"/>
  <c r="M31" i="2" s="1"/>
  <c r="Q31" i="2" s="1"/>
  <c r="M30" i="2"/>
  <c r="Q30" i="2" s="1"/>
  <c r="F38" i="3"/>
  <c r="I38" i="3" l="1"/>
  <c r="I63" i="3" s="1"/>
  <c r="M63" i="3" s="1"/>
  <c r="L32" i="2"/>
  <c r="F39" i="3"/>
  <c r="I39" i="3" l="1"/>
  <c r="L33" i="2"/>
  <c r="M33" i="2" s="1"/>
  <c r="Q33" i="2" s="1"/>
  <c r="M32" i="2"/>
  <c r="Q32" i="2" s="1"/>
  <c r="S51" i="2" s="1"/>
  <c r="F40" i="3"/>
  <c r="I40" i="3" l="1"/>
  <c r="L34" i="2"/>
  <c r="M34" i="2" s="1"/>
  <c r="Q34" i="2" s="1"/>
  <c r="F41" i="3"/>
  <c r="I41" i="3" l="1"/>
  <c r="L35" i="2"/>
  <c r="M35" i="2" s="1"/>
  <c r="Q35" i="2" s="1"/>
  <c r="F42" i="3"/>
  <c r="I42" i="3" l="1"/>
  <c r="L36" i="2"/>
  <c r="M36" i="2" s="1"/>
  <c r="Q36" i="2" s="1"/>
  <c r="F43" i="3"/>
  <c r="I43" i="3" l="1"/>
  <c r="I64" i="3" s="1"/>
  <c r="M64" i="3" s="1"/>
  <c r="L37" i="2"/>
  <c r="M37" i="2" s="1"/>
  <c r="Q37" i="2" s="1"/>
  <c r="S52" i="2" s="1"/>
  <c r="F44" i="3"/>
  <c r="I44" i="3" l="1"/>
  <c r="L38" i="2"/>
  <c r="M38" i="2" s="1"/>
  <c r="Q38" i="2" s="1"/>
  <c r="F45" i="3"/>
  <c r="I45" i="3" l="1"/>
  <c r="L39" i="2"/>
  <c r="M39" i="2" s="1"/>
  <c r="Q39" i="2" s="1"/>
  <c r="F46" i="3"/>
  <c r="I46" i="3" l="1"/>
  <c r="L40" i="2"/>
  <c r="M40" i="2" s="1"/>
  <c r="Q40" i="2" s="1"/>
  <c r="F47" i="3"/>
  <c r="I47" i="3" l="1"/>
  <c r="L41" i="2"/>
  <c r="M41" i="2" s="1"/>
  <c r="Q41" i="2" s="1"/>
  <c r="F48" i="3"/>
  <c r="I48" i="3" l="1"/>
  <c r="I65" i="3" s="1"/>
  <c r="L42" i="2"/>
  <c r="M42" i="2" s="1"/>
  <c r="Q42" i="2" s="1"/>
  <c r="S53" i="2" s="1"/>
  <c r="F49" i="3"/>
  <c r="F50" i="3"/>
  <c r="F51" i="3"/>
  <c r="F52" i="3"/>
  <c r="I49" i="3" l="1"/>
  <c r="L43" i="2"/>
  <c r="M43" i="2" s="1"/>
  <c r="Q43" i="2" s="1"/>
  <c r="I52" i="3"/>
  <c r="L46" i="2"/>
  <c r="I51" i="3"/>
  <c r="L45" i="2"/>
  <c r="M45" i="2" s="1"/>
  <c r="Q45" i="2" s="1"/>
  <c r="I50" i="3"/>
  <c r="L44" i="2"/>
  <c r="M44" i="2" s="1"/>
  <c r="Q44" i="2" s="1"/>
  <c r="I66" i="3" l="1"/>
  <c r="M66" i="3" s="1"/>
  <c r="M65" i="3"/>
  <c r="M46" i="2"/>
  <c r="Q46" i="2" s="1"/>
  <c r="S54" i="2" s="1"/>
  <c r="I75" i="3" l="1"/>
  <c r="I78" i="3" s="1"/>
  <c r="I80" i="3" s="1"/>
</calcChain>
</file>

<file path=xl/sharedStrings.xml><?xml version="1.0" encoding="utf-8"?>
<sst xmlns="http://schemas.openxmlformats.org/spreadsheetml/2006/main" count="308" uniqueCount="167">
  <si>
    <t>Leased</t>
  </si>
  <si>
    <t>Period</t>
  </si>
  <si>
    <t>Land Area</t>
  </si>
  <si>
    <t>Length</t>
  </si>
  <si>
    <t>Option to</t>
  </si>
  <si>
    <t>Lease</t>
  </si>
  <si>
    <t>Begin</t>
  </si>
  <si>
    <t>End</t>
  </si>
  <si>
    <t>Monthly</t>
  </si>
  <si>
    <t>Annual</t>
  </si>
  <si>
    <t>Current Annual</t>
  </si>
  <si>
    <t>Ground Lessee</t>
  </si>
  <si>
    <t>(SF / Acres)</t>
  </si>
  <si>
    <t>of Lease</t>
  </si>
  <si>
    <t>Extend</t>
  </si>
  <si>
    <t>Structure</t>
  </si>
  <si>
    <t>Date</t>
  </si>
  <si>
    <t>Amount</t>
  </si>
  <si>
    <t xml:space="preserve"> / SF</t>
  </si>
  <si>
    <t>Absolute</t>
  </si>
  <si>
    <t>NNN</t>
  </si>
  <si>
    <t>TOTAL:</t>
  </si>
  <si>
    <t>VACANCY:</t>
  </si>
  <si>
    <t>Leasehold Assumptions</t>
  </si>
  <si>
    <t>Discount Rate</t>
  </si>
  <si>
    <t>Payments / Year (In Advance)</t>
  </si>
  <si>
    <t>LEASEHOLD VALUATION</t>
  </si>
  <si>
    <t>Remaining</t>
  </si>
  <si>
    <t>Annuity</t>
  </si>
  <si>
    <t xml:space="preserve">    Present </t>
  </si>
  <si>
    <t>Site</t>
  </si>
  <si>
    <t>Year</t>
  </si>
  <si>
    <t>Lease Term</t>
  </si>
  <si>
    <t>Market</t>
  </si>
  <si>
    <t>Contract</t>
  </si>
  <si>
    <t>Leasehold</t>
  </si>
  <si>
    <t>Factor / IRR</t>
  </si>
  <si>
    <t xml:space="preserve">    Value of</t>
  </si>
  <si>
    <t>Cumulative</t>
  </si>
  <si>
    <t>Area (SF)</t>
  </si>
  <si>
    <t>(Begin.)</t>
  </si>
  <si>
    <t>(Months)  [1]</t>
  </si>
  <si>
    <t>Rent</t>
  </si>
  <si>
    <t>Position</t>
  </si>
  <si>
    <t>[2]</t>
  </si>
  <si>
    <t xml:space="preserve">    Position</t>
  </si>
  <si>
    <t>LH Value</t>
  </si>
  <si>
    <t>x</t>
  </si>
  <si>
    <t>=</t>
  </si>
  <si>
    <t>MARKET VALUE OF THE GROUND LEASEHOLD INTEREST:</t>
  </si>
  <si>
    <t>Note:</t>
  </si>
  <si>
    <t>[2]  Beginning of period annuity factors used, since ground lessee rents are due in advance, or at the beginning of the month.</t>
  </si>
  <si>
    <t>Cross-Check of PV Factors</t>
  </si>
  <si>
    <t>Fee Simple</t>
  </si>
  <si>
    <t>Site Area:</t>
  </si>
  <si>
    <t>SF</t>
  </si>
  <si>
    <t>Fee Simple Land Value</t>
  </si>
  <si>
    <t>Land Rate of Return:</t>
  </si>
  <si>
    <t>IRR =</t>
  </si>
  <si>
    <t>No. of Pmts. Per Year</t>
  </si>
  <si>
    <t>Reversion Commission Rate</t>
  </si>
  <si>
    <t>LEASED FEE VALUATION - METHOD 2</t>
  </si>
  <si>
    <t>Discount Factor</t>
  </si>
  <si>
    <t>Present</t>
  </si>
  <si>
    <t>Mos.</t>
  </si>
  <si>
    <t>$ / Yr.</t>
  </si>
  <si>
    <t>$ / Mo.</t>
  </si>
  <si>
    <t>Value</t>
  </si>
  <si>
    <t>INDICATED LEASED FEE VALUE - Method 2:</t>
  </si>
  <si>
    <t>Meas. 50</t>
  </si>
  <si>
    <t>Assessed</t>
  </si>
  <si>
    <t>Land Area Per County</t>
  </si>
  <si>
    <t>Parcel No.</t>
  </si>
  <si>
    <t>Land</t>
  </si>
  <si>
    <t>Imps.</t>
  </si>
  <si>
    <t>Total</t>
  </si>
  <si>
    <t>Taxes</t>
  </si>
  <si>
    <t>Map</t>
  </si>
  <si>
    <t>Tax Lot</t>
  </si>
  <si>
    <t>Acres</t>
  </si>
  <si>
    <t>GBA (SF)</t>
  </si>
  <si>
    <t xml:space="preserve"> - TL</t>
  </si>
  <si>
    <t>TOTAL</t>
  </si>
  <si>
    <t>Land Area Per Ground Lease</t>
  </si>
  <si>
    <t>Site Coverage Ratio</t>
  </si>
  <si>
    <t>Per SF Land Area</t>
  </si>
  <si>
    <t>None</t>
  </si>
  <si>
    <t>TENANT RENT ROLL (as of June 2020)</t>
  </si>
  <si>
    <t>U.S. Bank - SW Century Drive, Bend</t>
  </si>
  <si>
    <t>U.S. Bank</t>
  </si>
  <si>
    <t>Years 1 to 3</t>
  </si>
  <si>
    <t>Triple Net Ground Rent</t>
  </si>
  <si>
    <t>40 Years</t>
  </si>
  <si>
    <t>Years 4 to 6</t>
  </si>
  <si>
    <t>Years 10 to 12</t>
  </si>
  <si>
    <t>Years 13 to 15</t>
  </si>
  <si>
    <t>Years 16 to 18</t>
  </si>
  <si>
    <t>Years 19 to 21</t>
  </si>
  <si>
    <t>Years 22 to 24</t>
  </si>
  <si>
    <t>Years 25 to 27</t>
  </si>
  <si>
    <t>Years 28 to 30</t>
  </si>
  <si>
    <t>Years 31 to 33</t>
  </si>
  <si>
    <t xml:space="preserve">       These early termination dates essentially act as extension options for the tenant.</t>
  </si>
  <si>
    <t>Early Out 1</t>
  </si>
  <si>
    <t>Early Out 2</t>
  </si>
  <si>
    <t>Early Out 3</t>
  </si>
  <si>
    <t>Early Out 4</t>
  </si>
  <si>
    <t xml:space="preserve">[1]     </t>
  </si>
  <si>
    <t>Years 34 to 36</t>
  </si>
  <si>
    <t>[1]  Tenant / Ground Lessee has early termination rights at the beginning of Years 21, 26, 31 &amp; 36 (6 months notice required).</t>
  </si>
  <si>
    <t>Years 37 to 39</t>
  </si>
  <si>
    <t>Year 40</t>
  </si>
  <si>
    <t>SF GLA</t>
  </si>
  <si>
    <t>Estimated Market Bldg. Rent</t>
  </si>
  <si>
    <t>Estimated Cap Rate:</t>
  </si>
  <si>
    <t>REVERSIONARY INTEREST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</si>
  <si>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</si>
  <si>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</si>
  <si>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</si>
  <si>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</si>
  <si>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</si>
  <si>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</si>
  <si>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</si>
  <si>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</si>
  <si>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</si>
  <si>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</si>
  <si>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Market Rent Appreciation</t>
  </si>
  <si>
    <t>Valuation Method</t>
  </si>
  <si>
    <t>Conclusion</t>
  </si>
  <si>
    <t>Final Indicated Leased Fee Value</t>
  </si>
  <si>
    <t>Inferred Cap Rate (Based on Current 12-Month Contract Rent):</t>
  </si>
  <si>
    <t>Total No. of Months Remain.</t>
  </si>
  <si>
    <t>Add:  Negative LH</t>
  </si>
  <si>
    <t>Leased Fee Value</t>
  </si>
  <si>
    <t>/ SF GLA</t>
  </si>
  <si>
    <t>/ Year</t>
  </si>
  <si>
    <t>/ Month</t>
  </si>
  <si>
    <t>Market Ground Rent / Mo.</t>
  </si>
  <si>
    <t>Market Ground Rent / Year</t>
  </si>
  <si>
    <t>Method 1: FS + Negative Leasehold</t>
  </si>
  <si>
    <t>Market Value - Land &amp; Bldg. (Fee Simple)</t>
  </si>
  <si>
    <t>Market Land Value (Fee Simple)</t>
  </si>
  <si>
    <t>SF Land</t>
  </si>
  <si>
    <t>/ SF Land</t>
  </si>
  <si>
    <t>Reversion Assumption</t>
  </si>
  <si>
    <t>Land Only</t>
  </si>
  <si>
    <t>Land / Bldg.</t>
  </si>
  <si>
    <t>Method 2: Leased Fee Analysis</t>
  </si>
  <si>
    <t>Years 7 to 9</t>
  </si>
  <si>
    <t>LF Position Thru 04-18-2030</t>
  </si>
  <si>
    <t>LF Position Thru 04-18-2035</t>
  </si>
  <si>
    <t>LF Position Thru 04-18-2040</t>
  </si>
  <si>
    <t>LF Position Thru 04-18-2045</t>
  </si>
  <si>
    <t>LF Position Thru 04-18-2050</t>
  </si>
  <si>
    <t>ASSUMPTIONS</t>
  </si>
  <si>
    <t>Subject Building Area:</t>
  </si>
  <si>
    <t>Begin.</t>
  </si>
  <si>
    <t>(T or F?)</t>
  </si>
  <si>
    <t>[1]  No. of months remaining as of ______________, 20___ (next date of rent payment).</t>
  </si>
  <si>
    <t>$ / SF</t>
  </si>
  <si>
    <t>LH Position Thru 04-18-2030</t>
  </si>
  <si>
    <t>LH Position Thru 04-18-2035</t>
  </si>
  <si>
    <t>LH Position Thru 04-18-2040</t>
  </si>
  <si>
    <t>LH Position Thru 04-18-2045</t>
  </si>
  <si>
    <t>LH Position Thru 04-18-2050</t>
  </si>
  <si>
    <t>Market Appreciation Rent</t>
  </si>
  <si>
    <t>Market Appreciation 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</si>
</sst>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0.0%"/>
    <numFmt numFmtId="166" formatCode="&quot;$&quot;#,##0"/>
    <numFmt numFmtId="167" formatCode="&quot;$&quot;#,##0.000"/>
    <numFmt numFmtId="168" formatCode="0.000000000"/>
    <numFmt numFmtId="169" formatCode="0.000000"/>
    <numFmt numFmtId="170" formatCode="0.00000000"/>
    <numFmt numFmtId="171" formatCode="_(&quot;$&quot;* #,##0_);_(&quot;$&quot;* \(#,##0\);_(&quot;$&quot;* &quot;-&quot;??_);_(@_)"/>
    <numFmt numFmtId="172" formatCode="[$-409]d\-mmm\-yy;@"/>
  </numFmts>
  <fonts count="29" x14ac:knownFonts="1">
    <font>
      <sz val="8"/>
      <color rgb="FF000000"/>
      <name val="Tms Rmn"/>
    </font>
    <font>
      <sz val="1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sz val="9"/>
      <color rgb="FF000000"/>
      <name val="Calibri"/>
    </font>
    <font>
      <sz val="10.5"/>
      <color rgb="FF000000"/>
      <name val="Calibri"/>
    </font>
    <font>
      <b/>
      <sz val="9"/>
      <color rgb="FFFFFFFF"/>
      <name val="Calibri"/>
    </font>
    <font>
      <b/>
      <sz val="9"/>
      <color rgb="FF000000"/>
      <name val="Calibri"/>
    </font>
    <font>
      <sz val="8"/>
      <color rgb="FFFFFFFF"/>
      <name val="Calibri"/>
    </font>
    <font>
      <sz val="10"/>
      <color rgb="FFFFFFFF"/>
      <name val="Calibri"/>
    </font>
    <font>
      <b/>
      <sz val="8"/>
      <color rgb="FFFFFFFF"/>
      <name val="Calibri"/>
    </font>
    <font>
      <b/>
      <u/>
      <sz val="9"/>
      <color rgb="FFFFFFFF"/>
      <name val="Calibri"/>
    </font>
    <font>
      <b/>
      <sz val="14"/>
      <color rgb="FF000000"/>
      <name val="Tms Rmn"/>
    </font>
    <font>
      <sz val="10"/>
      <color rgb="FF000000"/>
      <name val="Arial"/>
    </font>
    <font>
      <sz val="11"/>
      <color rgb="FF000000"/>
      <name val="Calibri"/>
    </font>
    <font>
      <sz val="8"/>
      <name val="Tms Rmn"/>
    </font>
    <font>
      <sz val="8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</font>
    <font>
      <sz val="8"/>
      <color theme="0"/>
      <name val="Tms Rmn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64"/>
      </patternFill>
    </fill>
  </fills>
  <borders count="5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/>
      <top/>
      <bottom style="thick">
        <color rgb="FF3FB44F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ashed">
        <color rgb="FF000000"/>
      </bottom>
      <diagonal/>
    </border>
    <border>
      <left/>
      <right/>
      <top style="dotted">
        <color auto="1"/>
      </top>
      <bottom/>
      <diagonal/>
    </border>
    <border>
      <left/>
      <right style="thin">
        <color rgb="FF000000"/>
      </right>
      <top style="dotted">
        <color auto="1"/>
      </top>
      <bottom/>
      <diagonal/>
    </border>
    <border>
      <left style="thin">
        <color rgb="FF000000"/>
      </left>
      <right/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rgb="FF3FB44F"/>
      </top>
      <bottom/>
      <diagonal/>
    </border>
  </borders>
  <cellStyleXfs count="3">
    <xf numFmtId="0" fontId="0" fillId="0" borderId="0"/>
    <xf numFmtId="0" fontId="17" fillId="0" borderId="0"/>
    <xf numFmtId="0" fontId="18" fillId="0" borderId="0"/>
  </cellStyleXfs>
  <cellXfs count="3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5" fontId="4" fillId="2" borderId="0" xfId="0" applyNumberFormat="1" applyFont="1" applyFill="1" applyAlignment="1">
      <alignment horizontal="center"/>
    </xf>
    <xf numFmtId="15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5" fontId="1" fillId="0" borderId="0" xfId="0" applyNumberFormat="1" applyFont="1"/>
    <xf numFmtId="164" fontId="4" fillId="0" borderId="0" xfId="0" applyNumberFormat="1" applyFont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quotePrefix="1" applyFont="1" applyBorder="1"/>
    <xf numFmtId="164" fontId="4" fillId="0" borderId="4" xfId="0" applyNumberFormat="1" applyFont="1" applyBorder="1" applyAlignment="1">
      <alignment horizontal="center"/>
    </xf>
    <xf numFmtId="0" fontId="4" fillId="0" borderId="0" xfId="0" applyFont="1"/>
    <xf numFmtId="37" fontId="4" fillId="0" borderId="0" xfId="0" applyNumberFormat="1" applyFont="1" applyAlignment="1">
      <alignment horizontal="center"/>
    </xf>
    <xf numFmtId="0" fontId="4" fillId="0" borderId="0" xfId="0" quotePrefix="1" applyFont="1"/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165" fontId="5" fillId="0" borderId="7" xfId="0" applyNumberFormat="1" applyFont="1" applyBorder="1"/>
    <xf numFmtId="0" fontId="4" fillId="0" borderId="7" xfId="0" applyFont="1" applyBorder="1" applyAlignment="1">
      <alignment horizontal="center"/>
    </xf>
    <xf numFmtId="0" fontId="1" fillId="0" borderId="7" xfId="0" applyFont="1" applyBorder="1"/>
    <xf numFmtId="0" fontId="5" fillId="0" borderId="7" xfId="0" applyFont="1" applyBorder="1" applyAlignment="1">
      <alignment horizontal="left"/>
    </xf>
    <xf numFmtId="166" fontId="3" fillId="0" borderId="7" xfId="0" applyNumberFormat="1" applyFont="1" applyBorder="1" applyAlignment="1">
      <alignment horizontal="right"/>
    </xf>
    <xf numFmtId="165" fontId="1" fillId="0" borderId="0" xfId="0" applyNumberFormat="1" applyFont="1"/>
    <xf numFmtId="6" fontId="1" fillId="0" borderId="0" xfId="0" applyNumberFormat="1" applyFont="1"/>
    <xf numFmtId="8" fontId="1" fillId="0" borderId="0" xfId="0" applyNumberFormat="1" applyFont="1"/>
    <xf numFmtId="0" fontId="6" fillId="3" borderId="8" xfId="0" applyFont="1" applyFill="1" applyBorder="1" applyAlignment="1">
      <alignment horizontal="center"/>
    </xf>
    <xf numFmtId="0" fontId="6" fillId="3" borderId="8" xfId="0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37" fontId="6" fillId="3" borderId="0" xfId="0" applyNumberFormat="1" applyFont="1" applyFill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9" xfId="0" applyFont="1" applyFill="1" applyBorder="1"/>
    <xf numFmtId="0" fontId="6" fillId="3" borderId="9" xfId="0" applyFont="1" applyFill="1" applyBorder="1" applyAlignment="1">
      <alignment horizontal="center"/>
    </xf>
    <xf numFmtId="37" fontId="6" fillId="3" borderId="9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/>
    <xf numFmtId="3" fontId="4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5" fontId="1" fillId="2" borderId="0" xfId="0" applyNumberFormat="1" applyFont="1" applyFill="1" applyAlignment="1">
      <alignment horizontal="center"/>
    </xf>
    <xf numFmtId="5" fontId="1" fillId="2" borderId="1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right"/>
    </xf>
    <xf numFmtId="3" fontId="1" fillId="2" borderId="1" xfId="0" applyNumberFormat="1" applyFont="1" applyFill="1" applyBorder="1"/>
    <xf numFmtId="5" fontId="1" fillId="2" borderId="0" xfId="0" applyNumberFormat="1" applyFont="1" applyFill="1"/>
    <xf numFmtId="5" fontId="4" fillId="2" borderId="0" xfId="0" applyNumberFormat="1" applyFont="1" applyFill="1"/>
    <xf numFmtId="0" fontId="7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4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5" fontId="1" fillId="2" borderId="4" xfId="0" applyNumberFormat="1" applyFont="1" applyFill="1" applyBorder="1" applyAlignment="1">
      <alignment horizontal="center"/>
    </xf>
    <xf numFmtId="5" fontId="1" fillId="2" borderId="5" xfId="0" applyNumberFormat="1" applyFont="1" applyFill="1" applyBorder="1" applyAlignment="1">
      <alignment horizontal="center"/>
    </xf>
    <xf numFmtId="169" fontId="3" fillId="0" borderId="4" xfId="0" applyNumberFormat="1" applyFont="1" applyBorder="1" applyAlignment="1">
      <alignment horizontal="right"/>
    </xf>
    <xf numFmtId="3" fontId="1" fillId="2" borderId="5" xfId="0" applyNumberFormat="1" applyFont="1" applyFill="1" applyBorder="1"/>
    <xf numFmtId="5" fontId="3" fillId="2" borderId="4" xfId="0" applyNumberFormat="1" applyFont="1" applyFill="1" applyBorder="1"/>
    <xf numFmtId="5" fontId="3" fillId="0" borderId="4" xfId="0" applyNumberFormat="1" applyFont="1" applyBorder="1"/>
    <xf numFmtId="5" fontId="3" fillId="2" borderId="0" xfId="0" applyNumberFormat="1" applyFont="1" applyFill="1"/>
    <xf numFmtId="5" fontId="3" fillId="0" borderId="0" xfId="0" applyNumberFormat="1" applyFont="1"/>
    <xf numFmtId="3" fontId="4" fillId="2" borderId="10" xfId="0" applyNumberFormat="1" applyFont="1" applyFill="1" applyBorder="1"/>
    <xf numFmtId="5" fontId="3" fillId="0" borderId="10" xfId="0" applyNumberFormat="1" applyFont="1" applyBorder="1"/>
    <xf numFmtId="0" fontId="1" fillId="0" borderId="0" xfId="0" applyFont="1"/>
    <xf numFmtId="169" fontId="4" fillId="0" borderId="0" xfId="0" applyNumberFormat="1" applyFont="1" applyAlignment="1">
      <alignment horizontal="right"/>
    </xf>
    <xf numFmtId="6" fontId="1" fillId="0" borderId="0" xfId="0" applyNumberFormat="1" applyFont="1"/>
    <xf numFmtId="0" fontId="6" fillId="3" borderId="8" xfId="0" applyFont="1" applyFill="1" applyBorder="1"/>
    <xf numFmtId="0" fontId="6" fillId="3" borderId="8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center"/>
    </xf>
    <xf numFmtId="3" fontId="6" fillId="3" borderId="12" xfId="0" applyNumberFormat="1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3" fontId="6" fillId="3" borderId="1" xfId="0" applyNumberFormat="1" applyFont="1" applyFill="1" applyBorder="1"/>
    <xf numFmtId="0" fontId="6" fillId="3" borderId="9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10" fontId="6" fillId="3" borderId="9" xfId="0" applyNumberFormat="1" applyFont="1" applyFill="1" applyBorder="1" applyAlignment="1">
      <alignment horizontal="center"/>
    </xf>
    <xf numFmtId="3" fontId="6" fillId="3" borderId="14" xfId="0" applyNumberFormat="1" applyFont="1" applyFill="1" applyBorder="1"/>
    <xf numFmtId="0" fontId="4" fillId="0" borderId="15" xfId="0" applyFont="1" applyBorder="1"/>
    <xf numFmtId="0" fontId="5" fillId="2" borderId="1" xfId="0" applyFont="1" applyFill="1" applyBorder="1" applyAlignment="1">
      <alignment horizontal="left"/>
    </xf>
    <xf numFmtId="0" fontId="4" fillId="0" borderId="5" xfId="0" applyFont="1" applyBorder="1"/>
    <xf numFmtId="0" fontId="1" fillId="0" borderId="0" xfId="0" applyFont="1"/>
    <xf numFmtId="0" fontId="2" fillId="0" borderId="0" xfId="0" applyFont="1"/>
    <xf numFmtId="38" fontId="1" fillId="0" borderId="0" xfId="0" applyNumberFormat="1" applyFont="1"/>
    <xf numFmtId="10" fontId="1" fillId="0" borderId="0" xfId="0" applyNumberFormat="1" applyFont="1"/>
    <xf numFmtId="8" fontId="1" fillId="0" borderId="0" xfId="0" applyNumberFormat="1" applyFont="1"/>
    <xf numFmtId="10" fontId="1" fillId="0" borderId="0" xfId="0" applyNumberFormat="1" applyFont="1"/>
    <xf numFmtId="0" fontId="1" fillId="0" borderId="16" xfId="0" applyFont="1" applyBorder="1"/>
    <xf numFmtId="10" fontId="1" fillId="0" borderId="16" xfId="0" applyNumberFormat="1" applyFont="1" applyBorder="1"/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" fontId="1" fillId="0" borderId="0" xfId="0" applyNumberFormat="1" applyFont="1"/>
    <xf numFmtId="170" fontId="1" fillId="0" borderId="0" xfId="0" applyNumberFormat="1" applyFont="1" applyAlignment="1">
      <alignment horizontal="right"/>
    </xf>
    <xf numFmtId="0" fontId="1" fillId="0" borderId="0" xfId="0" quotePrefix="1" applyFont="1" applyAlignment="1">
      <alignment horizontal="center"/>
    </xf>
    <xf numFmtId="171" fontId="1" fillId="0" borderId="0" xfId="0" applyNumberFormat="1" applyFont="1"/>
    <xf numFmtId="0" fontId="1" fillId="0" borderId="4" xfId="0" applyFont="1" applyBorder="1"/>
    <xf numFmtId="6" fontId="1" fillId="0" borderId="4" xfId="0" applyNumberFormat="1" applyFont="1" applyBorder="1"/>
    <xf numFmtId="171" fontId="1" fillId="0" borderId="4" xfId="0" applyNumberFormat="1" applyFont="1" applyBorder="1"/>
    <xf numFmtId="0" fontId="3" fillId="0" borderId="0" xfId="0" applyFont="1"/>
    <xf numFmtId="6" fontId="3" fillId="0" borderId="0" xfId="0" applyNumberFormat="1" applyFont="1"/>
    <xf numFmtId="8" fontId="6" fillId="3" borderId="0" xfId="0" applyNumberFormat="1" applyFont="1" applyFill="1"/>
    <xf numFmtId="171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4" fillId="2" borderId="17" xfId="0" applyFont="1" applyFill="1" applyBorder="1"/>
    <xf numFmtId="0" fontId="4" fillId="2" borderId="17" xfId="0" applyFont="1" applyFill="1" applyBorder="1" applyAlignment="1">
      <alignment horizontal="left"/>
    </xf>
    <xf numFmtId="37" fontId="4" fillId="0" borderId="18" xfId="0" applyNumberFormat="1" applyFont="1" applyBorder="1" applyAlignment="1">
      <alignment horizontal="center"/>
    </xf>
    <xf numFmtId="39" fontId="4" fillId="0" borderId="19" xfId="0" applyNumberFormat="1" applyFont="1" applyBorder="1" applyAlignment="1">
      <alignment horizontal="center"/>
    </xf>
    <xf numFmtId="0" fontId="6" fillId="3" borderId="20" xfId="0" applyFont="1" applyFill="1" applyBorder="1" applyAlignment="1">
      <alignment horizontal="left"/>
    </xf>
    <xf numFmtId="0" fontId="6" fillId="3" borderId="20" xfId="0" applyFont="1" applyFill="1" applyBorder="1" applyAlignment="1">
      <alignment horizontal="center"/>
    </xf>
    <xf numFmtId="6" fontId="1" fillId="2" borderId="0" xfId="0" applyNumberFormat="1" applyFont="1" applyFill="1" applyAlignment="1">
      <alignment horizontal="center"/>
    </xf>
    <xf numFmtId="6" fontId="1" fillId="2" borderId="3" xfId="0" applyNumberFormat="1" applyFont="1" applyFill="1" applyBorder="1" applyAlignment="1">
      <alignment horizontal="center"/>
    </xf>
    <xf numFmtId="6" fontId="1" fillId="2" borderId="0" xfId="0" applyNumberFormat="1" applyFont="1" applyFill="1"/>
    <xf numFmtId="164" fontId="3" fillId="0" borderId="0" xfId="0" applyNumberFormat="1" applyFon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38" fontId="8" fillId="0" borderId="0" xfId="0" applyNumberFormat="1" applyFont="1"/>
    <xf numFmtId="4" fontId="9" fillId="0" borderId="0" xfId="0" applyNumberFormat="1" applyFont="1"/>
    <xf numFmtId="40" fontId="8" fillId="0" borderId="0" xfId="0" applyNumberFormat="1" applyFont="1"/>
    <xf numFmtId="0" fontId="8" fillId="0" borderId="0" xfId="0" applyFont="1"/>
    <xf numFmtId="38" fontId="8" fillId="0" borderId="4" xfId="0" applyNumberFormat="1" applyFont="1" applyBorder="1"/>
    <xf numFmtId="40" fontId="8" fillId="0" borderId="0" xfId="0" applyNumberFormat="1" applyFont="1"/>
    <xf numFmtId="37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7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6" fontId="4" fillId="2" borderId="6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5" fontId="1" fillId="0" borderId="0" xfId="0" applyNumberFormat="1" applyFont="1"/>
    <xf numFmtId="0" fontId="4" fillId="0" borderId="4" xfId="0" applyFont="1" applyBorder="1"/>
    <xf numFmtId="0" fontId="10" fillId="3" borderId="0" xfId="0" applyFont="1" applyFill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6" fontId="8" fillId="0" borderId="0" xfId="0" applyNumberFormat="1" applyFont="1" applyAlignment="1">
      <alignment horizontal="center" vertical="center" wrapText="1"/>
    </xf>
    <xf numFmtId="6" fontId="8" fillId="0" borderId="22" xfId="0" applyNumberFormat="1" applyFont="1" applyBorder="1" applyAlignment="1">
      <alignment horizontal="center" vertical="center" wrapText="1"/>
    </xf>
    <xf numFmtId="8" fontId="11" fillId="0" borderId="23" xfId="0" applyNumberFormat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6" fontId="8" fillId="0" borderId="25" xfId="0" applyNumberFormat="1" applyFont="1" applyBorder="1" applyAlignment="1">
      <alignment horizontal="center" vertical="center" wrapText="1"/>
    </xf>
    <xf numFmtId="8" fontId="11" fillId="0" borderId="26" xfId="0" applyNumberFormat="1" applyFont="1" applyBorder="1" applyAlignment="1">
      <alignment horizontal="center" vertical="center" wrapText="1"/>
    </xf>
    <xf numFmtId="8" fontId="11" fillId="0" borderId="27" xfId="0" applyNumberFormat="1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5" fontId="13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right"/>
    </xf>
    <xf numFmtId="3" fontId="13" fillId="3" borderId="1" xfId="0" applyNumberFormat="1" applyFont="1" applyFill="1" applyBorder="1"/>
    <xf numFmtId="5" fontId="6" fillId="3" borderId="0" xfId="0" applyNumberFormat="1" applyFont="1" applyFill="1" applyAlignment="1">
      <alignment horizontal="left"/>
    </xf>
    <xf numFmtId="3" fontId="13" fillId="3" borderId="1" xfId="0" quotePrefix="1" applyNumberFormat="1" applyFont="1" applyFill="1" applyBorder="1"/>
    <xf numFmtId="0" fontId="12" fillId="3" borderId="9" xfId="0" applyFont="1" applyFill="1" applyBorder="1"/>
    <xf numFmtId="0" fontId="14" fillId="3" borderId="9" xfId="0" applyFont="1" applyFill="1" applyBorder="1" applyAlignment="1">
      <alignment horizontal="left"/>
    </xf>
    <xf numFmtId="3" fontId="12" fillId="3" borderId="14" xfId="0" applyNumberFormat="1" applyFont="1" applyFill="1" applyBorder="1"/>
    <xf numFmtId="0" fontId="1" fillId="0" borderId="23" xfId="0" applyFont="1" applyBorder="1"/>
    <xf numFmtId="0" fontId="1" fillId="0" borderId="0" xfId="0" applyFont="1"/>
    <xf numFmtId="0" fontId="6" fillId="3" borderId="29" xfId="0" applyFont="1" applyFill="1" applyBorder="1"/>
    <xf numFmtId="0" fontId="6" fillId="3" borderId="17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164" fontId="1" fillId="0" borderId="0" xfId="0" applyNumberFormat="1" applyFont="1"/>
    <xf numFmtId="0" fontId="1" fillId="0" borderId="22" xfId="0" applyFont="1" applyBorder="1"/>
    <xf numFmtId="0" fontId="1" fillId="0" borderId="0" xfId="0" applyFont="1"/>
    <xf numFmtId="0" fontId="1" fillId="0" borderId="31" xfId="0" applyFont="1" applyBorder="1"/>
    <xf numFmtId="0" fontId="1" fillId="0" borderId="9" xfId="0" applyFont="1" applyBorder="1"/>
    <xf numFmtId="0" fontId="1" fillId="0" borderId="24" xfId="0" applyFont="1" applyBorder="1"/>
    <xf numFmtId="7" fontId="6" fillId="3" borderId="0" xfId="0" applyNumberFormat="1" applyFont="1" applyFill="1" applyAlignment="1">
      <alignment horizontal="right"/>
    </xf>
    <xf numFmtId="169" fontId="1" fillId="0" borderId="32" xfId="0" applyNumberFormat="1" applyFont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2" fontId="8" fillId="0" borderId="0" xfId="0" applyNumberFormat="1" applyFont="1"/>
    <xf numFmtId="0" fontId="11" fillId="0" borderId="34" xfId="0" applyFont="1" applyBorder="1" applyAlignment="1">
      <alignment horizontal="center" vertical="center" wrapText="1"/>
    </xf>
    <xf numFmtId="6" fontId="8" fillId="0" borderId="35" xfId="0" applyNumberFormat="1" applyFont="1" applyBorder="1" applyAlignment="1">
      <alignment horizontal="center" vertical="center" wrapText="1"/>
    </xf>
    <xf numFmtId="6" fontId="8" fillId="0" borderId="36" xfId="0" applyNumberFormat="1" applyFont="1" applyBorder="1" applyAlignment="1">
      <alignment horizontal="center" vertical="center" wrapText="1"/>
    </xf>
    <xf numFmtId="6" fontId="8" fillId="0" borderId="37" xfId="0" applyNumberFormat="1" applyFont="1" applyBorder="1" applyAlignment="1">
      <alignment horizontal="center" vertical="center" wrapText="1"/>
    </xf>
    <xf numFmtId="8" fontId="11" fillId="0" borderId="35" xfId="0" applyNumberFormat="1" applyFont="1" applyBorder="1" applyAlignment="1">
      <alignment horizontal="center" vertical="center" wrapText="1"/>
    </xf>
    <xf numFmtId="0" fontId="4" fillId="0" borderId="8" xfId="0" applyFont="1" applyBorder="1"/>
    <xf numFmtId="38" fontId="8" fillId="0" borderId="8" xfId="0" applyNumberFormat="1" applyFont="1" applyBorder="1"/>
    <xf numFmtId="40" fontId="8" fillId="0" borderId="8" xfId="0" applyNumberFormat="1" applyFont="1" applyBorder="1"/>
    <xf numFmtId="165" fontId="8" fillId="0" borderId="0" xfId="0" applyNumberFormat="1" applyFont="1"/>
    <xf numFmtId="4" fontId="8" fillId="0" borderId="0" xfId="0" applyNumberFormat="1" applyFont="1"/>
    <xf numFmtId="0" fontId="10" fillId="3" borderId="0" xfId="0" applyFont="1" applyFill="1"/>
    <xf numFmtId="0" fontId="10" fillId="3" borderId="21" xfId="0" applyFont="1" applyFill="1" applyBorder="1"/>
    <xf numFmtId="0" fontId="10" fillId="3" borderId="21" xfId="0" applyFont="1" applyFill="1" applyBorder="1" applyAlignment="1">
      <alignment horizontal="right"/>
    </xf>
    <xf numFmtId="0" fontId="10" fillId="3" borderId="21" xfId="0" applyFont="1" applyFill="1" applyBorder="1" applyAlignment="1">
      <alignment horizontal="center"/>
    </xf>
    <xf numFmtId="0" fontId="1" fillId="0" borderId="0" xfId="0" applyFont="1"/>
    <xf numFmtId="0" fontId="15" fillId="3" borderId="0" xfId="0" applyFont="1" applyFill="1" applyAlignment="1">
      <alignment horizontal="center"/>
    </xf>
    <xf numFmtId="10" fontId="6" fillId="3" borderId="0" xfId="0" applyNumberFormat="1" applyFont="1" applyFill="1" applyAlignment="1">
      <alignment horizontal="center"/>
    </xf>
    <xf numFmtId="6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0" fontId="1" fillId="0" borderId="38" xfId="0" applyFont="1" applyBorder="1"/>
    <xf numFmtId="1" fontId="1" fillId="0" borderId="38" xfId="0" applyNumberFormat="1" applyFont="1" applyBorder="1"/>
    <xf numFmtId="0" fontId="1" fillId="0" borderId="38" xfId="0" applyFont="1" applyBorder="1" applyAlignment="1">
      <alignment horizontal="center"/>
    </xf>
    <xf numFmtId="6" fontId="1" fillId="0" borderId="38" xfId="0" applyNumberFormat="1" applyFont="1" applyBorder="1" applyAlignment="1">
      <alignment horizontal="center"/>
    </xf>
    <xf numFmtId="6" fontId="1" fillId="0" borderId="38" xfId="0" applyNumberFormat="1" applyFont="1" applyBorder="1" applyAlignment="1">
      <alignment horizontal="center"/>
    </xf>
    <xf numFmtId="170" fontId="1" fillId="0" borderId="38" xfId="0" applyNumberFormat="1" applyFont="1" applyBorder="1" applyAlignment="1">
      <alignment horizontal="right"/>
    </xf>
    <xf numFmtId="0" fontId="1" fillId="0" borderId="38" xfId="0" quotePrefix="1" applyFont="1" applyBorder="1" applyAlignment="1">
      <alignment horizontal="center"/>
    </xf>
    <xf numFmtId="171" fontId="1" fillId="0" borderId="38" xfId="0" applyNumberFormat="1" applyFont="1" applyBorder="1"/>
    <xf numFmtId="10" fontId="1" fillId="0" borderId="0" xfId="0" applyNumberFormat="1" applyFont="1"/>
    <xf numFmtId="39" fontId="4" fillId="0" borderId="1" xfId="0" applyNumberFormat="1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1" fillId="0" borderId="0" xfId="0" applyFont="1" applyBorder="1"/>
    <xf numFmtId="1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70" fontId="1" fillId="0" borderId="0" xfId="0" applyNumberFormat="1" applyFont="1" applyBorder="1" applyAlignment="1">
      <alignment horizontal="right"/>
    </xf>
    <xf numFmtId="0" fontId="1" fillId="0" borderId="0" xfId="0" quotePrefix="1" applyFont="1" applyBorder="1" applyAlignment="1">
      <alignment horizontal="center"/>
    </xf>
    <xf numFmtId="171" fontId="1" fillId="0" borderId="0" xfId="0" applyNumberFormat="1" applyFont="1" applyBorder="1"/>
    <xf numFmtId="1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5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6" fontId="1" fillId="2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8" fontId="1" fillId="0" borderId="0" xfId="0" applyNumberFormat="1" applyFont="1" applyBorder="1" applyAlignment="1">
      <alignment horizontal="right"/>
    </xf>
    <xf numFmtId="0" fontId="22" fillId="2" borderId="1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left"/>
    </xf>
    <xf numFmtId="1" fontId="1" fillId="2" borderId="39" xfId="0" applyNumberFormat="1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5" fontId="1" fillId="2" borderId="39" xfId="0" applyNumberFormat="1" applyFont="1" applyFill="1" applyBorder="1" applyAlignment="1">
      <alignment horizontal="center"/>
    </xf>
    <xf numFmtId="5" fontId="1" fillId="2" borderId="40" xfId="0" applyNumberFormat="1" applyFont="1" applyFill="1" applyBorder="1" applyAlignment="1">
      <alignment horizontal="center"/>
    </xf>
    <xf numFmtId="6" fontId="1" fillId="2" borderId="41" xfId="0" applyNumberFormat="1" applyFont="1" applyFill="1" applyBorder="1" applyAlignment="1">
      <alignment horizontal="center"/>
    </xf>
    <xf numFmtId="168" fontId="1" fillId="0" borderId="39" xfId="0" applyNumberFormat="1" applyFont="1" applyBorder="1" applyAlignment="1">
      <alignment horizontal="right"/>
    </xf>
    <xf numFmtId="3" fontId="1" fillId="2" borderId="40" xfId="0" applyNumberFormat="1" applyFont="1" applyFill="1" applyBorder="1"/>
    <xf numFmtId="6" fontId="1" fillId="2" borderId="39" xfId="0" applyNumberFormat="1" applyFont="1" applyFill="1" applyBorder="1"/>
    <xf numFmtId="0" fontId="20" fillId="2" borderId="1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2" fillId="2" borderId="39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1" fontId="1" fillId="0" borderId="39" xfId="0" applyNumberFormat="1" applyFont="1" applyBorder="1"/>
    <xf numFmtId="0" fontId="1" fillId="0" borderId="39" xfId="0" applyFont="1" applyBorder="1" applyAlignment="1">
      <alignment horizontal="center"/>
    </xf>
    <xf numFmtId="6" fontId="1" fillId="0" borderId="39" xfId="0" applyNumberFormat="1" applyFont="1" applyBorder="1" applyAlignment="1">
      <alignment horizontal="center"/>
    </xf>
    <xf numFmtId="170" fontId="1" fillId="0" borderId="39" xfId="0" applyNumberFormat="1" applyFont="1" applyBorder="1" applyAlignment="1">
      <alignment horizontal="right"/>
    </xf>
    <xf numFmtId="0" fontId="1" fillId="0" borderId="39" xfId="0" quotePrefix="1" applyFont="1" applyBorder="1" applyAlignment="1">
      <alignment horizontal="center"/>
    </xf>
    <xf numFmtId="171" fontId="1" fillId="0" borderId="39" xfId="0" applyNumberFormat="1" applyFont="1" applyBorder="1"/>
    <xf numFmtId="0" fontId="1" fillId="0" borderId="39" xfId="0" applyFont="1" applyBorder="1"/>
    <xf numFmtId="0" fontId="1" fillId="0" borderId="42" xfId="0" applyFont="1" applyBorder="1"/>
    <xf numFmtId="0" fontId="22" fillId="0" borderId="0" xfId="0" applyFont="1" applyBorder="1"/>
    <xf numFmtId="6" fontId="1" fillId="0" borderId="0" xfId="0" applyNumberFormat="1" applyFont="1" applyBorder="1"/>
    <xf numFmtId="0" fontId="23" fillId="3" borderId="0" xfId="0" applyFont="1" applyFill="1"/>
    <xf numFmtId="172" fontId="1" fillId="0" borderId="0" xfId="0" applyNumberFormat="1" applyFont="1" applyBorder="1"/>
    <xf numFmtId="5" fontId="23" fillId="3" borderId="0" xfId="0" applyNumberFormat="1" applyFont="1" applyFill="1" applyAlignment="1">
      <alignment horizontal="left"/>
    </xf>
    <xf numFmtId="164" fontId="3" fillId="0" borderId="0" xfId="0" applyNumberFormat="1" applyFont="1"/>
    <xf numFmtId="0" fontId="22" fillId="0" borderId="23" xfId="0" applyFont="1" applyBorder="1"/>
    <xf numFmtId="0" fontId="1" fillId="0" borderId="39" xfId="0" applyFont="1" applyBorder="1" applyAlignment="1">
      <alignment horizontal="right"/>
    </xf>
    <xf numFmtId="0" fontId="1" fillId="2" borderId="41" xfId="0" applyFont="1" applyFill="1" applyBorder="1" applyAlignment="1">
      <alignment horizontal="left"/>
    </xf>
    <xf numFmtId="5" fontId="23" fillId="3" borderId="43" xfId="0" applyNumberFormat="1" applyFont="1" applyFill="1" applyBorder="1" applyAlignment="1">
      <alignment horizontal="left"/>
    </xf>
    <xf numFmtId="0" fontId="6" fillId="3" borderId="44" xfId="0" applyFont="1" applyFill="1" applyBorder="1"/>
    <xf numFmtId="171" fontId="6" fillId="3" borderId="45" xfId="0" applyNumberFormat="1" applyFont="1" applyFill="1" applyBorder="1"/>
    <xf numFmtId="0" fontId="24" fillId="7" borderId="0" xfId="0" applyFont="1" applyFill="1"/>
    <xf numFmtId="0" fontId="24" fillId="7" borderId="0" xfId="0" applyFont="1" applyFill="1" applyAlignment="1">
      <alignment horizontal="right"/>
    </xf>
    <xf numFmtId="6" fontId="24" fillId="7" borderId="0" xfId="0" applyNumberFormat="1" applyFont="1" applyFill="1"/>
    <xf numFmtId="10" fontId="21" fillId="0" borderId="0" xfId="0" applyNumberFormat="1" applyFont="1"/>
    <xf numFmtId="0" fontId="25" fillId="7" borderId="46" xfId="0" applyFont="1" applyFill="1" applyBorder="1" applyAlignment="1">
      <alignment horizontal="center" wrapText="1"/>
    </xf>
    <xf numFmtId="0" fontId="22" fillId="0" borderId="47" xfId="0" applyFont="1" applyBorder="1" applyAlignment="1">
      <alignment horizontal="center"/>
    </xf>
    <xf numFmtId="8" fontId="1" fillId="0" borderId="0" xfId="0" applyNumberFormat="1" applyFont="1" applyBorder="1"/>
    <xf numFmtId="0" fontId="22" fillId="0" borderId="0" xfId="0" quotePrefix="1" applyFont="1"/>
    <xf numFmtId="10" fontId="1" fillId="0" borderId="42" xfId="0" applyNumberFormat="1" applyFont="1" applyBorder="1"/>
    <xf numFmtId="0" fontId="3" fillId="0" borderId="0" xfId="0" applyFont="1" applyBorder="1"/>
    <xf numFmtId="6" fontId="3" fillId="0" borderId="0" xfId="0" applyNumberFormat="1" applyFont="1" applyBorder="1"/>
    <xf numFmtId="0" fontId="1" fillId="0" borderId="0" xfId="0" quotePrefix="1" applyFont="1"/>
    <xf numFmtId="8" fontId="1" fillId="6" borderId="0" xfId="0" applyNumberFormat="1" applyFont="1" applyFill="1"/>
    <xf numFmtId="0" fontId="27" fillId="7" borderId="0" xfId="0" applyFont="1" applyFill="1"/>
    <xf numFmtId="0" fontId="28" fillId="7" borderId="0" xfId="0" applyFont="1" applyFill="1"/>
    <xf numFmtId="6" fontId="24" fillId="7" borderId="0" xfId="0" applyNumberFormat="1" applyFont="1" applyFill="1" applyBorder="1"/>
    <xf numFmtId="0" fontId="24" fillId="7" borderId="0" xfId="0" applyFont="1" applyFill="1" applyBorder="1"/>
    <xf numFmtId="0" fontId="24" fillId="7" borderId="0" xfId="0" applyFont="1" applyFill="1" applyAlignment="1">
      <alignment horizontal="center"/>
    </xf>
    <xf numFmtId="10" fontId="1" fillId="6" borderId="0" xfId="0" applyNumberFormat="1" applyFont="1" applyFill="1"/>
    <xf numFmtId="0" fontId="2" fillId="0" borderId="48" xfId="0" applyFont="1" applyBorder="1"/>
    <xf numFmtId="0" fontId="1" fillId="0" borderId="48" xfId="0" applyFont="1" applyBorder="1"/>
    <xf numFmtId="0" fontId="1" fillId="0" borderId="49" xfId="0" applyFont="1" applyBorder="1"/>
    <xf numFmtId="8" fontId="1" fillId="0" borderId="48" xfId="0" applyNumberFormat="1" applyFont="1" applyBorder="1"/>
    <xf numFmtId="0" fontId="22" fillId="0" borderId="48" xfId="0" applyFont="1" applyBorder="1"/>
    <xf numFmtId="0" fontId="0" fillId="0" borderId="48" xfId="0" applyBorder="1"/>
    <xf numFmtId="0" fontId="22" fillId="0" borderId="0" xfId="0" applyNumberFormat="1" applyFont="1"/>
    <xf numFmtId="0" fontId="21" fillId="0" borderId="0" xfId="0" applyFont="1" applyBorder="1"/>
    <xf numFmtId="15" fontId="4" fillId="4" borderId="0" xfId="0" applyNumberFormat="1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5" fontId="13" fillId="3" borderId="44" xfId="0" applyNumberFormat="1" applyFont="1" applyFill="1" applyBorder="1" applyAlignment="1">
      <alignment horizontal="center"/>
    </xf>
    <xf numFmtId="169" fontId="6" fillId="3" borderId="45" xfId="0" applyNumberFormat="1" applyFont="1" applyFill="1" applyBorder="1" applyAlignment="1">
      <alignment horizontal="right"/>
    </xf>
    <xf numFmtId="3" fontId="13" fillId="3" borderId="0" xfId="0" applyNumberFormat="1" applyFont="1" applyFill="1" applyBorder="1"/>
    <xf numFmtId="5" fontId="3" fillId="2" borderId="50" xfId="0" applyNumberFormat="1" applyFont="1" applyFill="1" applyBorder="1"/>
    <xf numFmtId="5" fontId="3" fillId="2" borderId="51" xfId="0" applyNumberFormat="1" applyFont="1" applyFill="1" applyBorder="1"/>
    <xf numFmtId="5" fontId="3" fillId="0" borderId="52" xfId="0" applyNumberFormat="1" applyFont="1" applyBorder="1"/>
    <xf numFmtId="5" fontId="3" fillId="2" borderId="0" xfId="0" applyNumberFormat="1" applyFont="1" applyFill="1" applyBorder="1"/>
    <xf numFmtId="0" fontId="1" fillId="6" borderId="48" xfId="0" applyFont="1" applyFill="1" applyBorder="1"/>
    <xf numFmtId="0" fontId="26" fillId="0" borderId="48" xfId="0" applyFont="1" applyBorder="1" applyAlignment="1">
      <alignment horizontal="center"/>
    </xf>
    <xf numFmtId="171" fontId="1" fillId="0" borderId="53" xfId="0" applyNumberFormat="1" applyFont="1" applyBorder="1"/>
    <xf numFmtId="171" fontId="1" fillId="0" borderId="54" xfId="0" applyNumberFormat="1" applyFont="1" applyBorder="1"/>
    <xf numFmtId="171" fontId="1" fillId="0" borderId="55" xfId="0" applyNumberFormat="1" applyFont="1" applyBorder="1"/>
    <xf numFmtId="6" fontId="1" fillId="0" borderId="50" xfId="0" applyNumberFormat="1" applyFont="1" applyBorder="1"/>
    <xf numFmtId="0" fontId="1" fillId="0" borderId="51" xfId="0" applyNumberFormat="1" applyFont="1" applyBorder="1"/>
    <xf numFmtId="0" fontId="1" fillId="0" borderId="51" xfId="0" applyFont="1" applyBorder="1"/>
    <xf numFmtId="171" fontId="1" fillId="0" borderId="52" xfId="0" applyNumberFormat="1" applyFont="1" applyBorder="1"/>
    <xf numFmtId="0" fontId="4" fillId="5" borderId="0" xfId="0" applyFont="1" applyFill="1"/>
    <xf numFmtId="8" fontId="1" fillId="0" borderId="53" xfId="0" applyNumberFormat="1" applyFont="1" applyBorder="1" applyAlignment="1">
      <alignment horizontal="center"/>
    </xf>
    <xf numFmtId="8" fontId="1" fillId="0" borderId="54" xfId="0" applyNumberFormat="1" applyFont="1" applyBorder="1" applyAlignment="1">
      <alignment horizontal="center"/>
    </xf>
    <xf numFmtId="8" fontId="1" fillId="0" borderId="55" xfId="0" applyNumberFormat="1" applyFont="1" applyBorder="1" applyAlignment="1">
      <alignment horizontal="center"/>
    </xf>
    <xf numFmtId="2" fontId="8" fillId="6" borderId="0" xfId="0" applyNumberFormat="1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8" fontId="8" fillId="0" borderId="0" xfId="0" applyNumberFormat="1" applyFont="1" applyFill="1"/>
    <xf numFmtId="38" fontId="1" fillId="0" borderId="0" xfId="0" applyNumberFormat="1" applyFont="1" applyFill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8" fillId="0" borderId="5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6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8" fillId="0" borderId="4" xfId="0" quotePrefix="1" applyFont="1" applyBorder="1" applyAlignment="1">
      <alignment horizontal="left"/>
    </xf>
  </cellXfs>
  <cellStyles count="3">
    <cellStyle name="Normal" xfId="0" builtinId="0"/>
    <cellStyle name="Normal 2" xfId="1" xr:uid="{94AABB0C-3D08-429B-8E1C-464FEFD9675D}"/>
    <cellStyle name="Normal 3" xfId="2" xr:uid="{B6302C00-4642-4577-8D7E-884D72E215D7}"/>
  </cellStyles>
  <dxfs count="0"/>
  <tableStyles count="0" defaultTableStyle="TableStyleMedium9"/>
  <colors>
    <mruColors>
      <color rgb="FFCC0099"/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34"/>
  <sheetViews>
    <sheetView showGridLines="0" zoomScale="120" zoomScaleNormal="120" workbookViewId="0">
      <selection activeCell="E31" sqref="E31"/>
    </sheetView>
  </sheetViews>
  <sheetFormatPr defaultColWidth="9.6640625" defaultRowHeight="13.8" x14ac:dyDescent="0.3"/>
  <cols>
    <col min="1" max="1" width="1.1640625" style="1" customWidth="1"/>
    <col min="2" max="2" width="1.83203125" style="4" customWidth="1"/>
    <col min="3" max="3" width="21.6640625" style="1" customWidth="1"/>
    <col min="4" max="4" width="15.6640625" style="1" customWidth="1"/>
    <col min="5" max="5" width="19.33203125" style="4" customWidth="1"/>
    <col min="6" max="6" width="15.33203125" style="4" customWidth="1"/>
    <col min="7" max="7" width="17.83203125" style="4" customWidth="1"/>
    <col min="8" max="8" width="22.1640625" style="4" customWidth="1"/>
    <col min="9" max="9" width="12.6640625" style="4" customWidth="1"/>
    <col min="10" max="10" width="11.83203125" style="4" customWidth="1"/>
    <col min="11" max="11" width="23.33203125" style="1" customWidth="1"/>
    <col min="12" max="12" width="20.33203125" style="1" customWidth="1"/>
    <col min="13" max="13" width="23.83203125" style="1" customWidth="1"/>
    <col min="14" max="15" width="9.83203125" style="1" customWidth="1"/>
    <col min="16" max="17" width="9.6640625" style="1"/>
    <col min="18" max="18" width="10.6640625" style="1" customWidth="1"/>
    <col min="19" max="19" width="9.6640625" style="1"/>
  </cols>
  <sheetData>
    <row r="1" spans="1:16" x14ac:dyDescent="0.3">
      <c r="B1" s="2"/>
      <c r="D1" s="3"/>
    </row>
    <row r="3" spans="1:16" ht="18" customHeight="1" x14ac:dyDescent="0.35">
      <c r="A3" s="349" t="s">
        <v>87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</row>
    <row r="4" spans="1:16" ht="18" customHeight="1" x14ac:dyDescent="0.35">
      <c r="B4" s="5"/>
      <c r="G4" s="345"/>
      <c r="H4" s="346" t="s">
        <v>88</v>
      </c>
      <c r="I4" s="346"/>
      <c r="J4" s="345"/>
    </row>
    <row r="5" spans="1:16" x14ac:dyDescent="0.3">
      <c r="A5" s="4"/>
    </row>
    <row r="6" spans="1:16" x14ac:dyDescent="0.3">
      <c r="A6" s="41"/>
      <c r="B6" s="41"/>
      <c r="C6" s="42"/>
      <c r="D6" s="41" t="s">
        <v>0</v>
      </c>
      <c r="E6" s="41"/>
      <c r="F6" s="41"/>
      <c r="G6" s="41"/>
      <c r="H6" s="41"/>
      <c r="I6" s="41" t="s">
        <v>1</v>
      </c>
      <c r="J6" s="41" t="s">
        <v>1</v>
      </c>
      <c r="K6" s="145"/>
      <c r="L6" s="146" t="s">
        <v>91</v>
      </c>
      <c r="M6" s="146"/>
    </row>
    <row r="7" spans="1:16" x14ac:dyDescent="0.3">
      <c r="A7" s="43"/>
      <c r="B7" s="43"/>
      <c r="C7" s="44"/>
      <c r="D7" s="43" t="s">
        <v>2</v>
      </c>
      <c r="E7" s="43" t="s">
        <v>3</v>
      </c>
      <c r="F7" s="43" t="s">
        <v>4</v>
      </c>
      <c r="G7" s="43" t="s">
        <v>5</v>
      </c>
      <c r="H7" s="43" t="s">
        <v>5</v>
      </c>
      <c r="I7" s="43" t="s">
        <v>6</v>
      </c>
      <c r="J7" s="43" t="s">
        <v>7</v>
      </c>
      <c r="K7" s="45" t="s">
        <v>8</v>
      </c>
      <c r="L7" s="46" t="s">
        <v>9</v>
      </c>
      <c r="M7" s="46" t="s">
        <v>10</v>
      </c>
    </row>
    <row r="8" spans="1:16" ht="14.4" customHeight="1" x14ac:dyDescent="0.3">
      <c r="A8" s="47"/>
      <c r="B8" s="47"/>
      <c r="C8" s="48" t="s">
        <v>11</v>
      </c>
      <c r="D8" s="47" t="s">
        <v>12</v>
      </c>
      <c r="E8" s="47" t="s">
        <v>13</v>
      </c>
      <c r="F8" s="47" t="s">
        <v>14</v>
      </c>
      <c r="G8" s="47" t="s">
        <v>15</v>
      </c>
      <c r="H8" s="47" t="s">
        <v>1</v>
      </c>
      <c r="I8" s="47" t="s">
        <v>16</v>
      </c>
      <c r="J8" s="47" t="s">
        <v>16</v>
      </c>
      <c r="K8" s="49" t="s">
        <v>17</v>
      </c>
      <c r="L8" s="50" t="s">
        <v>18</v>
      </c>
      <c r="M8" s="50" t="s">
        <v>17</v>
      </c>
    </row>
    <row r="9" spans="1:16" ht="6" customHeight="1" x14ac:dyDescent="0.3">
      <c r="A9" s="8"/>
      <c r="B9" s="6"/>
      <c r="C9" s="114"/>
      <c r="D9" s="7"/>
      <c r="E9" s="8"/>
      <c r="F9" s="9"/>
      <c r="G9" s="7"/>
      <c r="H9" s="9"/>
      <c r="I9" s="9"/>
      <c r="J9" s="9"/>
      <c r="K9" s="10"/>
      <c r="L9" s="9"/>
      <c r="M9" s="9"/>
    </row>
    <row r="10" spans="1:16" s="19" customFormat="1" x14ac:dyDescent="0.3">
      <c r="A10" s="154"/>
      <c r="B10" s="8"/>
      <c r="C10" s="115" t="s">
        <v>89</v>
      </c>
      <c r="D10" s="143">
        <f>'Summary Sheet'!M17</f>
        <v>27033</v>
      </c>
      <c r="E10" s="8" t="s">
        <v>92</v>
      </c>
      <c r="F10" s="242" t="s">
        <v>86</v>
      </c>
      <c r="G10" s="11" t="s">
        <v>19</v>
      </c>
      <c r="H10" s="12" t="s">
        <v>90</v>
      </c>
      <c r="I10" s="322">
        <v>40287</v>
      </c>
      <c r="J10" s="14">
        <v>41382</v>
      </c>
      <c r="K10" s="15">
        <f>129748.4/12</f>
        <v>10812.366666666667</v>
      </c>
      <c r="L10" s="16">
        <f>K10/$D$10*12</f>
        <v>4.7996300817519328</v>
      </c>
      <c r="M10" s="151"/>
      <c r="N10" s="17"/>
      <c r="O10" s="18"/>
    </row>
    <row r="11" spans="1:16" s="19" customFormat="1" x14ac:dyDescent="0.3">
      <c r="A11" s="154"/>
      <c r="B11" s="8"/>
      <c r="C11" s="115"/>
      <c r="D11" s="144">
        <f>D10/43560</f>
        <v>0.62059228650137743</v>
      </c>
      <c r="E11" s="8"/>
      <c r="F11" s="241"/>
      <c r="G11" s="11" t="s">
        <v>20</v>
      </c>
      <c r="H11" s="12" t="s">
        <v>93</v>
      </c>
      <c r="I11" s="13">
        <f>J10+1</f>
        <v>41383</v>
      </c>
      <c r="J11" s="14">
        <v>42478</v>
      </c>
      <c r="K11" s="15">
        <f>K10*1.09</f>
        <v>11785.479666666668</v>
      </c>
      <c r="L11" s="30">
        <f t="shared" ref="L11:L23" si="0">K11/$D$10*12</f>
        <v>5.2315967891096076</v>
      </c>
      <c r="M11" s="151"/>
      <c r="N11" s="17"/>
      <c r="O11" s="18"/>
    </row>
    <row r="12" spans="1:16" s="136" customFormat="1" x14ac:dyDescent="0.3">
      <c r="A12" s="154"/>
      <c r="B12" s="12"/>
      <c r="C12" s="115"/>
      <c r="D12" s="144"/>
      <c r="E12" s="12"/>
      <c r="F12" s="241"/>
      <c r="G12" s="11"/>
      <c r="H12" s="272" t="s">
        <v>148</v>
      </c>
      <c r="I12" s="13">
        <f t="shared" ref="I12:I23" si="1">J11+1</f>
        <v>42479</v>
      </c>
      <c r="J12" s="14">
        <v>43573</v>
      </c>
      <c r="K12" s="15">
        <f t="shared" ref="K12:K14" si="2">K11*1.09</f>
        <v>12846.172836666668</v>
      </c>
      <c r="L12" s="30">
        <f t="shared" si="0"/>
        <v>5.7024405001294722</v>
      </c>
      <c r="M12" s="151"/>
      <c r="N12" s="38"/>
      <c r="O12" s="30"/>
    </row>
    <row r="13" spans="1:16" s="136" customFormat="1" x14ac:dyDescent="0.3">
      <c r="A13" s="154"/>
      <c r="B13" s="12"/>
      <c r="C13" s="115"/>
      <c r="D13" s="144"/>
      <c r="E13" s="12"/>
      <c r="F13" s="241"/>
      <c r="G13" s="11"/>
      <c r="H13" s="12" t="s">
        <v>94</v>
      </c>
      <c r="I13" s="13">
        <f t="shared" si="1"/>
        <v>43574</v>
      </c>
      <c r="J13" s="14">
        <v>44669</v>
      </c>
      <c r="K13" s="15">
        <f t="shared" si="2"/>
        <v>14002.32839196667</v>
      </c>
      <c r="L13" s="30">
        <f t="shared" si="0"/>
        <v>6.2156601451411255</v>
      </c>
      <c r="M13" s="151">
        <f>K13*12</f>
        <v>168027.94070360003</v>
      </c>
      <c r="N13" s="38"/>
      <c r="O13" s="30"/>
      <c r="P13" s="288">
        <f>M13/3450</f>
        <v>48.703750928579723</v>
      </c>
    </row>
    <row r="14" spans="1:16" s="136" customFormat="1" x14ac:dyDescent="0.3">
      <c r="A14" s="154"/>
      <c r="B14" s="12"/>
      <c r="C14" s="115"/>
      <c r="D14" s="144"/>
      <c r="E14" s="12"/>
      <c r="F14" s="241"/>
      <c r="G14" s="11"/>
      <c r="H14" s="12" t="s">
        <v>95</v>
      </c>
      <c r="I14" s="13">
        <f t="shared" si="1"/>
        <v>44670</v>
      </c>
      <c r="J14" s="14">
        <v>45765</v>
      </c>
      <c r="K14" s="15">
        <f t="shared" si="2"/>
        <v>15262.537947243671</v>
      </c>
      <c r="L14" s="30">
        <f t="shared" si="0"/>
        <v>6.7750695582038274</v>
      </c>
      <c r="M14" s="151"/>
      <c r="N14" s="38"/>
      <c r="O14" s="30"/>
    </row>
    <row r="15" spans="1:16" s="136" customFormat="1" x14ac:dyDescent="0.3">
      <c r="A15" s="154"/>
      <c r="B15" s="12"/>
      <c r="C15" s="115"/>
      <c r="D15" s="240"/>
      <c r="E15" s="12"/>
      <c r="F15" s="241"/>
      <c r="G15" s="11"/>
      <c r="H15" s="12" t="s">
        <v>96</v>
      </c>
      <c r="I15" s="13">
        <f t="shared" si="1"/>
        <v>45766</v>
      </c>
      <c r="J15" s="14">
        <v>46861</v>
      </c>
      <c r="K15" s="15">
        <f t="shared" ref="K15:K21" si="3">K14*1.09</f>
        <v>16636.166362495602</v>
      </c>
      <c r="L15" s="30">
        <f t="shared" si="0"/>
        <v>7.384825818442172</v>
      </c>
      <c r="M15" s="151"/>
      <c r="N15" s="38"/>
      <c r="O15" s="30"/>
    </row>
    <row r="16" spans="1:16" s="136" customFormat="1" x14ac:dyDescent="0.3">
      <c r="A16" s="154"/>
      <c r="B16" s="12"/>
      <c r="C16" s="115"/>
      <c r="D16" s="240"/>
      <c r="E16" s="12"/>
      <c r="F16" s="241"/>
      <c r="G16" s="271" t="s">
        <v>107</v>
      </c>
      <c r="H16" s="12" t="s">
        <v>97</v>
      </c>
      <c r="I16" s="13">
        <f t="shared" si="1"/>
        <v>46862</v>
      </c>
      <c r="J16" s="14">
        <v>47956</v>
      </c>
      <c r="K16" s="15">
        <f t="shared" si="3"/>
        <v>18133.421335120209</v>
      </c>
      <c r="L16" s="30">
        <f t="shared" si="0"/>
        <v>8.0494601421019691</v>
      </c>
      <c r="M16" s="151"/>
      <c r="N16" s="38"/>
      <c r="O16" s="30"/>
    </row>
    <row r="17" spans="1:18" s="136" customFormat="1" x14ac:dyDescent="0.3">
      <c r="A17" s="154"/>
      <c r="B17" s="12"/>
      <c r="C17" s="115"/>
      <c r="D17" s="240"/>
      <c r="E17" s="12"/>
      <c r="F17" s="241"/>
      <c r="G17" s="271"/>
      <c r="H17" s="12" t="s">
        <v>98</v>
      </c>
      <c r="I17" s="13">
        <f t="shared" si="1"/>
        <v>47957</v>
      </c>
      <c r="J17" s="14">
        <v>49052</v>
      </c>
      <c r="K17" s="15">
        <f t="shared" si="3"/>
        <v>19765.429255281029</v>
      </c>
      <c r="L17" s="30">
        <f t="shared" si="0"/>
        <v>8.7739115548911464</v>
      </c>
      <c r="M17" s="151"/>
      <c r="N17" s="38"/>
      <c r="O17" s="30"/>
    </row>
    <row r="18" spans="1:18" s="136" customFormat="1" x14ac:dyDescent="0.3">
      <c r="A18" s="154"/>
      <c r="B18" s="12"/>
      <c r="C18" s="115"/>
      <c r="D18" s="240"/>
      <c r="E18" s="12"/>
      <c r="F18" s="241"/>
      <c r="G18" s="271" t="s">
        <v>107</v>
      </c>
      <c r="H18" s="12" t="s">
        <v>99</v>
      </c>
      <c r="I18" s="13">
        <f t="shared" si="1"/>
        <v>49053</v>
      </c>
      <c r="J18" s="14">
        <v>50148</v>
      </c>
      <c r="K18" s="15">
        <f t="shared" si="3"/>
        <v>21544.317888256322</v>
      </c>
      <c r="L18" s="30">
        <f t="shared" si="0"/>
        <v>9.5635635948313489</v>
      </c>
      <c r="M18" s="151"/>
      <c r="N18" s="38"/>
      <c r="O18" s="30"/>
    </row>
    <row r="19" spans="1:18" s="136" customFormat="1" x14ac:dyDescent="0.3">
      <c r="A19" s="154"/>
      <c r="B19" s="12"/>
      <c r="C19" s="115"/>
      <c r="D19" s="240"/>
      <c r="E19" s="12"/>
      <c r="F19" s="241"/>
      <c r="G19" s="271" t="s">
        <v>107</v>
      </c>
      <c r="H19" s="12" t="s">
        <v>100</v>
      </c>
      <c r="I19" s="13">
        <f t="shared" si="1"/>
        <v>50149</v>
      </c>
      <c r="J19" s="14">
        <v>51244</v>
      </c>
      <c r="K19" s="15">
        <f t="shared" si="3"/>
        <v>23483.306498199392</v>
      </c>
      <c r="L19" s="30">
        <f t="shared" si="0"/>
        <v>10.424284318366171</v>
      </c>
      <c r="M19" s="151"/>
      <c r="N19" s="38"/>
      <c r="O19" s="30"/>
    </row>
    <row r="20" spans="1:18" s="136" customFormat="1" x14ac:dyDescent="0.3">
      <c r="A20" s="154"/>
      <c r="B20" s="12"/>
      <c r="C20" s="115"/>
      <c r="D20" s="240"/>
      <c r="E20" s="12"/>
      <c r="F20" s="241"/>
      <c r="G20" s="271"/>
      <c r="H20" s="12" t="s">
        <v>101</v>
      </c>
      <c r="I20" s="13">
        <f t="shared" si="1"/>
        <v>51245</v>
      </c>
      <c r="J20" s="14">
        <v>52339</v>
      </c>
      <c r="K20" s="15">
        <f t="shared" si="3"/>
        <v>25596.804083037339</v>
      </c>
      <c r="L20" s="30">
        <f t="shared" si="0"/>
        <v>11.362469907019127</v>
      </c>
      <c r="M20" s="151"/>
      <c r="N20" s="38"/>
      <c r="O20" s="30"/>
    </row>
    <row r="21" spans="1:18" s="136" customFormat="1" x14ac:dyDescent="0.3">
      <c r="A21" s="154"/>
      <c r="B21" s="12"/>
      <c r="C21" s="115"/>
      <c r="D21" s="240"/>
      <c r="E21" s="12"/>
      <c r="F21" s="241"/>
      <c r="G21" s="271" t="s">
        <v>107</v>
      </c>
      <c r="H21" s="272" t="s">
        <v>108</v>
      </c>
      <c r="I21" s="13">
        <f t="shared" si="1"/>
        <v>52340</v>
      </c>
      <c r="J21" s="14">
        <v>53435</v>
      </c>
      <c r="K21" s="15">
        <f t="shared" si="3"/>
        <v>27900.516450510702</v>
      </c>
      <c r="L21" s="30">
        <f t="shared" si="0"/>
        <v>12.385092198650849</v>
      </c>
      <c r="M21" s="151"/>
      <c r="N21" s="38"/>
      <c r="O21" s="30"/>
    </row>
    <row r="22" spans="1:18" s="136" customFormat="1" x14ac:dyDescent="0.3">
      <c r="A22" s="154"/>
      <c r="B22" s="12"/>
      <c r="C22" s="115"/>
      <c r="D22" s="240"/>
      <c r="E22" s="12"/>
      <c r="F22" s="241"/>
      <c r="G22" s="11"/>
      <c r="H22" s="12" t="s">
        <v>110</v>
      </c>
      <c r="I22" s="13">
        <f t="shared" si="1"/>
        <v>53436</v>
      </c>
      <c r="J22" s="14">
        <v>54531</v>
      </c>
      <c r="K22" s="15">
        <f t="shared" ref="K22" si="4">K21*1.09</f>
        <v>30411.562931056669</v>
      </c>
      <c r="L22" s="30">
        <f t="shared" si="0"/>
        <v>13.499750496529428</v>
      </c>
      <c r="M22" s="151"/>
      <c r="N22" s="38"/>
      <c r="O22" s="30"/>
    </row>
    <row r="23" spans="1:18" s="136" customFormat="1" x14ac:dyDescent="0.3">
      <c r="A23" s="154"/>
      <c r="B23" s="12"/>
      <c r="C23" s="115"/>
      <c r="D23" s="240"/>
      <c r="E23" s="12"/>
      <c r="F23" s="241"/>
      <c r="G23" s="11"/>
      <c r="H23" s="12" t="s">
        <v>111</v>
      </c>
      <c r="I23" s="13">
        <f t="shared" si="1"/>
        <v>54532</v>
      </c>
      <c r="J23" s="14">
        <v>54896</v>
      </c>
      <c r="K23" s="15">
        <f t="shared" ref="K23" si="5">K22*1.09</f>
        <v>33148.603594851775</v>
      </c>
      <c r="L23" s="30">
        <f t="shared" si="0"/>
        <v>14.714728041217079</v>
      </c>
      <c r="M23" s="151"/>
      <c r="N23" s="38"/>
      <c r="O23" s="30"/>
    </row>
    <row r="24" spans="1:18" ht="6" customHeight="1" x14ac:dyDescent="0.3">
      <c r="A24" s="20"/>
      <c r="B24" s="20"/>
      <c r="C24" s="116"/>
      <c r="D24" s="21"/>
      <c r="E24" s="22"/>
      <c r="F24" s="23"/>
      <c r="G24" s="24"/>
      <c r="H24" s="20"/>
      <c r="I24" s="23"/>
      <c r="J24" s="25"/>
      <c r="K24" s="166"/>
      <c r="L24" s="26"/>
      <c r="M24" s="26"/>
      <c r="R24" s="17"/>
    </row>
    <row r="25" spans="1:18" ht="7.5" customHeight="1" x14ac:dyDescent="0.3">
      <c r="A25" s="8"/>
      <c r="B25" s="8"/>
      <c r="C25" s="27"/>
      <c r="D25" s="28"/>
      <c r="E25" s="8"/>
      <c r="F25" s="9"/>
      <c r="G25" s="8"/>
      <c r="H25" s="8"/>
      <c r="I25" s="9"/>
      <c r="J25" s="29"/>
      <c r="K25" s="167"/>
      <c r="L25" s="30"/>
      <c r="M25" s="30"/>
    </row>
    <row r="26" spans="1:18" ht="16.5" customHeight="1" x14ac:dyDescent="0.3">
      <c r="A26" s="31"/>
      <c r="B26" s="31" t="s">
        <v>21</v>
      </c>
      <c r="C26" s="27"/>
      <c r="D26" s="162">
        <f>SUM(D10)</f>
        <v>27033</v>
      </c>
      <c r="E26" s="163"/>
      <c r="F26" s="6"/>
      <c r="G26" s="1"/>
      <c r="H26" s="1"/>
      <c r="I26" s="8"/>
      <c r="J26" s="1"/>
      <c r="K26" s="168">
        <f>M26/12</f>
        <v>14002.32839196667</v>
      </c>
      <c r="L26" s="150">
        <f>M26/D26</f>
        <v>6.2156601451411246</v>
      </c>
      <c r="M26" s="152">
        <f>SUM(M10:M24)</f>
        <v>168027.94070360003</v>
      </c>
    </row>
    <row r="27" spans="1:18" ht="15" customHeight="1" x14ac:dyDescent="0.3">
      <c r="A27" s="32"/>
      <c r="B27" s="32" t="s">
        <v>22</v>
      </c>
      <c r="C27" s="33"/>
      <c r="D27" s="164">
        <v>0</v>
      </c>
      <c r="E27" s="165">
        <f>D27/D26</f>
        <v>0</v>
      </c>
      <c r="F27" s="34"/>
      <c r="G27" s="35"/>
      <c r="H27" s="35"/>
      <c r="I27" s="36"/>
      <c r="J27" s="35"/>
      <c r="K27" s="169"/>
      <c r="L27" s="37"/>
      <c r="M27" s="153"/>
    </row>
    <row r="28" spans="1:18" ht="14.4" customHeight="1" x14ac:dyDescent="0.3">
      <c r="B28" s="2"/>
    </row>
    <row r="29" spans="1:18" x14ac:dyDescent="0.3">
      <c r="A29" s="243"/>
      <c r="B29" s="245" t="s">
        <v>109</v>
      </c>
      <c r="C29" s="246"/>
    </row>
    <row r="30" spans="1:18" x14ac:dyDescent="0.3">
      <c r="B30" s="245" t="s">
        <v>102</v>
      </c>
      <c r="M30" s="38"/>
    </row>
    <row r="32" spans="1:18" x14ac:dyDescent="0.3">
      <c r="M32" s="39" t="e">
        <f>ROUND(M26/M30,-3)</f>
        <v>#DIV/0!</v>
      </c>
    </row>
    <row r="34" spans="13:13" x14ac:dyDescent="0.3">
      <c r="M34" s="40" t="e">
        <f>M32/D26</f>
        <v>#DIV/0!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3:M3"/>
  </mergeCells>
  <phoneticPr fontId="19" type="noConversion"/>
  <printOptions horizontalCentered="1" verticalCentered="1"/>
  <pageMargins left="0.25" right="0.25" top="0" bottom="0" header="0.3" footer="0.27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U70"/>
  <sheetViews>
    <sheetView showGridLines="0" zoomScale="110" zoomScaleNormal="110" workbookViewId="0">
      <selection activeCell="U23" sqref="U23"/>
    </sheetView>
  </sheetViews>
  <sheetFormatPr defaultColWidth="9.6640625" defaultRowHeight="10.199999999999999" x14ac:dyDescent="0.2"/>
  <cols>
    <col min="1" max="2" width="1.6640625" style="51" customWidth="1"/>
    <col min="3" max="3" width="21.83203125" style="51" customWidth="1"/>
    <col min="4" max="4" width="11.83203125" style="51" customWidth="1"/>
    <col min="5" max="5" width="14.6640625" style="51" customWidth="1"/>
    <col min="6" max="6" width="3.6640625" style="51" customWidth="1"/>
    <col min="7" max="7" width="11.83203125" style="51" customWidth="1"/>
    <col min="8" max="8" width="4.33203125" style="51" customWidth="1"/>
    <col min="9" max="9" width="17.83203125" style="51" customWidth="1"/>
    <col min="10" max="10" width="3.83203125" style="51" customWidth="1"/>
    <col min="11" max="11" width="18.33203125" style="51" customWidth="1"/>
    <col min="12" max="12" width="14" style="51" customWidth="1"/>
    <col min="13" max="13" width="16.1640625" style="51" customWidth="1"/>
    <col min="14" max="14" width="3.1640625" style="51" customWidth="1"/>
    <col min="15" max="15" width="19.6640625" style="51" customWidth="1"/>
    <col min="16" max="16" width="5.83203125" style="51" customWidth="1"/>
    <col min="17" max="17" width="13.6640625" style="51" customWidth="1"/>
    <col min="18" max="18" width="2.33203125" style="51" customWidth="1"/>
    <col min="19" max="19" width="16.6640625" style="51" customWidth="1"/>
    <col min="20" max="20" width="1.83203125" style="51" customWidth="1"/>
    <col min="21" max="21" width="9.6640625" style="51"/>
  </cols>
  <sheetData>
    <row r="1" spans="1:20" ht="10.95" customHeight="1" x14ac:dyDescent="0.2">
      <c r="M1" s="52"/>
      <c r="N1" s="52"/>
      <c r="O1" s="52"/>
    </row>
    <row r="2" spans="1:20" ht="13.95" customHeight="1" x14ac:dyDescent="0.3">
      <c r="C2" s="198" t="s">
        <v>23</v>
      </c>
      <c r="D2" s="199"/>
      <c r="E2" s="199"/>
      <c r="F2" s="199"/>
      <c r="G2" s="200"/>
      <c r="H2" s="201"/>
    </row>
    <row r="3" spans="1:20" ht="10.199999999999999" customHeight="1" x14ac:dyDescent="0.3">
      <c r="C3" s="196"/>
      <c r="D3" s="197"/>
      <c r="E3" s="197"/>
      <c r="F3" s="197"/>
      <c r="G3" s="202"/>
      <c r="H3" s="203"/>
    </row>
    <row r="4" spans="1:20" ht="14.4" customHeight="1" x14ac:dyDescent="0.3">
      <c r="C4" s="196" t="s">
        <v>24</v>
      </c>
      <c r="D4" s="197"/>
      <c r="E4" s="244"/>
      <c r="F4" s="197"/>
      <c r="G4" s="313">
        <v>0.1</v>
      </c>
      <c r="H4" s="203"/>
    </row>
    <row r="5" spans="1:20" ht="13.95" customHeight="1" x14ac:dyDescent="0.3">
      <c r="C5" s="289" t="s">
        <v>126</v>
      </c>
      <c r="D5" s="197"/>
      <c r="E5" s="197"/>
      <c r="F5" s="197"/>
      <c r="G5" s="313">
        <v>0.02</v>
      </c>
      <c r="H5" s="203"/>
    </row>
    <row r="6" spans="1:20" ht="13.95" customHeight="1" x14ac:dyDescent="0.3">
      <c r="C6" s="196" t="s">
        <v>25</v>
      </c>
      <c r="D6" s="197"/>
      <c r="E6" s="197"/>
      <c r="F6" s="197"/>
      <c r="G6" s="204">
        <v>12</v>
      </c>
      <c r="H6" s="203"/>
    </row>
    <row r="7" spans="1:20" ht="14.4" customHeight="1" thickBot="1" x14ac:dyDescent="0.35">
      <c r="C7" s="205"/>
      <c r="D7" s="206"/>
      <c r="E7" s="206"/>
      <c r="F7" s="206"/>
      <c r="G7" s="206"/>
      <c r="H7" s="207"/>
    </row>
    <row r="8" spans="1:20" x14ac:dyDescent="0.2">
      <c r="G8" s="53"/>
    </row>
    <row r="9" spans="1:20" x14ac:dyDescent="0.2">
      <c r="G9" s="53"/>
    </row>
    <row r="10" spans="1:20" x14ac:dyDescent="0.2">
      <c r="G10" s="53"/>
    </row>
    <row r="12" spans="1:20" ht="18" customHeight="1" x14ac:dyDescent="0.35">
      <c r="A12" s="349" t="s">
        <v>26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0"/>
      <c r="N12" s="350"/>
      <c r="O12" s="350"/>
      <c r="P12" s="350"/>
      <c r="Q12" s="350"/>
      <c r="R12" s="350"/>
      <c r="S12" s="350"/>
      <c r="T12" s="350"/>
    </row>
    <row r="13" spans="1:20" ht="13.95" customHeight="1" x14ac:dyDescent="0.3">
      <c r="P13" s="56"/>
      <c r="Q13" s="55"/>
      <c r="R13" s="55"/>
      <c r="S13" s="55"/>
    </row>
    <row r="14" spans="1:20" ht="13.95" customHeight="1" x14ac:dyDescent="0.3">
      <c r="A14" s="95"/>
      <c r="B14" s="95"/>
      <c r="C14" s="96"/>
      <c r="D14" s="97"/>
      <c r="E14" s="97"/>
      <c r="F14" s="98"/>
      <c r="G14" s="97" t="s">
        <v>5</v>
      </c>
      <c r="H14" s="97"/>
      <c r="I14" s="97" t="s">
        <v>27</v>
      </c>
      <c r="J14" s="97"/>
      <c r="K14" s="97" t="s">
        <v>8</v>
      </c>
      <c r="L14" s="99" t="s">
        <v>8</v>
      </c>
      <c r="M14" s="97" t="s">
        <v>8</v>
      </c>
      <c r="N14" s="97"/>
      <c r="O14" s="97" t="s">
        <v>28</v>
      </c>
      <c r="P14" s="100"/>
      <c r="Q14" s="97" t="s">
        <v>29</v>
      </c>
      <c r="R14" s="97"/>
      <c r="S14" s="97"/>
      <c r="T14" s="97"/>
    </row>
    <row r="15" spans="1:20" ht="13.95" customHeight="1" x14ac:dyDescent="0.3">
      <c r="A15" s="101"/>
      <c r="B15" s="102"/>
      <c r="C15" s="103"/>
      <c r="D15" s="102" t="s">
        <v>30</v>
      </c>
      <c r="E15" s="102"/>
      <c r="F15" s="104"/>
      <c r="G15" s="102" t="s">
        <v>31</v>
      </c>
      <c r="H15" s="102"/>
      <c r="I15" s="102" t="s">
        <v>32</v>
      </c>
      <c r="J15" s="102"/>
      <c r="K15" s="102" t="s">
        <v>33</v>
      </c>
      <c r="L15" s="105" t="s">
        <v>34</v>
      </c>
      <c r="M15" s="102" t="s">
        <v>35</v>
      </c>
      <c r="N15" s="102"/>
      <c r="O15" s="102" t="s">
        <v>36</v>
      </c>
      <c r="P15" s="106"/>
      <c r="Q15" s="102" t="s">
        <v>37</v>
      </c>
      <c r="R15" s="102"/>
      <c r="S15" s="102" t="s">
        <v>38</v>
      </c>
      <c r="T15" s="102"/>
    </row>
    <row r="16" spans="1:20" ht="14.4" customHeight="1" x14ac:dyDescent="0.3">
      <c r="A16" s="107"/>
      <c r="B16" s="108"/>
      <c r="C16" s="109" t="s">
        <v>11</v>
      </c>
      <c r="D16" s="108" t="s">
        <v>39</v>
      </c>
      <c r="E16" s="108" t="s">
        <v>1</v>
      </c>
      <c r="F16" s="110"/>
      <c r="G16" s="108" t="s">
        <v>40</v>
      </c>
      <c r="H16" s="108"/>
      <c r="I16" s="108" t="s">
        <v>41</v>
      </c>
      <c r="J16" s="108"/>
      <c r="K16" s="108" t="s">
        <v>42</v>
      </c>
      <c r="L16" s="111" t="s">
        <v>42</v>
      </c>
      <c r="M16" s="108" t="s">
        <v>43</v>
      </c>
      <c r="N16" s="108"/>
      <c r="O16" s="112">
        <f>G4</f>
        <v>0.1</v>
      </c>
      <c r="P16" s="113" t="s">
        <v>44</v>
      </c>
      <c r="Q16" s="108" t="s">
        <v>45</v>
      </c>
      <c r="R16" s="108"/>
      <c r="S16" s="108" t="s">
        <v>46</v>
      </c>
      <c r="T16" s="108"/>
    </row>
    <row r="17" spans="1:21" ht="6" customHeight="1" x14ac:dyDescent="0.2">
      <c r="A17" s="57"/>
      <c r="B17" s="141"/>
      <c r="C17" s="142"/>
      <c r="D17" s="58"/>
      <c r="E17" s="58"/>
      <c r="F17" s="59"/>
      <c r="G17" s="58"/>
      <c r="H17" s="57"/>
      <c r="I17" s="57"/>
      <c r="J17" s="57"/>
      <c r="K17" s="57"/>
      <c r="L17" s="60"/>
      <c r="M17" s="57"/>
      <c r="N17" s="57"/>
      <c r="O17" s="57"/>
      <c r="P17" s="61"/>
      <c r="Q17" s="57"/>
      <c r="R17" s="57"/>
      <c r="S17" s="57"/>
      <c r="T17" s="57"/>
    </row>
    <row r="18" spans="1:21" ht="13.95" customHeight="1" x14ac:dyDescent="0.3">
      <c r="A18" s="57"/>
      <c r="B18" s="67"/>
      <c r="C18" s="63" t="str">
        <f>'Tenant Rent Roll'!C10</f>
        <v>U.S. Bank</v>
      </c>
      <c r="D18" s="64">
        <f>'Tenant Rent Roll'!D10</f>
        <v>27033</v>
      </c>
      <c r="E18" s="64"/>
      <c r="F18" s="65"/>
      <c r="G18" s="66">
        <v>2020</v>
      </c>
      <c r="H18" s="67"/>
      <c r="I18" s="67">
        <v>11</v>
      </c>
      <c r="J18" s="67"/>
      <c r="K18" s="68">
        <f>'LF Analysis'!I11</f>
        <v>7000</v>
      </c>
      <c r="L18" s="69">
        <f>'LF Analysis'!F24</f>
        <v>14002.32839196667</v>
      </c>
      <c r="M18" s="147">
        <f t="shared" ref="M18:M46" si="0">K18-L18</f>
        <v>-7002.3283919666701</v>
      </c>
      <c r="N18" s="68" t="s">
        <v>47</v>
      </c>
      <c r="O18" s="70">
        <f>(((1-(1/((1+($G$4/$G$6))^U19)))/($G$4/$G$6)))+1</f>
        <v>10.556540128627825</v>
      </c>
      <c r="P18" s="71" t="s">
        <v>48</v>
      </c>
      <c r="Q18" s="149">
        <f t="shared" ref="Q18:Q46" si="1">M18*O18</f>
        <v>-73920.360663626096</v>
      </c>
      <c r="R18" s="72"/>
      <c r="S18" s="72"/>
      <c r="T18" s="73"/>
    </row>
    <row r="19" spans="1:21" ht="13.95" customHeight="1" x14ac:dyDescent="0.3">
      <c r="A19" s="57"/>
      <c r="B19" s="67"/>
      <c r="C19" s="74"/>
      <c r="D19" s="74"/>
      <c r="E19" s="75"/>
      <c r="F19" s="65"/>
      <c r="G19" s="66">
        <f t="shared" ref="G19:G47" si="2">G18+1</f>
        <v>2021</v>
      </c>
      <c r="H19" s="67"/>
      <c r="I19" s="67">
        <v>12</v>
      </c>
      <c r="J19" s="67"/>
      <c r="K19" s="68">
        <f t="shared" ref="K19:K46" si="3">K18*(1+$G$5/12)^I18</f>
        <v>7129.4081428657373</v>
      </c>
      <c r="L19" s="69">
        <f>'LF Analysis'!F25</f>
        <v>14002.32839196667</v>
      </c>
      <c r="M19" s="147">
        <f t="shared" si="0"/>
        <v>-6872.9202491009328</v>
      </c>
      <c r="N19" s="68" t="s">
        <v>47</v>
      </c>
      <c r="O19" s="70">
        <f t="shared" ref="O19:O47" si="4">(1-(1/(1+($G$4/$G$6))^I19))/($G$4/$G$6)/(((1+($G$4/$G$6))^U19))</f>
        <v>10.468667206723074</v>
      </c>
      <c r="P19" s="71" t="s">
        <v>48</v>
      </c>
      <c r="Q19" s="149">
        <f t="shared" si="1"/>
        <v>-71950.314826185917</v>
      </c>
      <c r="R19" s="72"/>
      <c r="T19" s="73"/>
      <c r="U19" s="51">
        <f>I18-1</f>
        <v>10</v>
      </c>
    </row>
    <row r="20" spans="1:21" ht="13.95" customHeight="1" x14ac:dyDescent="0.3">
      <c r="A20" s="57"/>
      <c r="B20" s="67"/>
      <c r="C20" s="76"/>
      <c r="D20" s="76"/>
      <c r="E20" s="75"/>
      <c r="F20" s="65"/>
      <c r="G20" s="66">
        <f t="shared" si="2"/>
        <v>2022</v>
      </c>
      <c r="H20" s="67"/>
      <c r="I20" s="67">
        <f t="shared" ref="I20:I47" si="5">I19</f>
        <v>12</v>
      </c>
      <c r="J20" s="67"/>
      <c r="K20" s="68">
        <f t="shared" si="3"/>
        <v>7273.3106526199363</v>
      </c>
      <c r="L20" s="69">
        <f>'LF Analysis'!F26</f>
        <v>15262.537947243671</v>
      </c>
      <c r="M20" s="148">
        <f t="shared" si="0"/>
        <v>-7989.2272946237345</v>
      </c>
      <c r="N20" s="68" t="s">
        <v>47</v>
      </c>
      <c r="O20" s="70">
        <f t="shared" si="4"/>
        <v>9.4763676788673141</v>
      </c>
      <c r="P20" s="71" t="s">
        <v>48</v>
      </c>
      <c r="Q20" s="149">
        <f t="shared" si="1"/>
        <v>-75708.855313896915</v>
      </c>
      <c r="R20" s="72"/>
      <c r="S20" s="72"/>
      <c r="T20" s="73"/>
      <c r="U20" s="51">
        <f>I20+U19</f>
        <v>22</v>
      </c>
    </row>
    <row r="21" spans="1:21" ht="13.95" customHeight="1" x14ac:dyDescent="0.3">
      <c r="A21" s="57"/>
      <c r="B21" s="67"/>
      <c r="C21" s="76"/>
      <c r="D21" s="76"/>
      <c r="E21" s="75"/>
      <c r="F21" s="65"/>
      <c r="G21" s="66">
        <f t="shared" si="2"/>
        <v>2023</v>
      </c>
      <c r="H21" s="67"/>
      <c r="I21" s="67">
        <f t="shared" si="5"/>
        <v>12</v>
      </c>
      <c r="J21" s="67"/>
      <c r="K21" s="68">
        <f t="shared" si="3"/>
        <v>7420.1177418144744</v>
      </c>
      <c r="L21" s="69">
        <f>'LF Analysis'!F27</f>
        <v>15262.537947243671</v>
      </c>
      <c r="M21" s="148">
        <f t="shared" si="0"/>
        <v>-7842.4202054291964</v>
      </c>
      <c r="N21" s="68" t="s">
        <v>47</v>
      </c>
      <c r="O21" s="77">
        <f t="shared" si="4"/>
        <v>8.5781258121769071</v>
      </c>
      <c r="P21" s="71" t="s">
        <v>48</v>
      </c>
      <c r="Q21" s="149">
        <f t="shared" si="1"/>
        <v>-67273.267194129905</v>
      </c>
      <c r="R21" s="72"/>
      <c r="S21" s="72"/>
      <c r="T21" s="73"/>
      <c r="U21" s="51">
        <f t="shared" ref="U21:U46" si="6">I20+U20</f>
        <v>34</v>
      </c>
    </row>
    <row r="22" spans="1:21" ht="13.95" customHeight="1" x14ac:dyDescent="0.3">
      <c r="A22" s="57"/>
      <c r="B22" s="67"/>
      <c r="C22" s="76"/>
      <c r="D22" s="76"/>
      <c r="E22" s="75"/>
      <c r="F22" s="65"/>
      <c r="G22" s="253">
        <f t="shared" si="2"/>
        <v>2024</v>
      </c>
      <c r="H22" s="254"/>
      <c r="I22" s="254">
        <f t="shared" si="5"/>
        <v>12</v>
      </c>
      <c r="J22" s="254"/>
      <c r="K22" s="255">
        <f t="shared" si="3"/>
        <v>7569.8880375138815</v>
      </c>
      <c r="L22" s="69">
        <f>'LF Analysis'!F28</f>
        <v>15262.537947243671</v>
      </c>
      <c r="M22" s="148">
        <f t="shared" si="0"/>
        <v>-7692.6499097297892</v>
      </c>
      <c r="N22" s="255" t="s">
        <v>47</v>
      </c>
      <c r="O22" s="256">
        <f t="shared" si="4"/>
        <v>7.7650261094904076</v>
      </c>
      <c r="P22" s="71" t="s">
        <v>48</v>
      </c>
      <c r="Q22" s="257">
        <f t="shared" si="1"/>
        <v>-59733.627400220837</v>
      </c>
      <c r="R22" s="72"/>
      <c r="S22" s="72"/>
      <c r="T22" s="73"/>
      <c r="U22" s="51">
        <f t="shared" si="6"/>
        <v>46</v>
      </c>
    </row>
    <row r="23" spans="1:21" ht="13.95" customHeight="1" x14ac:dyDescent="0.3">
      <c r="A23" s="57"/>
      <c r="B23" s="67"/>
      <c r="C23" s="76"/>
      <c r="D23" s="76"/>
      <c r="E23" s="62"/>
      <c r="F23" s="258"/>
      <c r="G23" s="253">
        <f t="shared" si="2"/>
        <v>2025</v>
      </c>
      <c r="H23" s="254"/>
      <c r="I23" s="254">
        <f t="shared" si="5"/>
        <v>12</v>
      </c>
      <c r="J23" s="254"/>
      <c r="K23" s="255">
        <f t="shared" si="3"/>
        <v>7722.6813501322085</v>
      </c>
      <c r="L23" s="69">
        <f>'LF Analysis'!F29</f>
        <v>16636.166362495602</v>
      </c>
      <c r="M23" s="148">
        <f t="shared" si="0"/>
        <v>-8913.4850123633933</v>
      </c>
      <c r="N23" s="255" t="s">
        <v>47</v>
      </c>
      <c r="O23" s="256">
        <f t="shared" si="4"/>
        <v>7.028998151959521</v>
      </c>
      <c r="P23" s="71" t="s">
        <v>48</v>
      </c>
      <c r="Q23" s="257">
        <f t="shared" si="1"/>
        <v>-62652.869679421179</v>
      </c>
      <c r="R23" s="72"/>
      <c r="S23" s="72"/>
      <c r="T23" s="73"/>
      <c r="U23" s="51">
        <f t="shared" si="6"/>
        <v>58</v>
      </c>
    </row>
    <row r="24" spans="1:21" ht="13.95" customHeight="1" x14ac:dyDescent="0.3">
      <c r="A24" s="57"/>
      <c r="B24" s="67"/>
      <c r="C24" s="76"/>
      <c r="D24" s="76"/>
      <c r="E24" s="62"/>
      <c r="F24" s="258"/>
      <c r="G24" s="253">
        <f t="shared" si="2"/>
        <v>2026</v>
      </c>
      <c r="H24" s="254"/>
      <c r="I24" s="254">
        <f t="shared" si="5"/>
        <v>12</v>
      </c>
      <c r="J24" s="254"/>
      <c r="K24" s="255">
        <f t="shared" si="3"/>
        <v>7878.5586973181789</v>
      </c>
      <c r="L24" s="69">
        <f>'LF Analysis'!F30</f>
        <v>16636.166362495602</v>
      </c>
      <c r="M24" s="148">
        <f t="shared" si="0"/>
        <v>-8757.6076651774238</v>
      </c>
      <c r="N24" s="255" t="s">
        <v>47</v>
      </c>
      <c r="O24" s="256">
        <f t="shared" si="4"/>
        <v>6.3627364961291493</v>
      </c>
      <c r="P24" s="71" t="s">
        <v>48</v>
      </c>
      <c r="Q24" s="257">
        <f t="shared" si="1"/>
        <v>-55722.349910004785</v>
      </c>
      <c r="R24" s="72"/>
      <c r="S24" s="72"/>
      <c r="T24" s="73"/>
      <c r="U24" s="51">
        <f t="shared" si="6"/>
        <v>70</v>
      </c>
    </row>
    <row r="25" spans="1:21" ht="13.95" customHeight="1" x14ac:dyDescent="0.3">
      <c r="A25" s="57"/>
      <c r="B25" s="67"/>
      <c r="C25" s="76"/>
      <c r="D25" s="76"/>
      <c r="E25" s="62"/>
      <c r="F25" s="258"/>
      <c r="G25" s="253">
        <f t="shared" si="2"/>
        <v>2027</v>
      </c>
      <c r="H25" s="254"/>
      <c r="I25" s="254">
        <f t="shared" si="5"/>
        <v>12</v>
      </c>
      <c r="J25" s="254"/>
      <c r="K25" s="255">
        <f t="shared" si="3"/>
        <v>8037.5823283224399</v>
      </c>
      <c r="L25" s="69">
        <f>'LF Analysis'!F31</f>
        <v>16636.166362495602</v>
      </c>
      <c r="M25" s="148">
        <f t="shared" si="0"/>
        <v>-8598.5840341731619</v>
      </c>
      <c r="N25" s="255" t="s">
        <v>47</v>
      </c>
      <c r="O25" s="259">
        <f t="shared" si="4"/>
        <v>5.7596281637786069</v>
      </c>
      <c r="P25" s="71" t="s">
        <v>48</v>
      </c>
      <c r="Q25" s="257">
        <f t="shared" si="1"/>
        <v>-49524.646771840817</v>
      </c>
      <c r="R25" s="72"/>
      <c r="S25" s="72"/>
      <c r="T25" s="73"/>
      <c r="U25" s="51">
        <f t="shared" si="6"/>
        <v>82</v>
      </c>
    </row>
    <row r="26" spans="1:21" ht="13.95" customHeight="1" x14ac:dyDescent="0.3">
      <c r="A26" s="57"/>
      <c r="B26" s="67"/>
      <c r="C26" s="76"/>
      <c r="D26" s="76"/>
      <c r="E26" s="62"/>
      <c r="F26" s="258"/>
      <c r="G26" s="253">
        <f t="shared" si="2"/>
        <v>2028</v>
      </c>
      <c r="H26" s="254"/>
      <c r="I26" s="254">
        <f t="shared" si="5"/>
        <v>12</v>
      </c>
      <c r="J26" s="254"/>
      <c r="K26" s="255">
        <f t="shared" si="3"/>
        <v>8199.8157488566558</v>
      </c>
      <c r="L26" s="69">
        <f>'LF Analysis'!F32</f>
        <v>18133.421335120209</v>
      </c>
      <c r="M26" s="148">
        <f t="shared" si="0"/>
        <v>-9933.6055862635531</v>
      </c>
      <c r="N26" s="255" t="s">
        <v>47</v>
      </c>
      <c r="O26" s="256">
        <f t="shared" si="4"/>
        <v>5.2136870048245978</v>
      </c>
      <c r="P26" s="71" t="s">
        <v>48</v>
      </c>
      <c r="Q26" s="257">
        <f t="shared" si="1"/>
        <v>-51790.710356155316</v>
      </c>
      <c r="R26" s="72"/>
      <c r="S26" s="72"/>
      <c r="T26" s="73"/>
      <c r="U26" s="51">
        <f t="shared" si="6"/>
        <v>94</v>
      </c>
    </row>
    <row r="27" spans="1:21" ht="13.95" customHeight="1" x14ac:dyDescent="0.3">
      <c r="A27" s="57"/>
      <c r="B27" s="67"/>
      <c r="C27" s="76"/>
      <c r="D27" s="76"/>
      <c r="E27" s="62"/>
      <c r="F27" s="258"/>
      <c r="G27" s="253">
        <f t="shared" si="2"/>
        <v>2029</v>
      </c>
      <c r="H27" s="254"/>
      <c r="I27" s="254">
        <f t="shared" si="5"/>
        <v>12</v>
      </c>
      <c r="J27" s="254"/>
      <c r="K27" s="255">
        <f t="shared" si="3"/>
        <v>8365.3237464543599</v>
      </c>
      <c r="L27" s="69">
        <f>'LF Analysis'!F33</f>
        <v>18133.421335120209</v>
      </c>
      <c r="M27" s="148">
        <f t="shared" si="0"/>
        <v>-9768.0975886658489</v>
      </c>
      <c r="N27" s="255" t="s">
        <v>47</v>
      </c>
      <c r="O27" s="256">
        <f t="shared" si="4"/>
        <v>4.7194942818051233</v>
      </c>
      <c r="P27" s="71" t="s">
        <v>48</v>
      </c>
      <c r="Q27" s="257">
        <f t="shared" si="1"/>
        <v>-46100.480713822886</v>
      </c>
      <c r="R27" s="72"/>
      <c r="S27" s="72"/>
      <c r="T27" s="73"/>
      <c r="U27" s="51">
        <f t="shared" si="6"/>
        <v>106</v>
      </c>
    </row>
    <row r="28" spans="1:21" ht="13.95" customHeight="1" x14ac:dyDescent="0.3">
      <c r="A28" s="57"/>
      <c r="B28" s="67"/>
      <c r="C28" s="76"/>
      <c r="D28" s="76"/>
      <c r="E28" s="261" t="s">
        <v>103</v>
      </c>
      <c r="F28" s="262"/>
      <c r="G28" s="263">
        <f t="shared" si="2"/>
        <v>2030</v>
      </c>
      <c r="H28" s="264"/>
      <c r="I28" s="264">
        <f t="shared" si="5"/>
        <v>12</v>
      </c>
      <c r="J28" s="264"/>
      <c r="K28" s="265">
        <f t="shared" si="3"/>
        <v>8534.1724163437102</v>
      </c>
      <c r="L28" s="266">
        <f>'LF Analysis'!F34</f>
        <v>18133.421335120209</v>
      </c>
      <c r="M28" s="267">
        <f t="shared" si="0"/>
        <v>-9599.2489187764986</v>
      </c>
      <c r="N28" s="265" t="s">
        <v>47</v>
      </c>
      <c r="O28" s="268">
        <f t="shared" si="4"/>
        <v>4.2721448862158145</v>
      </c>
      <c r="P28" s="269" t="s">
        <v>48</v>
      </c>
      <c r="Q28" s="270">
        <f t="shared" si="1"/>
        <v>-41009.382179863707</v>
      </c>
      <c r="R28" s="72"/>
      <c r="S28" s="72"/>
      <c r="T28" s="73"/>
      <c r="U28" s="51">
        <f t="shared" si="6"/>
        <v>118</v>
      </c>
    </row>
    <row r="29" spans="1:21" ht="13.95" customHeight="1" x14ac:dyDescent="0.3">
      <c r="A29" s="57"/>
      <c r="B29" s="67"/>
      <c r="C29" s="76"/>
      <c r="D29" s="76"/>
      <c r="E29" s="62"/>
      <c r="F29" s="258"/>
      <c r="G29" s="253">
        <f t="shared" si="2"/>
        <v>2031</v>
      </c>
      <c r="H29" s="254"/>
      <c r="I29" s="254">
        <f t="shared" si="5"/>
        <v>12</v>
      </c>
      <c r="J29" s="254"/>
      <c r="K29" s="255">
        <f t="shared" si="3"/>
        <v>8706.4291878424556</v>
      </c>
      <c r="L29" s="69">
        <f>'LF Analysis'!F35</f>
        <v>19765.429255281026</v>
      </c>
      <c r="M29" s="148">
        <f t="shared" si="0"/>
        <v>-11059.00006743857</v>
      </c>
      <c r="N29" s="255" t="s">
        <v>47</v>
      </c>
      <c r="O29" s="256">
        <f t="shared" si="4"/>
        <v>3.867198652869047</v>
      </c>
      <c r="P29" s="71" t="s">
        <v>48</v>
      </c>
      <c r="Q29" s="257">
        <f t="shared" si="1"/>
        <v>-42767.350162877141</v>
      </c>
      <c r="R29" s="72"/>
      <c r="S29" s="72"/>
      <c r="T29" s="73"/>
      <c r="U29" s="51">
        <f t="shared" si="6"/>
        <v>130</v>
      </c>
    </row>
    <row r="30" spans="1:21" ht="13.95" customHeight="1" x14ac:dyDescent="0.3">
      <c r="A30" s="57"/>
      <c r="B30" s="67"/>
      <c r="C30" s="76"/>
      <c r="D30" s="76"/>
      <c r="E30" s="62"/>
      <c r="F30" s="258"/>
      <c r="G30" s="253">
        <f t="shared" si="2"/>
        <v>2032</v>
      </c>
      <c r="H30" s="254"/>
      <c r="I30" s="254">
        <f t="shared" si="5"/>
        <v>12</v>
      </c>
      <c r="J30" s="254"/>
      <c r="K30" s="255">
        <f t="shared" si="3"/>
        <v>8882.1628512856787</v>
      </c>
      <c r="L30" s="69">
        <f>'LF Analysis'!F36</f>
        <v>19765.429255281026</v>
      </c>
      <c r="M30" s="148">
        <f t="shared" si="0"/>
        <v>-10883.266403995347</v>
      </c>
      <c r="N30" s="255" t="s">
        <v>47</v>
      </c>
      <c r="O30" s="256">
        <f t="shared" si="4"/>
        <v>3.5006362890466542</v>
      </c>
      <c r="P30" s="71" t="s">
        <v>48</v>
      </c>
      <c r="Q30" s="257">
        <f t="shared" si="1"/>
        <v>-38098.357317188398</v>
      </c>
      <c r="R30" s="72"/>
      <c r="S30" s="72"/>
      <c r="T30" s="73"/>
      <c r="U30" s="51">
        <f t="shared" si="6"/>
        <v>142</v>
      </c>
    </row>
    <row r="31" spans="1:21" ht="13.95" customHeight="1" x14ac:dyDescent="0.3">
      <c r="A31" s="57"/>
      <c r="B31" s="67"/>
      <c r="C31" s="76"/>
      <c r="D31" s="76"/>
      <c r="E31" s="62"/>
      <c r="F31" s="258"/>
      <c r="G31" s="253">
        <f t="shared" si="2"/>
        <v>2033</v>
      </c>
      <c r="H31" s="254"/>
      <c r="I31" s="254">
        <f t="shared" si="5"/>
        <v>12</v>
      </c>
      <c r="J31" s="254"/>
      <c r="K31" s="255">
        <f t="shared" si="3"/>
        <v>9061.4435854970525</v>
      </c>
      <c r="L31" s="69">
        <f>'LF Analysis'!F37</f>
        <v>19765.429255281026</v>
      </c>
      <c r="M31" s="148">
        <f t="shared" si="0"/>
        <v>-10703.985669783973</v>
      </c>
      <c r="N31" s="255" t="s">
        <v>47</v>
      </c>
      <c r="O31" s="259">
        <f t="shared" si="4"/>
        <v>3.1688194810211878</v>
      </c>
      <c r="P31" s="71" t="s">
        <v>48</v>
      </c>
      <c r="Q31" s="257">
        <f t="shared" si="1"/>
        <v>-33918.99831498308</v>
      </c>
      <c r="R31" s="72"/>
      <c r="S31" s="72"/>
      <c r="T31" s="73"/>
      <c r="U31" s="51">
        <f t="shared" si="6"/>
        <v>154</v>
      </c>
    </row>
    <row r="32" spans="1:21" ht="13.95" customHeight="1" x14ac:dyDescent="0.3">
      <c r="A32" s="57"/>
      <c r="B32" s="67"/>
      <c r="C32" s="76"/>
      <c r="D32" s="76"/>
      <c r="E32" s="62"/>
      <c r="F32" s="258"/>
      <c r="G32" s="253">
        <f t="shared" si="2"/>
        <v>2034</v>
      </c>
      <c r="H32" s="254"/>
      <c r="I32" s="254">
        <f t="shared" si="5"/>
        <v>12</v>
      </c>
      <c r="J32" s="254"/>
      <c r="K32" s="255">
        <f t="shared" si="3"/>
        <v>9244.3429858145901</v>
      </c>
      <c r="L32" s="69">
        <f>'LF Analysis'!F38</f>
        <v>21544.317888256319</v>
      </c>
      <c r="M32" s="148">
        <f t="shared" si="0"/>
        <v>-12299.974902441729</v>
      </c>
      <c r="N32" s="255" t="s">
        <v>47</v>
      </c>
      <c r="O32" s="256">
        <f t="shared" si="4"/>
        <v>2.8684547819830826</v>
      </c>
      <c r="P32" s="71" t="s">
        <v>48</v>
      </c>
      <c r="Q32" s="257">
        <f t="shared" si="1"/>
        <v>-35281.921827180879</v>
      </c>
      <c r="R32" s="72"/>
      <c r="S32" s="72"/>
      <c r="T32" s="73"/>
      <c r="U32" s="51">
        <f t="shared" si="6"/>
        <v>166</v>
      </c>
    </row>
    <row r="33" spans="1:21" ht="13.95" customHeight="1" x14ac:dyDescent="0.3">
      <c r="A33" s="57"/>
      <c r="B33" s="67"/>
      <c r="C33" s="76"/>
      <c r="D33" s="76"/>
      <c r="E33" s="261" t="s">
        <v>104</v>
      </c>
      <c r="F33" s="262"/>
      <c r="G33" s="263">
        <f t="shared" si="2"/>
        <v>2035</v>
      </c>
      <c r="H33" s="264"/>
      <c r="I33" s="264">
        <f t="shared" si="5"/>
        <v>12</v>
      </c>
      <c r="J33" s="264"/>
      <c r="K33" s="265">
        <f t="shared" si="3"/>
        <v>9430.9340926820696</v>
      </c>
      <c r="L33" s="266">
        <f>'LF Analysis'!F39</f>
        <v>21544.317888256319</v>
      </c>
      <c r="M33" s="267">
        <f t="shared" si="0"/>
        <v>-12113.383795574249</v>
      </c>
      <c r="N33" s="265" t="s">
        <v>47</v>
      </c>
      <c r="O33" s="290">
        <f t="shared" si="4"/>
        <v>2.5965609229434676</v>
      </c>
      <c r="P33" s="269" t="s">
        <v>48</v>
      </c>
      <c r="Q33" s="270">
        <f t="shared" si="1"/>
        <v>-31453.139008204718</v>
      </c>
      <c r="R33" s="72"/>
      <c r="S33" s="72"/>
      <c r="T33" s="73"/>
      <c r="U33" s="51">
        <f t="shared" si="6"/>
        <v>178</v>
      </c>
    </row>
    <row r="34" spans="1:21" ht="13.95" customHeight="1" x14ac:dyDescent="0.3">
      <c r="A34" s="57"/>
      <c r="B34" s="67"/>
      <c r="C34" s="76"/>
      <c r="D34" s="76"/>
      <c r="E34" s="260"/>
      <c r="F34" s="258"/>
      <c r="G34" s="253">
        <f t="shared" si="2"/>
        <v>2036</v>
      </c>
      <c r="H34" s="254"/>
      <c r="I34" s="254">
        <f t="shared" si="5"/>
        <v>12</v>
      </c>
      <c r="J34" s="254"/>
      <c r="K34" s="255">
        <f t="shared" si="3"/>
        <v>9621.291420817568</v>
      </c>
      <c r="L34" s="69">
        <f>'LF Analysis'!F40</f>
        <v>21544.317888256319</v>
      </c>
      <c r="M34" s="148">
        <f t="shared" si="0"/>
        <v>-11923.026467438751</v>
      </c>
      <c r="N34" s="255" t="s">
        <v>47</v>
      </c>
      <c r="O34" s="256">
        <f t="shared" si="4"/>
        <v>2.3504392221570658</v>
      </c>
      <c r="P34" s="71" t="s">
        <v>48</v>
      </c>
      <c r="Q34" s="257">
        <f t="shared" si="1"/>
        <v>-28024.349055884846</v>
      </c>
      <c r="R34" s="72"/>
      <c r="S34" s="72"/>
      <c r="T34" s="73"/>
      <c r="U34" s="51">
        <f t="shared" si="6"/>
        <v>190</v>
      </c>
    </row>
    <row r="35" spans="1:21" ht="13.95" customHeight="1" x14ac:dyDescent="0.3">
      <c r="A35" s="57"/>
      <c r="B35" s="67"/>
      <c r="C35" s="76"/>
      <c r="D35" s="76"/>
      <c r="E35" s="62"/>
      <c r="F35" s="258"/>
      <c r="G35" s="253">
        <f t="shared" si="2"/>
        <v>2037</v>
      </c>
      <c r="H35" s="254"/>
      <c r="I35" s="254">
        <f t="shared" si="5"/>
        <v>12</v>
      </c>
      <c r="J35" s="254"/>
      <c r="K35" s="255">
        <f t="shared" si="3"/>
        <v>9815.4909889707342</v>
      </c>
      <c r="L35" s="69">
        <f>'LF Analysis'!F41</f>
        <v>23483.306498199392</v>
      </c>
      <c r="M35" s="148">
        <f t="shared" si="0"/>
        <v>-13667.815509228658</v>
      </c>
      <c r="N35" s="255" t="s">
        <v>47</v>
      </c>
      <c r="O35" s="259">
        <f t="shared" si="4"/>
        <v>2.1276467993640038</v>
      </c>
      <c r="P35" s="71" t="s">
        <v>48</v>
      </c>
      <c r="Q35" s="257">
        <f t="shared" si="1"/>
        <v>-29080.283922508046</v>
      </c>
      <c r="R35" s="72"/>
      <c r="S35" s="72"/>
      <c r="T35" s="73"/>
      <c r="U35" s="51">
        <f t="shared" si="6"/>
        <v>202</v>
      </c>
    </row>
    <row r="36" spans="1:21" ht="13.95" customHeight="1" x14ac:dyDescent="0.3">
      <c r="A36" s="57"/>
      <c r="B36" s="67"/>
      <c r="C36" s="76"/>
      <c r="D36" s="76"/>
      <c r="E36" s="62"/>
      <c r="F36" s="258"/>
      <c r="G36" s="253">
        <f t="shared" si="2"/>
        <v>2038</v>
      </c>
      <c r="H36" s="254"/>
      <c r="I36" s="254">
        <f t="shared" si="5"/>
        <v>12</v>
      </c>
      <c r="J36" s="254"/>
      <c r="K36" s="255">
        <f t="shared" si="3"/>
        <v>10013.610350280698</v>
      </c>
      <c r="L36" s="69">
        <f>'LF Analysis'!F42</f>
        <v>23483.306498199392</v>
      </c>
      <c r="M36" s="148">
        <f t="shared" si="0"/>
        <v>-13469.696147918694</v>
      </c>
      <c r="N36" s="255" t="s">
        <v>47</v>
      </c>
      <c r="O36" s="256">
        <f t="shared" si="4"/>
        <v>1.9259723289885538</v>
      </c>
      <c r="P36" s="71" t="s">
        <v>48</v>
      </c>
      <c r="Q36" s="257">
        <f t="shared" si="1"/>
        <v>-25942.26206077512</v>
      </c>
      <c r="R36" s="72"/>
      <c r="S36" s="72"/>
      <c r="T36" s="73"/>
      <c r="U36" s="51">
        <f t="shared" si="6"/>
        <v>214</v>
      </c>
    </row>
    <row r="37" spans="1:21" ht="13.95" customHeight="1" x14ac:dyDescent="0.3">
      <c r="A37" s="57"/>
      <c r="B37" s="67"/>
      <c r="C37" s="76"/>
      <c r="D37" s="76"/>
      <c r="E37" s="62"/>
      <c r="F37" s="258"/>
      <c r="G37" s="253">
        <f t="shared" si="2"/>
        <v>2039</v>
      </c>
      <c r="H37" s="254"/>
      <c r="I37" s="254">
        <f t="shared" si="5"/>
        <v>12</v>
      </c>
      <c r="J37" s="254"/>
      <c r="K37" s="255">
        <f t="shared" si="3"/>
        <v>10215.728623246734</v>
      </c>
      <c r="L37" s="69">
        <f>'LF Analysis'!F43</f>
        <v>23483.306498199392</v>
      </c>
      <c r="M37" s="148">
        <f t="shared" si="0"/>
        <v>-13267.577874952658</v>
      </c>
      <c r="N37" s="255" t="s">
        <v>47</v>
      </c>
      <c r="O37" s="259">
        <f t="shared" si="4"/>
        <v>1.7434140916332539</v>
      </c>
      <c r="P37" s="71" t="s">
        <v>48</v>
      </c>
      <c r="Q37" s="257">
        <f t="shared" si="1"/>
        <v>-23130.882229034047</v>
      </c>
      <c r="R37" s="72"/>
      <c r="S37" s="72"/>
      <c r="T37" s="73"/>
      <c r="U37" s="51">
        <f t="shared" si="6"/>
        <v>226</v>
      </c>
    </row>
    <row r="38" spans="1:21" ht="13.95" customHeight="1" x14ac:dyDescent="0.3">
      <c r="A38" s="57"/>
      <c r="B38" s="67"/>
      <c r="C38" s="76"/>
      <c r="D38" s="76"/>
      <c r="E38" s="261" t="s">
        <v>105</v>
      </c>
      <c r="F38" s="291"/>
      <c r="G38" s="263">
        <f t="shared" si="2"/>
        <v>2040</v>
      </c>
      <c r="H38" s="264"/>
      <c r="I38" s="264">
        <f t="shared" si="5"/>
        <v>12</v>
      </c>
      <c r="J38" s="264"/>
      <c r="K38" s="265">
        <f t="shared" si="3"/>
        <v>10421.926523324048</v>
      </c>
      <c r="L38" s="266">
        <f>'LF Analysis'!F44</f>
        <v>25596.804083037336</v>
      </c>
      <c r="M38" s="267">
        <f t="shared" si="0"/>
        <v>-15174.877559713288</v>
      </c>
      <c r="N38" s="265" t="s">
        <v>47</v>
      </c>
      <c r="O38" s="290">
        <f t="shared" si="4"/>
        <v>1.5781601060185677</v>
      </c>
      <c r="P38" s="269" t="s">
        <v>48</v>
      </c>
      <c r="Q38" s="270">
        <f t="shared" si="1"/>
        <v>-23948.386378455907</v>
      </c>
      <c r="R38" s="72"/>
      <c r="S38" s="72"/>
      <c r="T38" s="73"/>
      <c r="U38" s="51">
        <f t="shared" si="6"/>
        <v>238</v>
      </c>
    </row>
    <row r="39" spans="1:21" ht="13.95" customHeight="1" x14ac:dyDescent="0.3">
      <c r="A39" s="57"/>
      <c r="B39" s="67"/>
      <c r="C39" s="76"/>
      <c r="D39" s="76"/>
      <c r="E39" s="260"/>
      <c r="F39" s="258"/>
      <c r="G39" s="253">
        <f t="shared" si="2"/>
        <v>2041</v>
      </c>
      <c r="H39" s="254"/>
      <c r="I39" s="254">
        <f t="shared" si="5"/>
        <v>12</v>
      </c>
      <c r="J39" s="254"/>
      <c r="K39" s="255">
        <f t="shared" si="3"/>
        <v>10632.2863951573</v>
      </c>
      <c r="L39" s="69">
        <f>'LF Analysis'!F45</f>
        <v>25596.804083037336</v>
      </c>
      <c r="M39" s="148">
        <f t="shared" si="0"/>
        <v>-14964.517687880036</v>
      </c>
      <c r="N39" s="255" t="s">
        <v>47</v>
      </c>
      <c r="O39" s="256">
        <f t="shared" si="4"/>
        <v>1.4285701441677112</v>
      </c>
      <c r="P39" s="71" t="s">
        <v>48</v>
      </c>
      <c r="Q39" s="257">
        <f t="shared" si="1"/>
        <v>-21377.863190775046</v>
      </c>
      <c r="R39" s="72"/>
      <c r="S39" s="72"/>
      <c r="T39" s="73"/>
      <c r="U39" s="51">
        <f t="shared" si="6"/>
        <v>250</v>
      </c>
    </row>
    <row r="40" spans="1:21" ht="13.95" customHeight="1" x14ac:dyDescent="0.3">
      <c r="A40" s="57"/>
      <c r="B40" s="67"/>
      <c r="C40" s="76"/>
      <c r="D40" s="76"/>
      <c r="E40" s="62"/>
      <c r="F40" s="258"/>
      <c r="G40" s="253">
        <f t="shared" si="2"/>
        <v>2042</v>
      </c>
      <c r="H40" s="254"/>
      <c r="I40" s="254">
        <f t="shared" si="5"/>
        <v>12</v>
      </c>
      <c r="J40" s="254"/>
      <c r="K40" s="255">
        <f t="shared" si="3"/>
        <v>10846.892245464749</v>
      </c>
      <c r="L40" s="69">
        <f>'LF Analysis'!F46</f>
        <v>25596.804083037336</v>
      </c>
      <c r="M40" s="148">
        <f t="shared" si="0"/>
        <v>-14749.911837572587</v>
      </c>
      <c r="N40" s="255" t="s">
        <v>47</v>
      </c>
      <c r="O40" s="256">
        <f t="shared" si="4"/>
        <v>1.2931594513284093</v>
      </c>
      <c r="P40" s="71" t="s">
        <v>48</v>
      </c>
      <c r="Q40" s="257">
        <f t="shared" si="1"/>
        <v>-19073.987899017775</v>
      </c>
      <c r="R40" s="72"/>
      <c r="S40" s="72"/>
      <c r="T40" s="73"/>
      <c r="U40" s="51">
        <f t="shared" si="6"/>
        <v>262</v>
      </c>
    </row>
    <row r="41" spans="1:21" ht="13.95" customHeight="1" x14ac:dyDescent="0.3">
      <c r="A41" s="57"/>
      <c r="B41" s="67"/>
      <c r="C41" s="76"/>
      <c r="D41" s="76"/>
      <c r="E41" s="62"/>
      <c r="F41" s="258"/>
      <c r="G41" s="253">
        <f t="shared" si="2"/>
        <v>2043</v>
      </c>
      <c r="H41" s="254"/>
      <c r="I41" s="254">
        <f t="shared" si="5"/>
        <v>12</v>
      </c>
      <c r="J41" s="254"/>
      <c r="K41" s="255">
        <f t="shared" si="3"/>
        <v>11065.829776586135</v>
      </c>
      <c r="L41" s="69">
        <f>'LF Analysis'!F47</f>
        <v>27900.516450510699</v>
      </c>
      <c r="M41" s="148">
        <f t="shared" si="0"/>
        <v>-16834.686673924563</v>
      </c>
      <c r="N41" s="255" t="s">
        <v>47</v>
      </c>
      <c r="O41" s="256">
        <f t="shared" si="4"/>
        <v>1.1705840090437116</v>
      </c>
      <c r="P41" s="71" t="s">
        <v>48</v>
      </c>
      <c r="Q41" s="257">
        <f t="shared" si="1"/>
        <v>-19706.415017757361</v>
      </c>
      <c r="R41" s="72"/>
      <c r="S41" s="72"/>
      <c r="T41" s="73"/>
      <c r="U41" s="51">
        <f t="shared" si="6"/>
        <v>274</v>
      </c>
    </row>
    <row r="42" spans="1:21" ht="13.95" customHeight="1" x14ac:dyDescent="0.3">
      <c r="A42" s="57"/>
      <c r="B42" s="67"/>
      <c r="C42" s="76"/>
      <c r="D42" s="76"/>
      <c r="E42" s="260"/>
      <c r="F42" s="258"/>
      <c r="G42" s="253">
        <f t="shared" si="2"/>
        <v>2044</v>
      </c>
      <c r="H42" s="254"/>
      <c r="I42" s="254">
        <f t="shared" si="5"/>
        <v>12</v>
      </c>
      <c r="J42" s="254"/>
      <c r="K42" s="255">
        <f t="shared" si="3"/>
        <v>11289.186420707705</v>
      </c>
      <c r="L42" s="69">
        <f>'LF Analysis'!F48</f>
        <v>27900.516450510699</v>
      </c>
      <c r="M42" s="148">
        <f t="shared" si="0"/>
        <v>-16611.330029802994</v>
      </c>
      <c r="N42" s="255" t="s">
        <v>47</v>
      </c>
      <c r="O42" s="256">
        <f t="shared" si="4"/>
        <v>1.0596271951005189</v>
      </c>
      <c r="P42" s="71" t="s">
        <v>48</v>
      </c>
      <c r="Q42" s="257">
        <f t="shared" si="1"/>
        <v>-17601.817046369168</v>
      </c>
      <c r="R42" s="72"/>
      <c r="S42" s="72"/>
      <c r="T42" s="73"/>
      <c r="U42" s="51">
        <f t="shared" si="6"/>
        <v>286</v>
      </c>
    </row>
    <row r="43" spans="1:21" ht="13.95" customHeight="1" x14ac:dyDescent="0.3">
      <c r="A43" s="57"/>
      <c r="B43" s="67"/>
      <c r="C43" s="76"/>
      <c r="D43" s="76"/>
      <c r="E43" s="261" t="s">
        <v>106</v>
      </c>
      <c r="F43" s="262"/>
      <c r="G43" s="263">
        <f t="shared" si="2"/>
        <v>2045</v>
      </c>
      <c r="H43" s="264"/>
      <c r="I43" s="264">
        <f t="shared" si="5"/>
        <v>12</v>
      </c>
      <c r="J43" s="264"/>
      <c r="K43" s="265">
        <f t="shared" si="3"/>
        <v>11517.051374778051</v>
      </c>
      <c r="L43" s="266">
        <f>'LF Analysis'!F49</f>
        <v>27900.516450510699</v>
      </c>
      <c r="M43" s="267">
        <f t="shared" si="0"/>
        <v>-16383.465075732647</v>
      </c>
      <c r="N43" s="265" t="s">
        <v>47</v>
      </c>
      <c r="O43" s="290">
        <f t="shared" si="4"/>
        <v>0.95918770794917418</v>
      </c>
      <c r="P43" s="269" t="s">
        <v>48</v>
      </c>
      <c r="Q43" s="270">
        <f t="shared" si="1"/>
        <v>-15714.818314257342</v>
      </c>
      <c r="R43" s="72"/>
      <c r="S43" s="72"/>
      <c r="T43" s="73"/>
      <c r="U43" s="51">
        <f t="shared" si="6"/>
        <v>298</v>
      </c>
    </row>
    <row r="44" spans="1:21" ht="13.95" customHeight="1" x14ac:dyDescent="0.3">
      <c r="A44" s="57"/>
      <c r="B44" s="67"/>
      <c r="C44" s="76"/>
      <c r="D44" s="76"/>
      <c r="E44" s="62"/>
      <c r="F44" s="258"/>
      <c r="G44" s="253">
        <f t="shared" si="2"/>
        <v>2046</v>
      </c>
      <c r="H44" s="254"/>
      <c r="I44" s="254">
        <f t="shared" si="5"/>
        <v>12</v>
      </c>
      <c r="J44" s="254"/>
      <c r="K44" s="255">
        <f t="shared" si="3"/>
        <v>11749.515636128703</v>
      </c>
      <c r="L44" s="69">
        <f>'LF Analysis'!F50</f>
        <v>30411.562931056662</v>
      </c>
      <c r="M44" s="148">
        <f t="shared" si="0"/>
        <v>-18662.047294927957</v>
      </c>
      <c r="N44" s="255" t="s">
        <v>47</v>
      </c>
      <c r="O44" s="256">
        <f t="shared" si="4"/>
        <v>0.86826863573798019</v>
      </c>
      <c r="P44" s="71" t="s">
        <v>48</v>
      </c>
      <c r="Q44" s="257">
        <f t="shared" si="1"/>
        <v>-16203.670344844761</v>
      </c>
      <c r="R44" s="72"/>
      <c r="S44" s="72"/>
      <c r="T44" s="73"/>
      <c r="U44" s="51">
        <f t="shared" si="6"/>
        <v>310</v>
      </c>
    </row>
    <row r="45" spans="1:21" ht="13.95" customHeight="1" x14ac:dyDescent="0.3">
      <c r="A45" s="57"/>
      <c r="B45" s="67"/>
      <c r="C45" s="76"/>
      <c r="D45" s="76"/>
      <c r="E45" s="62"/>
      <c r="F45" s="258"/>
      <c r="G45" s="253">
        <f t="shared" si="2"/>
        <v>2047</v>
      </c>
      <c r="H45" s="254"/>
      <c r="I45" s="254">
        <f t="shared" si="5"/>
        <v>12</v>
      </c>
      <c r="J45" s="254"/>
      <c r="K45" s="255">
        <f t="shared" si="3"/>
        <v>11986.672038813695</v>
      </c>
      <c r="L45" s="69">
        <f>'LF Analysis'!F51</f>
        <v>30411.562931056662</v>
      </c>
      <c r="M45" s="148">
        <f t="shared" si="0"/>
        <v>-18424.890892242969</v>
      </c>
      <c r="N45" s="255" t="s">
        <v>47</v>
      </c>
      <c r="O45" s="256">
        <f t="shared" si="4"/>
        <v>0.78596756146737545</v>
      </c>
      <c r="P45" s="71" t="s">
        <v>48</v>
      </c>
      <c r="Q45" s="257">
        <f t="shared" si="1"/>
        <v>-14481.366564878663</v>
      </c>
      <c r="R45" s="72"/>
      <c r="S45" s="72"/>
      <c r="T45" s="73"/>
      <c r="U45" s="51">
        <f t="shared" si="6"/>
        <v>322</v>
      </c>
    </row>
    <row r="46" spans="1:21" ht="13.95" customHeight="1" x14ac:dyDescent="0.3">
      <c r="A46" s="57"/>
      <c r="B46" s="67"/>
      <c r="C46" s="76"/>
      <c r="D46" s="76"/>
      <c r="E46" s="62"/>
      <c r="F46" s="258"/>
      <c r="G46" s="253">
        <f t="shared" si="2"/>
        <v>2048</v>
      </c>
      <c r="H46" s="254"/>
      <c r="I46" s="254">
        <f t="shared" si="5"/>
        <v>12</v>
      </c>
      <c r="J46" s="254"/>
      <c r="K46" s="255">
        <f t="shared" si="3"/>
        <v>12228.615290682625</v>
      </c>
      <c r="L46" s="69">
        <f>'LF Analysis'!F52</f>
        <v>30411.562931056662</v>
      </c>
      <c r="M46" s="148">
        <f t="shared" si="0"/>
        <v>-18182.947640374037</v>
      </c>
      <c r="N46" s="255" t="s">
        <v>47</v>
      </c>
      <c r="O46" s="256">
        <f t="shared" si="4"/>
        <v>0.71146760605250192</v>
      </c>
      <c r="P46" s="71" t="s">
        <v>48</v>
      </c>
      <c r="Q46" s="257">
        <f t="shared" si="1"/>
        <v>-12936.578228674905</v>
      </c>
      <c r="R46" s="72"/>
      <c r="S46" s="72"/>
      <c r="T46" s="73"/>
      <c r="U46" s="51">
        <f t="shared" si="6"/>
        <v>334</v>
      </c>
    </row>
    <row r="47" spans="1:21" ht="13.95" customHeight="1" x14ac:dyDescent="0.3">
      <c r="A47" s="57"/>
      <c r="B47" s="67"/>
      <c r="C47" s="76"/>
      <c r="D47" s="76"/>
      <c r="E47" s="62"/>
      <c r="F47" s="258"/>
      <c r="G47" s="253">
        <f t="shared" si="2"/>
        <v>2049</v>
      </c>
      <c r="H47" s="254"/>
      <c r="I47" s="254">
        <f t="shared" si="5"/>
        <v>12</v>
      </c>
      <c r="J47" s="254"/>
      <c r="K47" s="255">
        <f t="shared" ref="K47" si="7">K46*(1+$G$5/12)^I46</f>
        <v>12475.442011202016</v>
      </c>
      <c r="L47" s="69">
        <f>'LF Analysis'!F53</f>
        <v>33148.603594851767</v>
      </c>
      <c r="M47" s="148">
        <f t="shared" ref="M47" si="8">K47-L47</f>
        <v>-20673.161583649751</v>
      </c>
      <c r="N47" s="255" t="s">
        <v>47</v>
      </c>
      <c r="O47" s="256">
        <f t="shared" si="4"/>
        <v>0.64402932039211036</v>
      </c>
      <c r="P47" s="71" t="s">
        <v>48</v>
      </c>
      <c r="Q47" s="257">
        <f t="shared" ref="Q47" si="9">M47*O47</f>
        <v>-13314.122205074233</v>
      </c>
      <c r="R47" s="72"/>
      <c r="S47" s="72"/>
      <c r="T47" s="73"/>
      <c r="U47" s="155">
        <f t="shared" ref="U47" si="10">I46+U46</f>
        <v>346</v>
      </c>
    </row>
    <row r="48" spans="1:21" ht="4.95" customHeight="1" x14ac:dyDescent="0.3">
      <c r="A48" s="78"/>
      <c r="B48" s="78"/>
      <c r="C48" s="79"/>
      <c r="D48" s="79"/>
      <c r="E48" s="80"/>
      <c r="F48" s="79"/>
      <c r="G48" s="81"/>
      <c r="H48" s="81"/>
      <c r="I48" s="81"/>
      <c r="J48" s="81"/>
      <c r="K48" s="82"/>
      <c r="L48" s="83"/>
      <c r="M48" s="82"/>
      <c r="N48" s="82"/>
      <c r="O48" s="84"/>
      <c r="P48" s="85"/>
      <c r="Q48" s="86"/>
      <c r="R48" s="86"/>
      <c r="S48" s="86"/>
      <c r="T48" s="87"/>
    </row>
    <row r="49" spans="1:21" ht="13.95" customHeight="1" x14ac:dyDescent="0.3">
      <c r="A49" s="185"/>
      <c r="B49" s="185"/>
      <c r="C49" s="186"/>
      <c r="D49" s="186"/>
      <c r="E49" s="186"/>
      <c r="F49" s="186"/>
      <c r="G49" s="187"/>
      <c r="H49" s="187"/>
      <c r="I49" s="187"/>
      <c r="J49" s="187"/>
      <c r="K49" s="188"/>
      <c r="L49" s="188"/>
      <c r="M49" s="188"/>
      <c r="N49" s="188"/>
      <c r="O49" s="189"/>
      <c r="P49" s="190"/>
      <c r="Q49" s="88"/>
      <c r="R49" s="88"/>
      <c r="S49" s="88"/>
      <c r="T49" s="89"/>
    </row>
    <row r="50" spans="1:21" ht="13.2" customHeight="1" x14ac:dyDescent="0.3">
      <c r="A50" s="185"/>
      <c r="B50" s="140" t="s">
        <v>49</v>
      </c>
      <c r="C50" s="186"/>
      <c r="D50" s="186"/>
      <c r="E50" s="186"/>
      <c r="F50" s="186"/>
      <c r="G50" s="187"/>
      <c r="H50" s="187"/>
      <c r="I50" s="187"/>
      <c r="J50" s="187"/>
      <c r="K50" s="188"/>
      <c r="L50" s="287"/>
      <c r="M50" s="292" t="s">
        <v>160</v>
      </c>
      <c r="N50" s="324"/>
      <c r="O50" s="325"/>
      <c r="P50" s="326"/>
      <c r="Q50" s="330"/>
      <c r="R50" s="327"/>
      <c r="S50" s="328">
        <f>-ROUND(SUM(Q18:Q27),-4)</f>
        <v>610000</v>
      </c>
      <c r="T50" s="329"/>
      <c r="U50" s="155"/>
    </row>
    <row r="51" spans="1:21" ht="13.2" customHeight="1" x14ac:dyDescent="0.3">
      <c r="A51" s="185"/>
      <c r="B51" s="185"/>
      <c r="C51" s="186"/>
      <c r="D51" s="186"/>
      <c r="E51" s="186"/>
      <c r="F51" s="186"/>
      <c r="G51" s="187"/>
      <c r="H51" s="187"/>
      <c r="I51" s="187"/>
      <c r="J51" s="187"/>
      <c r="K51" s="188"/>
      <c r="L51" s="287"/>
      <c r="M51" s="287" t="s">
        <v>161</v>
      </c>
      <c r="N51" s="188"/>
      <c r="O51" s="189"/>
      <c r="P51" s="190"/>
      <c r="Q51" s="88"/>
      <c r="R51" s="88"/>
      <c r="S51" s="88">
        <f>-ROUND(SUM(Q18:Q32),-4)</f>
        <v>810000</v>
      </c>
      <c r="T51" s="89"/>
      <c r="U51" s="155"/>
    </row>
    <row r="52" spans="1:21" ht="13.2" customHeight="1" x14ac:dyDescent="0.3">
      <c r="A52" s="185"/>
      <c r="B52" s="185"/>
      <c r="C52" s="186"/>
      <c r="D52" s="186"/>
      <c r="E52" s="186"/>
      <c r="F52" s="186"/>
      <c r="G52" s="187"/>
      <c r="H52" s="187"/>
      <c r="I52" s="187"/>
      <c r="J52" s="187"/>
      <c r="K52" s="188"/>
      <c r="L52" s="287"/>
      <c r="M52" s="287" t="s">
        <v>162</v>
      </c>
      <c r="N52" s="188"/>
      <c r="O52" s="189"/>
      <c r="P52" s="190"/>
      <c r="Q52" s="88"/>
      <c r="R52" s="88"/>
      <c r="S52" s="88">
        <f>-ROUND(SUM(Q18:Q37),-4)</f>
        <v>940000</v>
      </c>
      <c r="T52" s="89"/>
      <c r="U52" s="155"/>
    </row>
    <row r="53" spans="1:21" ht="13.2" customHeight="1" x14ac:dyDescent="0.3">
      <c r="A53" s="185"/>
      <c r="B53" s="185"/>
      <c r="C53" s="186"/>
      <c r="D53" s="186"/>
      <c r="E53" s="186"/>
      <c r="F53" s="186"/>
      <c r="G53" s="187"/>
      <c r="H53" s="187"/>
      <c r="I53" s="187"/>
      <c r="J53" s="187"/>
      <c r="K53" s="188"/>
      <c r="L53" s="287"/>
      <c r="M53" s="287" t="s">
        <v>163</v>
      </c>
      <c r="N53" s="188"/>
      <c r="O53" s="189"/>
      <c r="P53" s="190"/>
      <c r="Q53" s="88"/>
      <c r="R53" s="88"/>
      <c r="S53" s="88">
        <f>-ROUND(SUM(Q18:Q42),-4)</f>
        <v>1040000</v>
      </c>
      <c r="T53" s="89"/>
      <c r="U53" s="155"/>
    </row>
    <row r="54" spans="1:21" ht="13.2" customHeight="1" x14ac:dyDescent="0.3">
      <c r="A54" s="185"/>
      <c r="B54" s="103"/>
      <c r="C54" s="103"/>
      <c r="D54" s="103"/>
      <c r="E54" s="186"/>
      <c r="F54" s="186"/>
      <c r="G54" s="187"/>
      <c r="H54" s="187"/>
      <c r="I54" s="103"/>
      <c r="J54" s="187"/>
      <c r="K54" s="191"/>
      <c r="L54" s="287"/>
      <c r="M54" s="287" t="s">
        <v>164</v>
      </c>
      <c r="N54" s="188"/>
      <c r="O54" s="208"/>
      <c r="P54" s="192"/>
      <c r="S54" s="89">
        <f>-ROUND(SUM(Q18:R48),-4)</f>
        <v>1120000</v>
      </c>
      <c r="T54" s="89"/>
    </row>
    <row r="55" spans="1:21" ht="3.6" customHeight="1" x14ac:dyDescent="0.3">
      <c r="A55" s="193"/>
      <c r="B55" s="193"/>
      <c r="C55" s="194"/>
      <c r="D55" s="194"/>
      <c r="E55" s="194"/>
      <c r="F55" s="194"/>
      <c r="G55" s="194"/>
      <c r="H55" s="194"/>
      <c r="I55" s="194"/>
      <c r="J55" s="194"/>
      <c r="K55" s="193"/>
      <c r="L55" s="193"/>
      <c r="M55" s="193"/>
      <c r="N55" s="193"/>
      <c r="O55" s="193"/>
      <c r="P55" s="195"/>
      <c r="Q55" s="90"/>
      <c r="R55" s="90"/>
      <c r="S55" s="90"/>
      <c r="T55" s="91"/>
    </row>
    <row r="56" spans="1:21" ht="5.25" customHeight="1" x14ac:dyDescent="0.2"/>
    <row r="57" spans="1:21" ht="13.95" customHeight="1" x14ac:dyDescent="0.3">
      <c r="B57" s="54" t="s">
        <v>50</v>
      </c>
    </row>
    <row r="58" spans="1:21" ht="13.95" customHeight="1" x14ac:dyDescent="0.3">
      <c r="B58" s="244" t="s">
        <v>158</v>
      </c>
      <c r="C58" s="340"/>
      <c r="D58" s="340"/>
      <c r="E58" s="340"/>
      <c r="F58" s="340"/>
      <c r="G58" s="340"/>
      <c r="H58" s="340"/>
      <c r="I58" s="340"/>
      <c r="J58" s="340"/>
      <c r="K58" s="340"/>
    </row>
    <row r="59" spans="1:21" ht="13.95" customHeight="1" x14ac:dyDescent="0.3">
      <c r="B59" s="92" t="s">
        <v>51</v>
      </c>
      <c r="G59" s="92"/>
    </row>
    <row r="60" spans="1:21" ht="10.95" customHeight="1" thickBot="1" x14ac:dyDescent="0.25"/>
    <row r="61" spans="1:21" ht="27.6" customHeight="1" x14ac:dyDescent="0.3">
      <c r="I61" s="299" t="s">
        <v>131</v>
      </c>
      <c r="O61" s="210" t="s">
        <v>52</v>
      </c>
    </row>
    <row r="62" spans="1:21" ht="20.399999999999999" customHeight="1" thickBot="1" x14ac:dyDescent="0.35">
      <c r="G62" s="64"/>
      <c r="I62" s="300">
        <f>SUM(I18:I48)</f>
        <v>359</v>
      </c>
      <c r="J62" s="92"/>
      <c r="K62" s="170"/>
      <c r="L62" s="170"/>
      <c r="M62" s="92"/>
      <c r="O62" s="209">
        <f>SUM(O18:O48)</f>
        <v>114.8495802278627</v>
      </c>
    </row>
    <row r="63" spans="1:21" x14ac:dyDescent="0.2">
      <c r="O63" s="93"/>
    </row>
    <row r="64" spans="1:21" x14ac:dyDescent="0.2">
      <c r="O64" s="93"/>
    </row>
    <row r="65" spans="5:11" ht="18" customHeight="1" x14ac:dyDescent="0.3">
      <c r="E65" s="92"/>
      <c r="F65" s="92" t="s">
        <v>53</v>
      </c>
      <c r="G65" s="92"/>
      <c r="H65" s="92"/>
      <c r="I65" s="94">
        <f>'LF Analysis'!I6</f>
        <v>1860000</v>
      </c>
      <c r="J65" s="155"/>
      <c r="K65" s="320" t="str">
        <f>IF('LF Analysis'!N16=TRUE,'LF Analysis'!N15,'LF Analysis'!M15)</f>
        <v>Land / Bldg.</v>
      </c>
    </row>
    <row r="66" spans="5:11" ht="18" customHeight="1" x14ac:dyDescent="0.3">
      <c r="E66" s="92"/>
      <c r="F66" s="283" t="s">
        <v>132</v>
      </c>
      <c r="G66" s="247"/>
      <c r="H66" s="247"/>
      <c r="I66" s="292" t="s">
        <v>149</v>
      </c>
    </row>
    <row r="67" spans="5:11" ht="22.5" customHeight="1" x14ac:dyDescent="0.3">
      <c r="E67" s="92"/>
      <c r="F67" s="295" t="s">
        <v>133</v>
      </c>
      <c r="G67" s="295"/>
      <c r="H67" s="295"/>
      <c r="I67" s="287" t="s">
        <v>150</v>
      </c>
    </row>
    <row r="68" spans="5:11" ht="13.8" x14ac:dyDescent="0.3">
      <c r="I68" s="287" t="s">
        <v>151</v>
      </c>
    </row>
    <row r="69" spans="5:11" ht="13.8" x14ac:dyDescent="0.3">
      <c r="I69" s="287" t="s">
        <v>152</v>
      </c>
    </row>
    <row r="70" spans="5:11" ht="13.8" x14ac:dyDescent="0.3">
      <c r="I70" s="287" t="s">
        <v>153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2:T12"/>
  </mergeCells>
  <phoneticPr fontId="19" type="noConversion"/>
  <dataValidations count="1">
    <dataValidation type="list" allowBlank="1" showInputMessage="1" promptTitle="Leasehold Interest" sqref="F66" xr:uid="{FFAC6CAC-B9E9-4735-B1A2-7198C2E8C374}">
      <formula1>"Add:  Negative LH, Less:  Positive LH"</formula1>
    </dataValidation>
  </dataValidations>
  <printOptions horizontalCentered="1" verticalCentered="1"/>
  <pageMargins left="0.25" right="0.25" top="0.5" bottom="0.25" header="0" footer="0"/>
  <pageSetup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80"/>
  <sheetViews>
    <sheetView showGridLines="0" zoomScale="110" zoomScaleNormal="110" workbookViewId="0">
      <selection activeCell="G2" sqref="G2"/>
    </sheetView>
  </sheetViews>
  <sheetFormatPr defaultColWidth="12.83203125" defaultRowHeight="13.8" x14ac:dyDescent="0.3"/>
  <cols>
    <col min="1" max="1" width="4.33203125" style="117" customWidth="1"/>
    <col min="2" max="2" width="12.33203125" style="117" customWidth="1"/>
    <col min="3" max="3" width="13.83203125" style="117" customWidth="1"/>
    <col min="4" max="4" width="12.83203125" style="117"/>
    <col min="5" max="5" width="18" style="117" customWidth="1"/>
    <col min="6" max="6" width="18.1640625" style="117" customWidth="1"/>
    <col min="7" max="7" width="18.83203125" style="117" customWidth="1"/>
    <col min="8" max="8" width="15.83203125" style="117" customWidth="1"/>
    <col min="9" max="9" width="17.33203125" style="117" customWidth="1"/>
    <col min="10" max="10" width="5.1640625" style="117" customWidth="1"/>
    <col min="11" max="11" width="4.6640625" style="117" customWidth="1"/>
    <col min="12" max="12" width="12.83203125" style="117"/>
    <col min="13" max="13" width="16.6640625" style="117" customWidth="1"/>
    <col min="14" max="14" width="14.6640625" customWidth="1"/>
  </cols>
  <sheetData>
    <row r="1" spans="1:14" ht="18" customHeight="1" x14ac:dyDescent="0.3">
      <c r="C1" s="285" t="s">
        <v>154</v>
      </c>
      <c r="D1" s="127"/>
      <c r="E1" s="127"/>
      <c r="F1" s="127"/>
      <c r="G1" s="127"/>
      <c r="H1" s="127"/>
      <c r="I1" s="226"/>
      <c r="J1" s="226"/>
      <c r="K1" s="226"/>
      <c r="L1" s="226"/>
    </row>
    <row r="2" spans="1:14" x14ac:dyDescent="0.3">
      <c r="A2" s="226"/>
      <c r="B2" s="226"/>
      <c r="C2" s="244" t="s">
        <v>155</v>
      </c>
      <c r="D2" s="226"/>
      <c r="E2" s="226"/>
      <c r="F2" s="226"/>
      <c r="G2" s="348">
        <v>3450</v>
      </c>
      <c r="H2" s="244" t="s">
        <v>112</v>
      </c>
      <c r="I2" s="226"/>
      <c r="J2" s="226"/>
      <c r="K2" s="226"/>
      <c r="L2" s="226"/>
      <c r="M2" s="226"/>
    </row>
    <row r="3" spans="1:14" x14ac:dyDescent="0.3">
      <c r="A3" s="226"/>
      <c r="B3" s="226"/>
      <c r="C3" s="244" t="s">
        <v>113</v>
      </c>
      <c r="D3" s="226"/>
      <c r="E3" s="226"/>
      <c r="F3" s="226"/>
      <c r="G3" s="307">
        <v>35</v>
      </c>
      <c r="H3" s="244" t="s">
        <v>134</v>
      </c>
      <c r="I3" s="226"/>
      <c r="J3" s="226"/>
      <c r="K3" s="226"/>
      <c r="L3" s="226"/>
      <c r="M3" s="226"/>
    </row>
    <row r="4" spans="1:14" x14ac:dyDescent="0.3">
      <c r="A4" s="226"/>
      <c r="B4" s="226"/>
      <c r="C4" s="244"/>
      <c r="D4" s="226"/>
      <c r="E4" s="226"/>
      <c r="F4" s="226"/>
      <c r="G4" s="301">
        <f>G5/12</f>
        <v>10062.5</v>
      </c>
      <c r="H4" s="302" t="s">
        <v>136</v>
      </c>
      <c r="I4" s="226"/>
      <c r="J4" s="226"/>
      <c r="K4" s="226"/>
      <c r="L4" s="226"/>
      <c r="M4" s="226"/>
    </row>
    <row r="5" spans="1:14" x14ac:dyDescent="0.3">
      <c r="A5" s="226"/>
      <c r="B5" s="226"/>
      <c r="C5" s="244"/>
      <c r="D5" s="226"/>
      <c r="E5" s="226"/>
      <c r="F5" s="226"/>
      <c r="G5" s="301">
        <f>G3*G2</f>
        <v>120750</v>
      </c>
      <c r="H5" s="302" t="s">
        <v>135</v>
      </c>
      <c r="I5" s="226"/>
      <c r="J5" s="226"/>
      <c r="K5" s="226"/>
      <c r="L5" s="226"/>
      <c r="M5" s="226"/>
    </row>
    <row r="6" spans="1:14" x14ac:dyDescent="0.3">
      <c r="A6" s="226"/>
      <c r="B6" s="226"/>
      <c r="C6" s="283" t="s">
        <v>114</v>
      </c>
      <c r="D6" s="247"/>
      <c r="E6" s="247"/>
      <c r="F6" s="247"/>
      <c r="G6" s="303">
        <v>6.5000000000000002E-2</v>
      </c>
      <c r="H6" s="282"/>
      <c r="I6" s="310">
        <f>MROUND(G2*G3/G6,5000)</f>
        <v>1860000</v>
      </c>
      <c r="J6" s="311" t="s">
        <v>140</v>
      </c>
      <c r="K6" s="311"/>
      <c r="L6" s="311"/>
      <c r="M6" s="311"/>
      <c r="N6" s="309"/>
    </row>
    <row r="7" spans="1:14" ht="18.600000000000001" thickBot="1" x14ac:dyDescent="0.4">
      <c r="A7" s="226"/>
      <c r="B7" s="226"/>
      <c r="C7" s="314"/>
      <c r="D7" s="315"/>
      <c r="E7" s="315"/>
      <c r="F7" s="315"/>
      <c r="G7" s="316"/>
      <c r="H7" s="315"/>
      <c r="I7" s="317">
        <f>I6/G2</f>
        <v>539.13043478260875</v>
      </c>
      <c r="J7" s="318" t="s">
        <v>134</v>
      </c>
      <c r="K7" s="315"/>
      <c r="L7" s="315"/>
      <c r="M7" s="315"/>
      <c r="N7" s="319"/>
    </row>
    <row r="8" spans="1:14" ht="18.600000000000001" thickTop="1" x14ac:dyDescent="0.35">
      <c r="A8" s="226"/>
      <c r="B8" s="226"/>
      <c r="C8" s="118"/>
      <c r="D8" s="226"/>
      <c r="E8" s="226"/>
      <c r="F8" s="226"/>
      <c r="G8" s="226"/>
      <c r="H8" s="226"/>
      <c r="I8" s="121"/>
      <c r="J8" s="226"/>
      <c r="K8" s="226"/>
      <c r="L8" s="226"/>
      <c r="M8" s="226"/>
    </row>
    <row r="9" spans="1:14" ht="12" customHeight="1" x14ac:dyDescent="0.3">
      <c r="C9" s="117" t="s">
        <v>54</v>
      </c>
      <c r="G9" s="119">
        <f>'Tenant Rent Roll'!D10</f>
        <v>27033</v>
      </c>
      <c r="H9" s="117" t="s">
        <v>142</v>
      </c>
    </row>
    <row r="10" spans="1:14" ht="12" customHeight="1" x14ac:dyDescent="0.3">
      <c r="C10" s="117" t="s">
        <v>56</v>
      </c>
      <c r="G10" s="307">
        <v>31</v>
      </c>
      <c r="H10" s="306" t="s">
        <v>143</v>
      </c>
      <c r="I10" s="297">
        <f>ROUND(G10*G9,-4)</f>
        <v>840000</v>
      </c>
      <c r="J10" s="295" t="s">
        <v>141</v>
      </c>
      <c r="K10" s="295"/>
      <c r="L10" s="308"/>
      <c r="M10" s="308"/>
      <c r="N10" s="309"/>
    </row>
    <row r="11" spans="1:14" x14ac:dyDescent="0.3">
      <c r="C11" s="117" t="s">
        <v>57</v>
      </c>
      <c r="G11" s="313">
        <v>0.1</v>
      </c>
      <c r="I11" s="121">
        <f>I10*G11/12</f>
        <v>7000</v>
      </c>
      <c r="J11" s="117" t="s">
        <v>137</v>
      </c>
    </row>
    <row r="12" spans="1:14" ht="12" customHeight="1" x14ac:dyDescent="0.3">
      <c r="C12" s="117" t="s">
        <v>58</v>
      </c>
      <c r="G12" s="313">
        <v>0.09</v>
      </c>
      <c r="I12" s="121">
        <f>I11*12</f>
        <v>84000</v>
      </c>
      <c r="J12" s="226" t="s">
        <v>138</v>
      </c>
    </row>
    <row r="13" spans="1:14" ht="12" customHeight="1" x14ac:dyDescent="0.3">
      <c r="C13" s="117" t="s">
        <v>59</v>
      </c>
      <c r="G13" s="119">
        <v>12</v>
      </c>
    </row>
    <row r="14" spans="1:14" ht="12" customHeight="1" x14ac:dyDescent="0.3">
      <c r="C14" s="244" t="s">
        <v>165</v>
      </c>
      <c r="G14" s="122">
        <v>0.02</v>
      </c>
      <c r="H14" s="306" t="s">
        <v>135</v>
      </c>
      <c r="I14" s="295" t="s">
        <v>144</v>
      </c>
      <c r="J14" s="308"/>
      <c r="K14" s="308"/>
      <c r="L14" s="308"/>
      <c r="M14" s="312" t="s">
        <v>145</v>
      </c>
      <c r="N14" s="312"/>
    </row>
    <row r="15" spans="1:14" ht="12" customHeight="1" x14ac:dyDescent="0.3">
      <c r="C15" s="244" t="s">
        <v>166</v>
      </c>
      <c r="D15" s="226"/>
      <c r="E15" s="226"/>
      <c r="F15" s="226"/>
      <c r="G15" s="239">
        <v>0.02</v>
      </c>
      <c r="H15" s="306" t="s">
        <v>135</v>
      </c>
      <c r="I15" s="295"/>
      <c r="J15" s="308"/>
      <c r="K15" s="308"/>
      <c r="L15" s="308"/>
      <c r="M15" s="312" t="s">
        <v>157</v>
      </c>
      <c r="N15" s="312" t="s">
        <v>146</v>
      </c>
    </row>
    <row r="16" spans="1:14" ht="23.4" customHeight="1" thickBot="1" x14ac:dyDescent="0.35">
      <c r="C16" s="123" t="s">
        <v>60</v>
      </c>
      <c r="D16" s="123"/>
      <c r="E16" s="123"/>
      <c r="F16" s="123"/>
      <c r="G16" s="124">
        <v>0.05</v>
      </c>
      <c r="H16" s="123"/>
      <c r="I16" s="315"/>
      <c r="J16" s="315"/>
      <c r="K16" s="315"/>
      <c r="L16" s="331"/>
      <c r="M16" s="331" t="b">
        <v>0</v>
      </c>
      <c r="N16" s="332" t="b">
        <f>IF(M16=FALSE,TRUE,FALSE)</f>
        <v>1</v>
      </c>
    </row>
    <row r="17" spans="1:19" ht="4.95" customHeight="1" thickTop="1" x14ac:dyDescent="0.3">
      <c r="G17" s="122"/>
      <c r="H17" s="125"/>
    </row>
    <row r="18" spans="1:19" ht="17.25" customHeight="1" x14ac:dyDescent="0.3">
      <c r="G18" s="122"/>
    </row>
    <row r="19" spans="1:19" ht="17.25" customHeight="1" x14ac:dyDescent="0.35">
      <c r="A19" s="51"/>
      <c r="B19" s="349" t="s">
        <v>61</v>
      </c>
      <c r="C19" s="350"/>
      <c r="D19" s="350"/>
      <c r="E19" s="350"/>
      <c r="F19" s="350"/>
      <c r="G19" s="350"/>
      <c r="H19" s="350"/>
      <c r="I19" s="350"/>
      <c r="J19" s="350"/>
      <c r="L19" s="51"/>
      <c r="M19" s="51"/>
      <c r="N19" s="51"/>
      <c r="O19" s="51"/>
      <c r="P19" s="51"/>
      <c r="Q19" s="55"/>
      <c r="R19" s="55"/>
      <c r="S19" s="55"/>
    </row>
    <row r="21" spans="1:19" x14ac:dyDescent="0.3">
      <c r="B21" s="140"/>
      <c r="C21" s="323" t="s">
        <v>31</v>
      </c>
      <c r="D21" s="126"/>
      <c r="E21" s="126"/>
      <c r="F21" s="126"/>
      <c r="G21" s="128" t="s">
        <v>62</v>
      </c>
      <c r="H21" s="127"/>
      <c r="I21" s="128" t="s">
        <v>63</v>
      </c>
      <c r="J21" s="127"/>
    </row>
    <row r="22" spans="1:19" x14ac:dyDescent="0.3">
      <c r="B22" s="140" t="s">
        <v>1</v>
      </c>
      <c r="C22" s="323" t="s">
        <v>156</v>
      </c>
      <c r="D22" s="128" t="s">
        <v>64</v>
      </c>
      <c r="E22" s="128" t="s">
        <v>65</v>
      </c>
      <c r="F22" s="128" t="s">
        <v>66</v>
      </c>
      <c r="G22" s="228">
        <f>G12</f>
        <v>0.09</v>
      </c>
      <c r="H22" s="127"/>
      <c r="I22" s="128" t="s">
        <v>67</v>
      </c>
      <c r="J22" s="127"/>
    </row>
    <row r="23" spans="1:19" x14ac:dyDescent="0.3">
      <c r="D23" s="125"/>
      <c r="E23" s="125"/>
      <c r="F23" s="125"/>
    </row>
    <row r="24" spans="1:19" x14ac:dyDescent="0.3">
      <c r="B24" s="244" t="s">
        <v>116</v>
      </c>
      <c r="C24" s="129">
        <v>2020</v>
      </c>
      <c r="D24" s="125">
        <v>11</v>
      </c>
      <c r="E24" s="229">
        <f>'Tenant Rent Roll'!M13</f>
        <v>168027.94070360003</v>
      </c>
      <c r="F24" s="230">
        <f>E24/12</f>
        <v>14002.32839196667</v>
      </c>
      <c r="G24" s="130">
        <f>(((1-(1/((1+($G$12/$G$13))^L25)))/($G$12/$G$13)))+1</f>
        <v>10.599579577061339</v>
      </c>
      <c r="H24" s="131" t="s">
        <v>48</v>
      </c>
      <c r="I24" s="333">
        <f t="shared" ref="I24:I52" si="0">F24*G24</f>
        <v>148418.79405479608</v>
      </c>
    </row>
    <row r="25" spans="1:19" x14ac:dyDescent="0.3">
      <c r="B25" s="244" t="s">
        <v>117</v>
      </c>
      <c r="C25" s="129">
        <f t="shared" ref="C25:C53" si="1">C24+1</f>
        <v>2021</v>
      </c>
      <c r="D25" s="125">
        <v>12</v>
      </c>
      <c r="E25" s="229">
        <f>E24</f>
        <v>168027.94070360003</v>
      </c>
      <c r="F25" s="230">
        <f t="shared" ref="F25:F53" si="2">E25/12</f>
        <v>14002.32839196667</v>
      </c>
      <c r="G25" s="130">
        <f t="shared" ref="G25:G52" si="3">(1-(1/(1+($G$12/$G$13))^D25))/($G$12/$G$13)/(((1+($G$12/$G$13))^L25))</f>
        <v>10.611635016908409</v>
      </c>
      <c r="H25" s="131" t="s">
        <v>48</v>
      </c>
      <c r="I25" s="334">
        <f t="shared" si="0"/>
        <v>148587.59828244432</v>
      </c>
      <c r="L25" s="117">
        <f>D24-1</f>
        <v>10</v>
      </c>
    </row>
    <row r="26" spans="1:19" x14ac:dyDescent="0.3">
      <c r="B26" s="244" t="s">
        <v>118</v>
      </c>
      <c r="C26" s="129">
        <f t="shared" si="1"/>
        <v>2022</v>
      </c>
      <c r="D26" s="125">
        <f t="shared" ref="D26:E53" si="4">D25</f>
        <v>12</v>
      </c>
      <c r="E26" s="229">
        <f>E25*1.09</f>
        <v>183150.45536692406</v>
      </c>
      <c r="F26" s="230">
        <f t="shared" si="2"/>
        <v>15262.537947243671</v>
      </c>
      <c r="G26" s="130">
        <f t="shared" si="3"/>
        <v>9.7015616188776086</v>
      </c>
      <c r="H26" s="131" t="s">
        <v>48</v>
      </c>
      <c r="I26" s="334">
        <f t="shared" si="0"/>
        <v>148070.45235564225</v>
      </c>
      <c r="L26" s="117">
        <f t="shared" ref="L26:L52" si="5">L25+D25</f>
        <v>22</v>
      </c>
    </row>
    <row r="27" spans="1:19" x14ac:dyDescent="0.3">
      <c r="B27" s="244" t="s">
        <v>119</v>
      </c>
      <c r="C27" s="129">
        <f t="shared" si="1"/>
        <v>2023</v>
      </c>
      <c r="D27" s="125">
        <f t="shared" si="4"/>
        <v>12</v>
      </c>
      <c r="E27" s="229">
        <f>E26</f>
        <v>183150.45536692406</v>
      </c>
      <c r="F27" s="230">
        <f t="shared" si="2"/>
        <v>15262.537947243671</v>
      </c>
      <c r="G27" s="130">
        <f t="shared" si="3"/>
        <v>8.8695377945914426</v>
      </c>
      <c r="H27" s="131" t="s">
        <v>48</v>
      </c>
      <c r="I27" s="334">
        <f t="shared" si="0"/>
        <v>135371.65716446383</v>
      </c>
      <c r="L27" s="117">
        <f t="shared" si="5"/>
        <v>34</v>
      </c>
    </row>
    <row r="28" spans="1:19" x14ac:dyDescent="0.3">
      <c r="B28" s="244" t="s">
        <v>120</v>
      </c>
      <c r="C28" s="248">
        <f t="shared" si="1"/>
        <v>2024</v>
      </c>
      <c r="D28" s="249">
        <f t="shared" si="4"/>
        <v>12</v>
      </c>
      <c r="E28" s="230">
        <f t="shared" si="4"/>
        <v>183150.45536692406</v>
      </c>
      <c r="F28" s="230">
        <f t="shared" si="2"/>
        <v>15262.537947243671</v>
      </c>
      <c r="G28" s="250">
        <f t="shared" si="3"/>
        <v>8.1088698686003244</v>
      </c>
      <c r="H28" s="251" t="s">
        <v>48</v>
      </c>
      <c r="I28" s="334">
        <f t="shared" si="0"/>
        <v>123761.93407877325</v>
      </c>
      <c r="J28" s="247"/>
      <c r="L28" s="117">
        <f t="shared" si="5"/>
        <v>46</v>
      </c>
    </row>
    <row r="29" spans="1:19" x14ac:dyDescent="0.3">
      <c r="B29" s="244" t="s">
        <v>121</v>
      </c>
      <c r="C29" s="248">
        <f t="shared" si="1"/>
        <v>2025</v>
      </c>
      <c r="D29" s="249">
        <f t="shared" si="4"/>
        <v>12</v>
      </c>
      <c r="E29" s="230">
        <f>E28*1.09</f>
        <v>199633.99634994724</v>
      </c>
      <c r="F29" s="230">
        <f t="shared" si="2"/>
        <v>16636.166362495602</v>
      </c>
      <c r="G29" s="250">
        <f t="shared" si="3"/>
        <v>7.4134382274113833</v>
      </c>
      <c r="H29" s="251" t="s">
        <v>48</v>
      </c>
      <c r="I29" s="334">
        <f t="shared" si="0"/>
        <v>123331.19166930027</v>
      </c>
      <c r="J29" s="247"/>
      <c r="L29" s="117">
        <f t="shared" si="5"/>
        <v>58</v>
      </c>
    </row>
    <row r="30" spans="1:19" x14ac:dyDescent="0.3">
      <c r="B30" s="244" t="s">
        <v>122</v>
      </c>
      <c r="C30" s="248">
        <f t="shared" si="1"/>
        <v>2026</v>
      </c>
      <c r="D30" s="249">
        <f t="shared" si="4"/>
        <v>12</v>
      </c>
      <c r="E30" s="230">
        <f t="shared" si="4"/>
        <v>199633.99634994724</v>
      </c>
      <c r="F30" s="230">
        <f t="shared" si="2"/>
        <v>16636.166362495602</v>
      </c>
      <c r="G30" s="250">
        <f t="shared" si="3"/>
        <v>6.7776480868758764</v>
      </c>
      <c r="H30" s="251" t="s">
        <v>48</v>
      </c>
      <c r="I30" s="334">
        <f t="shared" si="0"/>
        <v>112754.08111971713</v>
      </c>
      <c r="J30" s="247"/>
      <c r="L30" s="117">
        <f t="shared" si="5"/>
        <v>70</v>
      </c>
    </row>
    <row r="31" spans="1:19" x14ac:dyDescent="0.3">
      <c r="B31" s="244" t="s">
        <v>123</v>
      </c>
      <c r="C31" s="248">
        <f t="shared" si="1"/>
        <v>2027</v>
      </c>
      <c r="D31" s="249">
        <f t="shared" si="4"/>
        <v>12</v>
      </c>
      <c r="E31" s="230">
        <f>E30</f>
        <v>199633.99634994724</v>
      </c>
      <c r="F31" s="230">
        <f t="shared" si="2"/>
        <v>16636.166362495602</v>
      </c>
      <c r="G31" s="250">
        <f t="shared" si="3"/>
        <v>6.1963844818563079</v>
      </c>
      <c r="H31" s="251" t="s">
        <v>48</v>
      </c>
      <c r="I31" s="334">
        <f t="shared" si="0"/>
        <v>103084.08308614764</v>
      </c>
      <c r="J31" s="247"/>
      <c r="L31" s="117">
        <f t="shared" si="5"/>
        <v>82</v>
      </c>
    </row>
    <row r="32" spans="1:19" x14ac:dyDescent="0.3">
      <c r="B32" s="244" t="s">
        <v>124</v>
      </c>
      <c r="C32" s="248">
        <f t="shared" si="1"/>
        <v>2028</v>
      </c>
      <c r="D32" s="249">
        <f t="shared" si="4"/>
        <v>12</v>
      </c>
      <c r="E32" s="230">
        <f>E31*1.09</f>
        <v>217601.05602144249</v>
      </c>
      <c r="F32" s="230">
        <f t="shared" si="2"/>
        <v>18133.421335120209</v>
      </c>
      <c r="G32" s="250">
        <f t="shared" si="3"/>
        <v>5.6649711160627296</v>
      </c>
      <c r="H32" s="251" t="s">
        <v>48</v>
      </c>
      <c r="I32" s="334">
        <f t="shared" si="0"/>
        <v>102725.30809885164</v>
      </c>
      <c r="J32" s="247"/>
      <c r="L32" s="117">
        <f t="shared" si="5"/>
        <v>94</v>
      </c>
    </row>
    <row r="33" spans="2:12" x14ac:dyDescent="0.3">
      <c r="B33" s="244" t="s">
        <v>125</v>
      </c>
      <c r="C33" s="248">
        <f t="shared" si="1"/>
        <v>2029</v>
      </c>
      <c r="D33" s="249">
        <f t="shared" si="4"/>
        <v>12</v>
      </c>
      <c r="E33" s="230">
        <f t="shared" ref="E33" si="6">E32</f>
        <v>217601.05602144249</v>
      </c>
      <c r="F33" s="230">
        <f t="shared" si="2"/>
        <v>18133.421335120209</v>
      </c>
      <c r="G33" s="250">
        <f t="shared" si="3"/>
        <v>5.1791327410030172</v>
      </c>
      <c r="H33" s="251" t="s">
        <v>48</v>
      </c>
      <c r="I33" s="335">
        <f t="shared" si="0"/>
        <v>93915.396143123726</v>
      </c>
      <c r="J33" s="247"/>
      <c r="L33" s="117">
        <f t="shared" si="5"/>
        <v>106</v>
      </c>
    </row>
    <row r="34" spans="2:12" x14ac:dyDescent="0.3">
      <c r="B34" s="273" t="s">
        <v>103</v>
      </c>
      <c r="C34" s="275">
        <f t="shared" si="1"/>
        <v>2030</v>
      </c>
      <c r="D34" s="276">
        <f t="shared" si="4"/>
        <v>12</v>
      </c>
      <c r="E34" s="277">
        <f>E33</f>
        <v>217601.05602144249</v>
      </c>
      <c r="F34" s="277">
        <f t="shared" si="2"/>
        <v>18133.421335120209</v>
      </c>
      <c r="G34" s="278">
        <f t="shared" si="3"/>
        <v>4.7349607613837641</v>
      </c>
      <c r="H34" s="279" t="s">
        <v>48</v>
      </c>
      <c r="I34" s="252">
        <f t="shared" si="0"/>
        <v>85861.03849143337</v>
      </c>
      <c r="J34" s="281"/>
      <c r="L34" s="117">
        <f t="shared" si="5"/>
        <v>118</v>
      </c>
    </row>
    <row r="35" spans="2:12" x14ac:dyDescent="0.3">
      <c r="B35" s="254"/>
      <c r="C35" s="248">
        <f t="shared" si="1"/>
        <v>2031</v>
      </c>
      <c r="D35" s="249">
        <f t="shared" si="4"/>
        <v>12</v>
      </c>
      <c r="E35" s="230">
        <f>E34*1.09</f>
        <v>237185.15106337232</v>
      </c>
      <c r="F35" s="230">
        <f t="shared" si="2"/>
        <v>19765.429255281026</v>
      </c>
      <c r="G35" s="250">
        <f t="shared" si="3"/>
        <v>4.3288817902554815</v>
      </c>
      <c r="H35" s="251" t="s">
        <v>48</v>
      </c>
      <c r="I35" s="252">
        <f t="shared" si="0"/>
        <v>85562.206779768996</v>
      </c>
      <c r="J35" s="247"/>
      <c r="L35" s="117">
        <f t="shared" si="5"/>
        <v>130</v>
      </c>
    </row>
    <row r="36" spans="2:12" x14ac:dyDescent="0.3">
      <c r="B36" s="254"/>
      <c r="C36" s="248">
        <f t="shared" si="1"/>
        <v>2032</v>
      </c>
      <c r="D36" s="249">
        <f t="shared" si="4"/>
        <v>12</v>
      </c>
      <c r="E36" s="230">
        <f t="shared" ref="E36" si="7">E35</f>
        <v>237185.15106337232</v>
      </c>
      <c r="F36" s="230">
        <f t="shared" si="2"/>
        <v>19765.429255281026</v>
      </c>
      <c r="G36" s="250">
        <f t="shared" si="3"/>
        <v>3.9576289009265362</v>
      </c>
      <c r="H36" s="251" t="s">
        <v>48</v>
      </c>
      <c r="I36" s="252">
        <f t="shared" si="0"/>
        <v>78224.23405991905</v>
      </c>
      <c r="J36" s="247"/>
      <c r="L36" s="117">
        <f t="shared" si="5"/>
        <v>142</v>
      </c>
    </row>
    <row r="37" spans="2:12" x14ac:dyDescent="0.3">
      <c r="B37" s="254"/>
      <c r="C37" s="248">
        <f t="shared" si="1"/>
        <v>2033</v>
      </c>
      <c r="D37" s="249">
        <f t="shared" si="4"/>
        <v>12</v>
      </c>
      <c r="E37" s="230">
        <f>E36</f>
        <v>237185.15106337232</v>
      </c>
      <c r="F37" s="230">
        <f t="shared" si="2"/>
        <v>19765.429255281026</v>
      </c>
      <c r="G37" s="250">
        <f t="shared" si="3"/>
        <v>3.6182153443660097</v>
      </c>
      <c r="H37" s="251" t="s">
        <v>48</v>
      </c>
      <c r="I37" s="252">
        <f t="shared" si="0"/>
        <v>71515.57941943864</v>
      </c>
      <c r="J37" s="247"/>
      <c r="L37" s="117">
        <f t="shared" si="5"/>
        <v>154</v>
      </c>
    </row>
    <row r="38" spans="2:12" x14ac:dyDescent="0.3">
      <c r="B38" s="254"/>
      <c r="C38" s="248">
        <f t="shared" si="1"/>
        <v>2034</v>
      </c>
      <c r="D38" s="249">
        <f t="shared" si="4"/>
        <v>12</v>
      </c>
      <c r="E38" s="230">
        <f>E37*1.09</f>
        <v>258531.81465907584</v>
      </c>
      <c r="F38" s="230">
        <f t="shared" si="2"/>
        <v>21544.317888256319</v>
      </c>
      <c r="G38" s="250">
        <f t="shared" si="3"/>
        <v>3.3079105206505699</v>
      </c>
      <c r="H38" s="251" t="s">
        <v>48</v>
      </c>
      <c r="I38" s="252">
        <f t="shared" si="0"/>
        <v>71266.675802803351</v>
      </c>
      <c r="J38" s="247"/>
      <c r="L38" s="117">
        <f t="shared" si="5"/>
        <v>166</v>
      </c>
    </row>
    <row r="39" spans="2:12" x14ac:dyDescent="0.3">
      <c r="B39" s="273" t="s">
        <v>104</v>
      </c>
      <c r="C39" s="275">
        <f t="shared" si="1"/>
        <v>2035</v>
      </c>
      <c r="D39" s="276">
        <f t="shared" si="4"/>
        <v>12</v>
      </c>
      <c r="E39" s="277">
        <f t="shared" ref="E39" si="8">E38</f>
        <v>258531.81465907584</v>
      </c>
      <c r="F39" s="277">
        <f t="shared" si="2"/>
        <v>21544.317888256319</v>
      </c>
      <c r="G39" s="278">
        <f t="shared" si="3"/>
        <v>3.0242180111443995</v>
      </c>
      <c r="H39" s="279" t="s">
        <v>48</v>
      </c>
      <c r="I39" s="280">
        <f t="shared" si="0"/>
        <v>65154.714195485234</v>
      </c>
      <c r="J39" s="281"/>
      <c r="L39" s="117">
        <f t="shared" si="5"/>
        <v>178</v>
      </c>
    </row>
    <row r="40" spans="2:12" x14ac:dyDescent="0.3">
      <c r="B40" s="274"/>
      <c r="C40" s="248">
        <f t="shared" si="1"/>
        <v>2036</v>
      </c>
      <c r="D40" s="249">
        <f t="shared" si="4"/>
        <v>12</v>
      </c>
      <c r="E40" s="230">
        <f>E39</f>
        <v>258531.81465907584</v>
      </c>
      <c r="F40" s="230">
        <f t="shared" si="2"/>
        <v>21544.317888256319</v>
      </c>
      <c r="G40" s="250">
        <f t="shared" si="3"/>
        <v>2.7648554946799035</v>
      </c>
      <c r="H40" s="251" t="s">
        <v>48</v>
      </c>
      <c r="I40" s="252">
        <f t="shared" si="0"/>
        <v>59566.925692476019</v>
      </c>
      <c r="J40" s="247"/>
      <c r="L40" s="117">
        <f t="shared" si="5"/>
        <v>190</v>
      </c>
    </row>
    <row r="41" spans="2:12" x14ac:dyDescent="0.3">
      <c r="B41" s="254"/>
      <c r="C41" s="248">
        <f t="shared" si="1"/>
        <v>2037</v>
      </c>
      <c r="D41" s="249">
        <f t="shared" si="4"/>
        <v>12</v>
      </c>
      <c r="E41" s="230">
        <f>E40*1.09</f>
        <v>281799.67797839269</v>
      </c>
      <c r="F41" s="230">
        <f t="shared" si="2"/>
        <v>23483.306498199392</v>
      </c>
      <c r="G41" s="250">
        <f t="shared" si="3"/>
        <v>2.527736386163812</v>
      </c>
      <c r="H41" s="251" t="s">
        <v>48</v>
      </c>
      <c r="I41" s="252">
        <f t="shared" si="0"/>
        <v>59359.608302935696</v>
      </c>
      <c r="J41" s="247"/>
      <c r="L41" s="117">
        <f t="shared" si="5"/>
        <v>202</v>
      </c>
    </row>
    <row r="42" spans="2:12" x14ac:dyDescent="0.3">
      <c r="B42" s="254"/>
      <c r="C42" s="248">
        <f t="shared" si="1"/>
        <v>2038</v>
      </c>
      <c r="D42" s="249">
        <f t="shared" si="4"/>
        <v>12</v>
      </c>
      <c r="E42" s="230">
        <f t="shared" ref="E42" si="9">E41</f>
        <v>281799.67797839269</v>
      </c>
      <c r="F42" s="230">
        <f t="shared" si="2"/>
        <v>23483.306498199392</v>
      </c>
      <c r="G42" s="250">
        <f t="shared" si="3"/>
        <v>2.3109530498903026</v>
      </c>
      <c r="H42" s="251" t="s">
        <v>48</v>
      </c>
      <c r="I42" s="252">
        <f t="shared" si="0"/>
        <v>54268.818773522646</v>
      </c>
      <c r="J42" s="247"/>
      <c r="L42" s="117">
        <f t="shared" si="5"/>
        <v>214</v>
      </c>
    </row>
    <row r="43" spans="2:12" x14ac:dyDescent="0.3">
      <c r="B43" s="254"/>
      <c r="C43" s="248">
        <f t="shared" si="1"/>
        <v>2039</v>
      </c>
      <c r="D43" s="249">
        <f t="shared" si="4"/>
        <v>12</v>
      </c>
      <c r="E43" s="230">
        <f>E42</f>
        <v>281799.67797839269</v>
      </c>
      <c r="F43" s="230">
        <f t="shared" si="2"/>
        <v>23483.306498199392</v>
      </c>
      <c r="G43" s="250">
        <f t="shared" si="3"/>
        <v>2.1127614525113692</v>
      </c>
      <c r="H43" s="251" t="s">
        <v>48</v>
      </c>
      <c r="I43" s="252">
        <f t="shared" si="0"/>
        <v>49614.624746905421</v>
      </c>
      <c r="J43" s="247"/>
      <c r="L43" s="117">
        <f t="shared" si="5"/>
        <v>226</v>
      </c>
    </row>
    <row r="44" spans="2:12" x14ac:dyDescent="0.3">
      <c r="B44" s="273" t="s">
        <v>105</v>
      </c>
      <c r="C44" s="275">
        <f t="shared" si="1"/>
        <v>2040</v>
      </c>
      <c r="D44" s="276">
        <f t="shared" si="4"/>
        <v>12</v>
      </c>
      <c r="E44" s="277">
        <f>E43*1.09</f>
        <v>307161.64899644803</v>
      </c>
      <c r="F44" s="277">
        <f t="shared" si="2"/>
        <v>25596.804083037336</v>
      </c>
      <c r="G44" s="278">
        <f t="shared" si="3"/>
        <v>1.931567132196752</v>
      </c>
      <c r="H44" s="279" t="s">
        <v>48</v>
      </c>
      <c r="I44" s="280">
        <f t="shared" si="0"/>
        <v>49441.945456074536</v>
      </c>
      <c r="J44" s="281"/>
      <c r="L44" s="117">
        <f t="shared" si="5"/>
        <v>238</v>
      </c>
    </row>
    <row r="45" spans="2:12" x14ac:dyDescent="0.3">
      <c r="B45" s="274"/>
      <c r="C45" s="248">
        <f t="shared" si="1"/>
        <v>2041</v>
      </c>
      <c r="D45" s="249">
        <f t="shared" si="4"/>
        <v>12</v>
      </c>
      <c r="E45" s="230">
        <f t="shared" ref="E45" si="10">E44</f>
        <v>307161.64899644803</v>
      </c>
      <c r="F45" s="230">
        <f t="shared" si="2"/>
        <v>25596.804083037336</v>
      </c>
      <c r="G45" s="250">
        <f t="shared" si="3"/>
        <v>1.7659123711046165</v>
      </c>
      <c r="H45" s="251" t="s">
        <v>48</v>
      </c>
      <c r="I45" s="252">
        <f t="shared" si="0"/>
        <v>45201.71299097679</v>
      </c>
      <c r="J45" s="247"/>
      <c r="L45" s="117">
        <f t="shared" si="5"/>
        <v>250</v>
      </c>
    </row>
    <row r="46" spans="2:12" x14ac:dyDescent="0.3">
      <c r="B46" s="254"/>
      <c r="C46" s="248">
        <f t="shared" si="1"/>
        <v>2042</v>
      </c>
      <c r="D46" s="249">
        <f t="shared" si="4"/>
        <v>12</v>
      </c>
      <c r="E46" s="230">
        <f>E45</f>
        <v>307161.64899644803</v>
      </c>
      <c r="F46" s="230">
        <f t="shared" si="2"/>
        <v>25596.804083037336</v>
      </c>
      <c r="G46" s="250">
        <f t="shared" si="3"/>
        <v>1.6144644679648024</v>
      </c>
      <c r="H46" s="251" t="s">
        <v>48</v>
      </c>
      <c r="I46" s="252">
        <f t="shared" si="0"/>
        <v>41325.130685520155</v>
      </c>
      <c r="J46" s="247"/>
      <c r="L46" s="117">
        <f t="shared" si="5"/>
        <v>262</v>
      </c>
    </row>
    <row r="47" spans="2:12" x14ac:dyDescent="0.3">
      <c r="B47" s="254"/>
      <c r="C47" s="248">
        <f t="shared" si="1"/>
        <v>2043</v>
      </c>
      <c r="D47" s="249">
        <f t="shared" si="4"/>
        <v>12</v>
      </c>
      <c r="E47" s="230">
        <f>E46*1.09</f>
        <v>334806.1974061284</v>
      </c>
      <c r="F47" s="230">
        <f t="shared" si="2"/>
        <v>27900.516450510699</v>
      </c>
      <c r="G47" s="250">
        <f t="shared" si="3"/>
        <v>1.4760050164269776</v>
      </c>
      <c r="H47" s="251" t="s">
        <v>48</v>
      </c>
      <c r="I47" s="252">
        <f t="shared" si="0"/>
        <v>41181.3022418572</v>
      </c>
      <c r="J47" s="247"/>
      <c r="L47" s="117">
        <f t="shared" si="5"/>
        <v>274</v>
      </c>
    </row>
    <row r="48" spans="2:12" x14ac:dyDescent="0.3">
      <c r="B48" s="274"/>
      <c r="C48" s="248">
        <f t="shared" si="1"/>
        <v>2044</v>
      </c>
      <c r="D48" s="249">
        <f t="shared" si="4"/>
        <v>12</v>
      </c>
      <c r="E48" s="230">
        <f t="shared" ref="E48" si="11">E47</f>
        <v>334806.1974061284</v>
      </c>
      <c r="F48" s="230">
        <f t="shared" si="2"/>
        <v>27900.516450510699</v>
      </c>
      <c r="G48" s="250">
        <f t="shared" si="3"/>
        <v>1.3494201029174329</v>
      </c>
      <c r="H48" s="251" t="s">
        <v>48</v>
      </c>
      <c r="I48" s="252">
        <f t="shared" si="0"/>
        <v>37649.517780097674</v>
      </c>
      <c r="J48" s="247"/>
      <c r="L48" s="117">
        <f t="shared" si="5"/>
        <v>286</v>
      </c>
    </row>
    <row r="49" spans="1:13" x14ac:dyDescent="0.3">
      <c r="B49" s="273" t="s">
        <v>106</v>
      </c>
      <c r="C49" s="275">
        <f t="shared" si="1"/>
        <v>2045</v>
      </c>
      <c r="D49" s="276">
        <f t="shared" si="4"/>
        <v>12</v>
      </c>
      <c r="E49" s="277">
        <f>E48</f>
        <v>334806.1974061284</v>
      </c>
      <c r="F49" s="277">
        <f t="shared" si="2"/>
        <v>27900.516450510699</v>
      </c>
      <c r="G49" s="278">
        <f t="shared" si="3"/>
        <v>1.2336913451457656</v>
      </c>
      <c r="H49" s="279" t="s">
        <v>48</v>
      </c>
      <c r="I49" s="280">
        <f t="shared" si="0"/>
        <v>34420.625670092108</v>
      </c>
      <c r="J49" s="281"/>
      <c r="L49" s="117">
        <f t="shared" si="5"/>
        <v>298</v>
      </c>
    </row>
    <row r="50" spans="1:13" x14ac:dyDescent="0.3">
      <c r="B50" s="247"/>
      <c r="C50" s="248">
        <f t="shared" si="1"/>
        <v>2046</v>
      </c>
      <c r="D50" s="249">
        <f t="shared" si="4"/>
        <v>12</v>
      </c>
      <c r="E50" s="230">
        <f>E49*1.09</f>
        <v>364938.75517267996</v>
      </c>
      <c r="F50" s="230">
        <f t="shared" si="2"/>
        <v>30411.562931056662</v>
      </c>
      <c r="G50" s="250">
        <f t="shared" si="3"/>
        <v>1.1278876991657609</v>
      </c>
      <c r="H50" s="251" t="s">
        <v>48</v>
      </c>
      <c r="I50" s="252">
        <f t="shared" si="0"/>
        <v>34300.827742344241</v>
      </c>
      <c r="J50" s="247"/>
      <c r="L50" s="117">
        <f t="shared" si="5"/>
        <v>310</v>
      </c>
    </row>
    <row r="51" spans="1:13" x14ac:dyDescent="0.3">
      <c r="B51" s="247"/>
      <c r="C51" s="248">
        <f t="shared" si="1"/>
        <v>2047</v>
      </c>
      <c r="D51" s="249">
        <f t="shared" si="4"/>
        <v>12</v>
      </c>
      <c r="E51" s="230">
        <f t="shared" ref="E51" si="12">E50</f>
        <v>364938.75517267996</v>
      </c>
      <c r="F51" s="230">
        <f t="shared" si="2"/>
        <v>30411.562931056662</v>
      </c>
      <c r="G51" s="250">
        <f t="shared" si="3"/>
        <v>1.031157969077855</v>
      </c>
      <c r="H51" s="251" t="s">
        <v>48</v>
      </c>
      <c r="I51" s="252">
        <f t="shared" si="0"/>
        <v>31359.125468471764</v>
      </c>
      <c r="J51" s="247"/>
      <c r="L51" s="117">
        <f t="shared" si="5"/>
        <v>322</v>
      </c>
    </row>
    <row r="52" spans="1:13" x14ac:dyDescent="0.3">
      <c r="C52" s="129">
        <f t="shared" si="1"/>
        <v>2048</v>
      </c>
      <c r="D52" s="125">
        <f t="shared" si="4"/>
        <v>12</v>
      </c>
      <c r="E52" s="230">
        <f>E51</f>
        <v>364938.75517267996</v>
      </c>
      <c r="F52" s="230">
        <f t="shared" si="2"/>
        <v>30411.562931056662</v>
      </c>
      <c r="G52" s="130">
        <f t="shared" si="3"/>
        <v>0.94272395911332607</v>
      </c>
      <c r="H52" s="131" t="s">
        <v>48</v>
      </c>
      <c r="I52" s="132">
        <f t="shared" si="0"/>
        <v>28669.709009189803</v>
      </c>
      <c r="L52" s="117">
        <f t="shared" si="5"/>
        <v>334</v>
      </c>
    </row>
    <row r="53" spans="1:13" x14ac:dyDescent="0.3">
      <c r="A53" s="226"/>
      <c r="B53" s="226"/>
      <c r="C53" s="129">
        <f t="shared" si="1"/>
        <v>2049</v>
      </c>
      <c r="D53" s="125">
        <f t="shared" si="4"/>
        <v>12</v>
      </c>
      <c r="E53" s="230">
        <f>E52*1.09</f>
        <v>397783.24313822121</v>
      </c>
      <c r="F53" s="230">
        <f t="shared" si="2"/>
        <v>33148.603594851767</v>
      </c>
      <c r="G53" s="130">
        <f t="shared" ref="G53" si="13">(1-(1/(1+($G$12/$G$13))^D53))/($G$12/$G$13)/(((1+($G$12/$G$13))^L53))</f>
        <v>0.86187421300838818</v>
      </c>
      <c r="H53" s="131" t="s">
        <v>48</v>
      </c>
      <c r="I53" s="132">
        <f t="shared" ref="I53" si="14">F53*G53</f>
        <v>28569.926635639895</v>
      </c>
      <c r="J53" s="226"/>
      <c r="K53" s="226"/>
      <c r="L53" s="226">
        <f t="shared" ref="L53" si="15">L52+D52</f>
        <v>346</v>
      </c>
      <c r="M53" s="226"/>
    </row>
    <row r="54" spans="1:13" ht="4.95" customHeight="1" x14ac:dyDescent="0.3">
      <c r="B54" s="231"/>
      <c r="C54" s="232"/>
      <c r="D54" s="233"/>
      <c r="E54" s="234"/>
      <c r="F54" s="235"/>
      <c r="G54" s="236"/>
      <c r="H54" s="237"/>
      <c r="I54" s="238"/>
      <c r="J54" s="231"/>
    </row>
    <row r="55" spans="1:13" x14ac:dyDescent="0.3">
      <c r="A55" s="226"/>
      <c r="B55" s="285" t="s">
        <v>115</v>
      </c>
      <c r="C55" s="127"/>
      <c r="D55" s="127"/>
      <c r="E55" s="127"/>
      <c r="F55" s="127"/>
      <c r="G55" s="127"/>
      <c r="H55" s="126"/>
      <c r="I55" s="139"/>
      <c r="J55" s="127"/>
      <c r="K55" s="226"/>
      <c r="L55" s="226"/>
      <c r="M55" s="226"/>
    </row>
    <row r="56" spans="1:13" x14ac:dyDescent="0.3">
      <c r="A56" s="226"/>
      <c r="B56" s="226"/>
      <c r="C56" s="286">
        <v>47591</v>
      </c>
      <c r="D56" s="247"/>
      <c r="E56" s="247"/>
      <c r="F56" s="336">
        <f>IF(N16=TRUE,ROUND(I6*(1+G15/12)^SUM(D24:D33)*(1-G16),-4),ROUND(I10*(1+G15/12)^SUM(D24:D33)*(1-G16),-4))</f>
        <v>2150000</v>
      </c>
      <c r="G56" s="337">
        <f>1/(1+$G$12/G13)^SUM(D24:D33)</f>
        <v>0.41099683476986298</v>
      </c>
      <c r="H56" s="338"/>
      <c r="I56" s="339">
        <f>F56*G56</f>
        <v>883643.19475520542</v>
      </c>
      <c r="J56" s="247"/>
      <c r="K56" s="226"/>
      <c r="L56" s="226"/>
      <c r="M56" s="226"/>
    </row>
    <row r="57" spans="1:13" x14ac:dyDescent="0.3">
      <c r="A57" s="226"/>
      <c r="B57" s="226"/>
      <c r="C57" s="286">
        <v>49417</v>
      </c>
      <c r="D57" s="247"/>
      <c r="E57" s="247"/>
      <c r="F57" s="284">
        <f>IF(N16=TRUE,ROUND(I6*(1+G15/12)^SUM(D24:D38)*(1-G16),-4),ROUND(I10*(1+G15/12)^SUM(D24:D38)*(1-G16),-4))</f>
        <v>2380000</v>
      </c>
      <c r="G57" s="247">
        <f>1/(1+$G$12/G13)^SUM(D24:D38)</f>
        <v>0.26250355449009377</v>
      </c>
      <c r="H57" s="247"/>
      <c r="I57" s="252">
        <f>F57*G57</f>
        <v>624758.45968642319</v>
      </c>
      <c r="J57" s="247"/>
      <c r="K57" s="226"/>
      <c r="L57" s="226"/>
      <c r="M57" s="226"/>
    </row>
    <row r="58" spans="1:13" x14ac:dyDescent="0.3">
      <c r="A58" s="226"/>
      <c r="B58" s="226"/>
      <c r="C58" s="286">
        <v>51244</v>
      </c>
      <c r="D58" s="247"/>
      <c r="E58" s="247"/>
      <c r="F58" s="284">
        <f>IF(N16=TRUE,ROUND(I6*(1+G15/12)^SUM(D24:D43)*(1-G16),-4),ROUND(I10*(1+G15/12)^SUM(D24:D43)*(1-G16),-4))</f>
        <v>2630000</v>
      </c>
      <c r="G58" s="247">
        <f>1/(1+$G$12/G13)^SUM(D24:D43)</f>
        <v>0.16766094113235344</v>
      </c>
      <c r="H58" s="247"/>
      <c r="I58" s="252">
        <f>F58*G58</f>
        <v>440948.27517808956</v>
      </c>
      <c r="J58" s="247"/>
      <c r="K58" s="226"/>
      <c r="L58" s="226"/>
      <c r="M58" s="226"/>
    </row>
    <row r="59" spans="1:13" x14ac:dyDescent="0.3">
      <c r="C59" s="286">
        <v>53070</v>
      </c>
      <c r="D59" s="247"/>
      <c r="E59" s="247"/>
      <c r="F59" s="284">
        <f>IF(N16=TRUE,ROUND(I6*(1+G15/12)^SUM(D24:D48)*(1-G16),-4),ROUND(I10*(1+G15/12)^SUM(D24:D48)*(1-G16),-4))</f>
        <v>2910000</v>
      </c>
      <c r="G59" s="247">
        <f>1/(1+$G$12/G13)^SUM(D24:D48)</f>
        <v>0.10708499256701419</v>
      </c>
      <c r="H59" s="247"/>
      <c r="I59" s="252">
        <f>F59*G59</f>
        <v>311617.3283700113</v>
      </c>
      <c r="J59" s="247"/>
      <c r="M59" s="121"/>
    </row>
    <row r="60" spans="1:13" x14ac:dyDescent="0.3">
      <c r="A60" s="226"/>
      <c r="B60" s="226"/>
      <c r="C60" s="286">
        <v>54896</v>
      </c>
      <c r="D60" s="133"/>
      <c r="E60" s="133"/>
      <c r="F60" s="134">
        <f>IF(N16=TRUE,ROUND(I6*(1+G15/12)^SUM(D24:D53)*(1-G16),-4),ROUND(I10*(1+G15/12)^SUM(D24:D53)*(1-G16),-4))</f>
        <v>3210000</v>
      </c>
      <c r="G60" s="133">
        <f>1/(1+$G$12/G13)^SUM(D24:D53)</f>
        <v>6.839515247636091E-2</v>
      </c>
      <c r="H60" s="133"/>
      <c r="I60" s="135">
        <f>F60*G60</f>
        <v>219548.43944911851</v>
      </c>
      <c r="J60" s="133"/>
      <c r="K60" s="226"/>
      <c r="L60" s="226"/>
      <c r="M60" s="312" t="s">
        <v>159</v>
      </c>
    </row>
    <row r="61" spans="1:13" x14ac:dyDescent="0.3">
      <c r="B61" s="127"/>
      <c r="C61" s="127"/>
      <c r="D61" s="127"/>
      <c r="E61" s="127"/>
      <c r="F61" s="138"/>
      <c r="G61" s="127"/>
      <c r="H61" s="127"/>
      <c r="I61" s="139"/>
      <c r="J61" s="127"/>
      <c r="M61" s="312" t="s">
        <v>2</v>
      </c>
    </row>
    <row r="62" spans="1:13" x14ac:dyDescent="0.3">
      <c r="A62" s="226"/>
      <c r="B62" s="127" t="s">
        <v>68</v>
      </c>
      <c r="C62" s="127"/>
      <c r="D62" s="127"/>
      <c r="E62" s="127"/>
      <c r="F62" s="292" t="s">
        <v>149</v>
      </c>
      <c r="G62" s="293"/>
      <c r="H62" s="293"/>
      <c r="I62" s="294">
        <f>MROUND(SUM(I24:I33,I56),5000)</f>
        <v>2125000</v>
      </c>
      <c r="J62" s="127"/>
      <c r="K62" s="226"/>
      <c r="L62" s="226"/>
      <c r="M62" s="341">
        <f>I62/$G$9</f>
        <v>78.607627714275139</v>
      </c>
    </row>
    <row r="63" spans="1:13" x14ac:dyDescent="0.3">
      <c r="A63" s="226"/>
      <c r="B63" s="127"/>
      <c r="C63" s="127"/>
      <c r="D63" s="127"/>
      <c r="E63" s="127"/>
      <c r="F63" s="287" t="s">
        <v>150</v>
      </c>
      <c r="G63" s="127"/>
      <c r="H63" s="127"/>
      <c r="I63" s="139">
        <f>MROUND(SUM(I24:I38,I57),5000)</f>
        <v>2255000</v>
      </c>
      <c r="J63" s="127"/>
      <c r="K63" s="226"/>
      <c r="L63" s="226"/>
      <c r="M63" s="342">
        <f>I63/$G$9</f>
        <v>83.416564939148444</v>
      </c>
    </row>
    <row r="64" spans="1:13" x14ac:dyDescent="0.3">
      <c r="A64" s="226"/>
      <c r="B64" s="127"/>
      <c r="C64" s="127"/>
      <c r="D64" s="127"/>
      <c r="E64" s="127"/>
      <c r="F64" s="287" t="s">
        <v>151</v>
      </c>
      <c r="G64" s="127"/>
      <c r="H64" s="127"/>
      <c r="I64" s="139">
        <f>MROUND(SUM(I24:I43,I58),5000)</f>
        <v>2360000</v>
      </c>
      <c r="J64" s="127"/>
      <c r="K64" s="226"/>
      <c r="L64" s="226"/>
      <c r="M64" s="342">
        <f>I64/$G$9</f>
        <v>87.300706543853806</v>
      </c>
    </row>
    <row r="65" spans="1:13" x14ac:dyDescent="0.3">
      <c r="B65" s="127"/>
      <c r="C65" s="127"/>
      <c r="D65" s="127"/>
      <c r="E65" s="127"/>
      <c r="F65" s="287" t="s">
        <v>152</v>
      </c>
      <c r="G65" s="127"/>
      <c r="H65" s="126"/>
      <c r="I65" s="139">
        <f>MROUND(SUM(I24:I48,I59),5000)</f>
        <v>2445000</v>
      </c>
      <c r="J65" s="127"/>
      <c r="M65" s="342">
        <f>I65/$G$9</f>
        <v>90.44501165242481</v>
      </c>
    </row>
    <row r="66" spans="1:13" x14ac:dyDescent="0.3">
      <c r="A66" s="226"/>
      <c r="B66" s="127"/>
      <c r="C66" s="127"/>
      <c r="D66" s="127"/>
      <c r="E66" s="127"/>
      <c r="F66" s="287" t="s">
        <v>153</v>
      </c>
      <c r="G66" s="127"/>
      <c r="H66" s="126"/>
      <c r="I66" s="139">
        <f>MROUND(SUM(I24:I54,I60),5000)</f>
        <v>2510000</v>
      </c>
      <c r="J66" s="127"/>
      <c r="K66" s="226"/>
      <c r="L66" s="226"/>
      <c r="M66" s="343">
        <f>I66/$G$9</f>
        <v>92.849480264861469</v>
      </c>
    </row>
    <row r="68" spans="1:13" ht="14.4" customHeight="1" x14ac:dyDescent="0.3">
      <c r="B68" s="123"/>
      <c r="C68" s="123"/>
      <c r="D68" s="123"/>
      <c r="E68" s="123"/>
      <c r="F68" s="123"/>
      <c r="G68" s="123"/>
      <c r="H68" s="123"/>
      <c r="I68" s="123"/>
      <c r="J68" s="123"/>
    </row>
    <row r="69" spans="1:13" ht="15" customHeight="1" x14ac:dyDescent="0.3"/>
    <row r="70" spans="1:13" ht="27.6" customHeight="1" x14ac:dyDescent="0.3">
      <c r="G70" s="210" t="s">
        <v>52</v>
      </c>
    </row>
    <row r="71" spans="1:13" ht="14.4" customHeight="1" x14ac:dyDescent="0.3">
      <c r="G71" s="209">
        <f>SUM(G24:G54)</f>
        <v>125.14558451734226</v>
      </c>
    </row>
    <row r="72" spans="1:13" ht="14.4" customHeight="1" x14ac:dyDescent="0.3">
      <c r="B72" s="123"/>
      <c r="C72" s="123"/>
      <c r="D72" s="123"/>
      <c r="E72" s="123"/>
      <c r="F72" s="123"/>
      <c r="G72" s="123"/>
      <c r="H72" s="123"/>
      <c r="I72" s="123"/>
      <c r="J72" s="123"/>
    </row>
    <row r="73" spans="1:13" ht="14.4" customHeight="1" x14ac:dyDescent="0.3"/>
    <row r="74" spans="1:13" ht="19.95" customHeight="1" x14ac:dyDescent="0.3">
      <c r="A74" s="244"/>
      <c r="B74" s="244"/>
      <c r="C74" s="244"/>
      <c r="D74" s="295" t="s">
        <v>127</v>
      </c>
      <c r="E74" s="295"/>
      <c r="F74" s="295"/>
      <c r="G74" s="295"/>
      <c r="H74" s="295"/>
      <c r="I74" s="296" t="s">
        <v>128</v>
      </c>
      <c r="J74" s="244"/>
      <c r="K74" s="244"/>
      <c r="L74" s="244"/>
      <c r="M74" s="244"/>
    </row>
    <row r="75" spans="1:13" ht="19.95" customHeight="1" x14ac:dyDescent="0.3">
      <c r="D75" s="243" t="s">
        <v>139</v>
      </c>
      <c r="E75" s="136"/>
      <c r="F75" s="136"/>
      <c r="G75" s="136"/>
      <c r="H75" s="136"/>
      <c r="I75" s="137" t="str">
        <f>'LH Valuation'!I67</f>
        <v>LF Position Thru 04-18-2035</v>
      </c>
    </row>
    <row r="76" spans="1:13" ht="19.95" customHeight="1" x14ac:dyDescent="0.3">
      <c r="D76" s="321" t="s">
        <v>147</v>
      </c>
      <c r="E76" s="304"/>
      <c r="F76" s="304"/>
      <c r="G76" s="304"/>
      <c r="H76" s="304"/>
      <c r="I76" s="305">
        <f>I62</f>
        <v>2125000</v>
      </c>
    </row>
    <row r="77" spans="1:13" ht="4.95" customHeight="1" x14ac:dyDescent="0.3">
      <c r="D77" s="136"/>
      <c r="E77" s="136"/>
      <c r="F77" s="136"/>
      <c r="G77" s="136"/>
      <c r="H77" s="136"/>
      <c r="I77" s="136"/>
    </row>
    <row r="78" spans="1:13" ht="20.399999999999999" customHeight="1" x14ac:dyDescent="0.3">
      <c r="D78" s="295" t="s">
        <v>129</v>
      </c>
      <c r="E78" s="295"/>
      <c r="F78" s="295"/>
      <c r="G78" s="295"/>
      <c r="H78" s="295"/>
      <c r="I78" s="297">
        <f>MROUND(AVERAGE(I75:I76),10000)</f>
        <v>2130000</v>
      </c>
      <c r="L78" s="120"/>
    </row>
    <row r="80" spans="1:13" x14ac:dyDescent="0.3">
      <c r="D80" s="243" t="s">
        <v>130</v>
      </c>
      <c r="E80" s="244"/>
      <c r="F80" s="244"/>
      <c r="G80" s="244"/>
      <c r="H80" s="244"/>
      <c r="I80" s="298">
        <f>E24/I78</f>
        <v>7.8886357137840396E-2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19:J19"/>
  </mergeCells>
  <phoneticPr fontId="19" type="noConversion"/>
  <dataValidations count="4">
    <dataValidation type="list" allowBlank="1" showInputMessage="1" promptTitle="$ / SF" sqref="H2" xr:uid="{D2A1F25F-95C0-408F-91B3-D5143C0F6A00}">
      <formula1>"SF GLA, SF NRA, SF GBA"</formula1>
    </dataValidation>
    <dataValidation type="list" allowBlank="1" showInputMessage="1" showErrorMessage="1" promptTitle="Method 1" sqref="D75" xr:uid="{31537C8F-1851-4B35-A272-FD381455E5DC}">
      <formula1>"Method 1: FS + Negative Leasehold, Method 1: FS - Positive Leasehold"</formula1>
    </dataValidation>
    <dataValidation type="list" allowBlank="1" showInputMessage="1" promptTitle="$ / SF" sqref="H3 J7" xr:uid="{EC2269BA-50BB-49E7-BA2E-F51E0EA9296D}">
      <formula1>"/ SF GLA, / SF NRA, / SF GBA"</formula1>
    </dataValidation>
    <dataValidation type="list" allowBlank="1" showInputMessage="1" showErrorMessage="1" promptTitle="TRUE - FALSE" sqref="M16" xr:uid="{4574AD0A-F4B7-4A6A-815C-598FE63BD3DF}">
      <formula1>"FALSE, TRUE"</formula1>
    </dataValidation>
  </dataValidations>
  <printOptions horizontalCentered="1" verticalCentered="1"/>
  <pageMargins left="0" right="0" top="0.5" bottom="0.25" header="0.5" footer="0.5"/>
  <pageSetup scale="98" orientation="portrait" r:id="rId1"/>
  <headerFooter alignWithMargins="0"/>
  <ignoredErrors>
    <ignoredError sqref="E26:E5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R19"/>
  <sheetViews>
    <sheetView showGridLines="0" tabSelected="1" zoomScale="110" zoomScaleNormal="110" workbookViewId="0">
      <selection activeCell="K5" sqref="K5:L14"/>
    </sheetView>
  </sheetViews>
  <sheetFormatPr defaultColWidth="9.33203125" defaultRowHeight="12" x14ac:dyDescent="0.25"/>
  <cols>
    <col min="1" max="1" width="9.33203125" style="155"/>
    <col min="2" max="7" width="20.33203125" style="155" customWidth="1"/>
    <col min="8" max="8" width="9.33203125" style="155"/>
    <col min="9" max="9" width="6.83203125" style="155" customWidth="1"/>
    <col min="10" max="10" width="11.1640625" style="155" customWidth="1"/>
    <col min="11" max="11" width="6.33203125" style="155" customWidth="1"/>
    <col min="12" max="12" width="9.33203125" style="155"/>
    <col min="13" max="13" width="14.83203125" style="156" customWidth="1"/>
    <col min="14" max="14" width="9.33203125" style="159"/>
    <col min="15" max="15" width="9.33203125" style="155"/>
    <col min="16" max="16" width="12.1640625" style="155" customWidth="1"/>
    <col min="17" max="17" width="15.6640625" style="155" customWidth="1"/>
    <col min="18" max="18" width="9.33203125" style="155"/>
  </cols>
  <sheetData>
    <row r="2" spans="2:17" ht="12.75" customHeight="1" x14ac:dyDescent="0.3">
      <c r="B2" s="172"/>
      <c r="C2" s="172"/>
      <c r="D2" s="172"/>
      <c r="E2" s="172"/>
      <c r="F2" s="172" t="s">
        <v>69</v>
      </c>
      <c r="G2" s="172"/>
      <c r="M2" s="155"/>
      <c r="N2" s="155"/>
      <c r="Q2" s="157"/>
    </row>
    <row r="3" spans="2:17" ht="14.4" customHeight="1" x14ac:dyDescent="0.3">
      <c r="B3" s="172"/>
      <c r="C3" s="172" t="s">
        <v>33</v>
      </c>
      <c r="D3" s="172" t="s">
        <v>33</v>
      </c>
      <c r="E3" s="172" t="s">
        <v>33</v>
      </c>
      <c r="F3" s="172" t="s">
        <v>70</v>
      </c>
      <c r="G3" s="172" t="s">
        <v>9</v>
      </c>
      <c r="I3" s="222"/>
      <c r="J3" s="222"/>
      <c r="K3" s="222"/>
      <c r="L3" s="222"/>
      <c r="M3" s="184"/>
      <c r="N3" s="227" t="s">
        <v>71</v>
      </c>
      <c r="O3" s="222"/>
      <c r="P3" s="222"/>
      <c r="Q3" s="157"/>
    </row>
    <row r="4" spans="2:17" ht="15" customHeight="1" thickBot="1" x14ac:dyDescent="0.35">
      <c r="B4" s="173" t="s">
        <v>72</v>
      </c>
      <c r="C4" s="173" t="s">
        <v>73</v>
      </c>
      <c r="D4" s="173" t="s">
        <v>74</v>
      </c>
      <c r="E4" s="173" t="s">
        <v>75</v>
      </c>
      <c r="F4" s="173" t="s">
        <v>67</v>
      </c>
      <c r="G4" s="173" t="s">
        <v>76</v>
      </c>
      <c r="I4" s="223" t="s">
        <v>77</v>
      </c>
      <c r="J4" s="223"/>
      <c r="K4" s="223" t="s">
        <v>78</v>
      </c>
      <c r="L4" s="223"/>
      <c r="M4" s="224" t="s">
        <v>55</v>
      </c>
      <c r="N4" s="224" t="s">
        <v>79</v>
      </c>
      <c r="O4" s="223"/>
      <c r="P4" s="225" t="s">
        <v>80</v>
      </c>
      <c r="Q4" s="157"/>
    </row>
    <row r="5" spans="2:17" ht="18" customHeight="1" thickTop="1" x14ac:dyDescent="0.3">
      <c r="B5" s="174"/>
      <c r="C5" s="175">
        <v>0</v>
      </c>
      <c r="D5" s="175">
        <v>0</v>
      </c>
      <c r="E5" s="176">
        <f t="shared" ref="E5:E7" si="0">SUM(C5:D5)</f>
        <v>0</v>
      </c>
      <c r="F5" s="175">
        <v>0</v>
      </c>
      <c r="G5" s="177">
        <v>0</v>
      </c>
      <c r="I5" s="351" t="s">
        <v>77</v>
      </c>
      <c r="J5" s="351"/>
      <c r="K5" s="354"/>
      <c r="L5" s="354"/>
      <c r="M5" s="347">
        <v>27033</v>
      </c>
      <c r="N5" s="344">
        <f t="shared" ref="N5:N15" si="1">M5/43560</f>
        <v>0.62059228650137743</v>
      </c>
      <c r="P5" s="156">
        <v>0</v>
      </c>
      <c r="Q5" s="157"/>
    </row>
    <row r="6" spans="2:17" ht="14.4" customHeight="1" x14ac:dyDescent="0.3">
      <c r="B6" s="174"/>
      <c r="C6" s="175">
        <v>0</v>
      </c>
      <c r="D6" s="175">
        <v>0</v>
      </c>
      <c r="E6" s="176">
        <f t="shared" si="0"/>
        <v>0</v>
      </c>
      <c r="F6" s="175">
        <v>0</v>
      </c>
      <c r="G6" s="177">
        <v>0</v>
      </c>
      <c r="I6" s="352" t="s">
        <v>77</v>
      </c>
      <c r="J6" s="352"/>
      <c r="K6" s="355"/>
      <c r="L6" s="355"/>
      <c r="N6" s="211">
        <f t="shared" si="1"/>
        <v>0</v>
      </c>
      <c r="P6" s="156">
        <v>0</v>
      </c>
      <c r="Q6" s="157"/>
    </row>
    <row r="7" spans="2:17" ht="14.4" customHeight="1" x14ac:dyDescent="0.3">
      <c r="B7" s="174"/>
      <c r="C7" s="175">
        <v>0</v>
      </c>
      <c r="D7" s="175">
        <v>0</v>
      </c>
      <c r="E7" s="176">
        <f t="shared" si="0"/>
        <v>0</v>
      </c>
      <c r="F7" s="175">
        <v>0</v>
      </c>
      <c r="G7" s="177">
        <v>0</v>
      </c>
      <c r="I7" s="352" t="s">
        <v>77</v>
      </c>
      <c r="J7" s="352"/>
      <c r="K7" s="355" t="s">
        <v>81</v>
      </c>
      <c r="L7" s="355"/>
      <c r="M7" s="156">
        <v>0</v>
      </c>
      <c r="N7" s="211">
        <f t="shared" si="1"/>
        <v>0</v>
      </c>
      <c r="P7" s="156">
        <v>0</v>
      </c>
      <c r="Q7" s="157"/>
    </row>
    <row r="8" spans="2:17" ht="14.4" customHeight="1" x14ac:dyDescent="0.3">
      <c r="B8" s="174"/>
      <c r="C8" s="175">
        <v>0</v>
      </c>
      <c r="D8" s="175">
        <v>0</v>
      </c>
      <c r="E8" s="176">
        <f t="shared" ref="E8:E14" si="2">SUM(C8:D8)</f>
        <v>0</v>
      </c>
      <c r="F8" s="175">
        <v>0</v>
      </c>
      <c r="G8" s="177">
        <v>0</v>
      </c>
      <c r="I8" s="352" t="s">
        <v>77</v>
      </c>
      <c r="J8" s="352"/>
      <c r="K8" s="355" t="s">
        <v>81</v>
      </c>
      <c r="L8" s="355"/>
      <c r="M8" s="156">
        <v>0</v>
      </c>
      <c r="N8" s="211">
        <f t="shared" si="1"/>
        <v>0</v>
      </c>
      <c r="P8" s="156">
        <v>0</v>
      </c>
      <c r="Q8" s="157"/>
    </row>
    <row r="9" spans="2:17" ht="14.4" customHeight="1" x14ac:dyDescent="0.3">
      <c r="B9" s="174"/>
      <c r="C9" s="175">
        <v>0</v>
      </c>
      <c r="D9" s="175">
        <v>0</v>
      </c>
      <c r="E9" s="176">
        <f t="shared" si="2"/>
        <v>0</v>
      </c>
      <c r="F9" s="175">
        <v>0</v>
      </c>
      <c r="G9" s="177">
        <v>0</v>
      </c>
      <c r="I9" s="352" t="s">
        <v>77</v>
      </c>
      <c r="J9" s="352"/>
      <c r="K9" s="355" t="s">
        <v>81</v>
      </c>
      <c r="L9" s="355"/>
      <c r="M9" s="156">
        <v>0</v>
      </c>
      <c r="N9" s="211">
        <f t="shared" si="1"/>
        <v>0</v>
      </c>
      <c r="P9" s="156">
        <v>0</v>
      </c>
      <c r="Q9" s="157"/>
    </row>
    <row r="10" spans="2:17" ht="14.4" customHeight="1" x14ac:dyDescent="0.3">
      <c r="B10" s="174"/>
      <c r="C10" s="175">
        <v>0</v>
      </c>
      <c r="D10" s="175">
        <v>0</v>
      </c>
      <c r="E10" s="176">
        <f t="shared" si="2"/>
        <v>0</v>
      </c>
      <c r="F10" s="175">
        <v>0</v>
      </c>
      <c r="G10" s="177">
        <v>0</v>
      </c>
      <c r="I10" s="352" t="s">
        <v>77</v>
      </c>
      <c r="J10" s="352"/>
      <c r="K10" s="355" t="s">
        <v>81</v>
      </c>
      <c r="L10" s="355"/>
      <c r="M10" s="156">
        <v>0</v>
      </c>
      <c r="N10" s="211">
        <f t="shared" si="1"/>
        <v>0</v>
      </c>
      <c r="P10" s="156">
        <v>0</v>
      </c>
      <c r="Q10" s="157"/>
    </row>
    <row r="11" spans="2:17" ht="14.4" customHeight="1" x14ac:dyDescent="0.3">
      <c r="B11" s="174"/>
      <c r="C11" s="175">
        <v>0</v>
      </c>
      <c r="D11" s="175">
        <v>0</v>
      </c>
      <c r="E11" s="176">
        <f t="shared" si="2"/>
        <v>0</v>
      </c>
      <c r="F11" s="175">
        <v>0</v>
      </c>
      <c r="G11" s="177">
        <v>0</v>
      </c>
      <c r="I11" s="352" t="s">
        <v>77</v>
      </c>
      <c r="J11" s="352"/>
      <c r="K11" s="355" t="s">
        <v>81</v>
      </c>
      <c r="L11" s="355"/>
      <c r="M11" s="156">
        <v>0</v>
      </c>
      <c r="N11" s="211">
        <f t="shared" si="1"/>
        <v>0</v>
      </c>
      <c r="P11" s="156">
        <v>0</v>
      </c>
      <c r="Q11" s="157"/>
    </row>
    <row r="12" spans="2:17" ht="14.4" customHeight="1" x14ac:dyDescent="0.3">
      <c r="B12" s="174"/>
      <c r="C12" s="175">
        <v>0</v>
      </c>
      <c r="D12" s="175">
        <v>0</v>
      </c>
      <c r="E12" s="176">
        <f t="shared" si="2"/>
        <v>0</v>
      </c>
      <c r="F12" s="175">
        <v>0</v>
      </c>
      <c r="G12" s="177">
        <v>0</v>
      </c>
      <c r="I12" s="352" t="s">
        <v>77</v>
      </c>
      <c r="J12" s="352"/>
      <c r="K12" s="355" t="s">
        <v>81</v>
      </c>
      <c r="L12" s="355"/>
      <c r="M12" s="156">
        <v>0</v>
      </c>
      <c r="N12" s="211">
        <f t="shared" si="1"/>
        <v>0</v>
      </c>
      <c r="P12" s="156">
        <v>0</v>
      </c>
      <c r="Q12" s="157"/>
    </row>
    <row r="13" spans="2:17" ht="14.4" customHeight="1" x14ac:dyDescent="0.3">
      <c r="B13" s="174"/>
      <c r="C13" s="175">
        <v>0</v>
      </c>
      <c r="D13" s="175">
        <v>0</v>
      </c>
      <c r="E13" s="176">
        <f t="shared" si="2"/>
        <v>0</v>
      </c>
      <c r="F13" s="175">
        <v>0</v>
      </c>
      <c r="G13" s="177">
        <v>0</v>
      </c>
      <c r="I13" s="352" t="s">
        <v>77</v>
      </c>
      <c r="J13" s="352"/>
      <c r="K13" s="355" t="s">
        <v>81</v>
      </c>
      <c r="L13" s="355"/>
      <c r="M13" s="156">
        <v>0</v>
      </c>
      <c r="N13" s="211">
        <f t="shared" si="1"/>
        <v>0</v>
      </c>
      <c r="P13" s="156">
        <v>0</v>
      </c>
      <c r="Q13" s="157"/>
    </row>
    <row r="14" spans="2:17" ht="15" customHeight="1" thickBot="1" x14ac:dyDescent="0.35">
      <c r="B14" s="178"/>
      <c r="C14" s="179">
        <v>0</v>
      </c>
      <c r="D14" s="179">
        <v>0</v>
      </c>
      <c r="E14" s="179">
        <f t="shared" si="2"/>
        <v>0</v>
      </c>
      <c r="F14" s="180">
        <v>0</v>
      </c>
      <c r="G14" s="181">
        <v>0</v>
      </c>
      <c r="I14" s="353" t="s">
        <v>77</v>
      </c>
      <c r="J14" s="353"/>
      <c r="K14" s="356" t="s">
        <v>81</v>
      </c>
      <c r="L14" s="356"/>
      <c r="M14" s="156">
        <v>0</v>
      </c>
      <c r="N14" s="211">
        <f t="shared" si="1"/>
        <v>0</v>
      </c>
      <c r="O14" s="171"/>
      <c r="P14" s="160">
        <v>0</v>
      </c>
      <c r="Q14" s="157"/>
    </row>
    <row r="15" spans="2:17" ht="15.6" customHeight="1" thickTop="1" thickBot="1" x14ac:dyDescent="0.35">
      <c r="B15" s="212" t="s">
        <v>82</v>
      </c>
      <c r="C15" s="213">
        <f>SUM(C5:C14)</f>
        <v>0</v>
      </c>
      <c r="D15" s="214">
        <f>SUM(D5:D14)</f>
        <v>0</v>
      </c>
      <c r="E15" s="215">
        <f>SUM(E5:E14)</f>
        <v>0</v>
      </c>
      <c r="F15" s="215">
        <f>SUM(F5:F14)</f>
        <v>0</v>
      </c>
      <c r="G15" s="216">
        <f>SUM(G5:G14)</f>
        <v>0</v>
      </c>
      <c r="I15" s="217"/>
      <c r="J15" s="217"/>
      <c r="K15" s="217"/>
      <c r="L15" s="217"/>
      <c r="M15" s="218">
        <f>SUM(M5:M14)</f>
        <v>27033</v>
      </c>
      <c r="N15" s="219">
        <f t="shared" si="1"/>
        <v>0.62059228650137743</v>
      </c>
      <c r="O15" s="217"/>
      <c r="P15" s="218">
        <f>SUM(P5:P14)</f>
        <v>0</v>
      </c>
      <c r="Q15" s="157"/>
    </row>
    <row r="16" spans="2:17" ht="15" customHeight="1" x14ac:dyDescent="0.3">
      <c r="B16" s="159"/>
      <c r="C16" s="159"/>
      <c r="D16" s="159"/>
      <c r="E16" s="159"/>
      <c r="F16" s="159"/>
      <c r="G16" s="159"/>
      <c r="M16" s="155"/>
      <c r="N16" s="155"/>
      <c r="Q16" s="157"/>
    </row>
    <row r="17" spans="2:17" x14ac:dyDescent="0.25">
      <c r="B17" s="159"/>
      <c r="C17" s="182">
        <f>C15/M17</f>
        <v>0</v>
      </c>
      <c r="D17" s="159"/>
      <c r="E17" s="159"/>
      <c r="F17" s="159"/>
      <c r="G17" s="159"/>
      <c r="I17" s="159" t="s">
        <v>83</v>
      </c>
      <c r="M17" s="347">
        <v>27033</v>
      </c>
      <c r="N17" s="158">
        <f>M17/43560</f>
        <v>0.62059228650137743</v>
      </c>
      <c r="P17" s="220">
        <f>P15/M17</f>
        <v>0</v>
      </c>
      <c r="Q17" s="221" t="s">
        <v>84</v>
      </c>
    </row>
    <row r="18" spans="2:17" ht="14.4" customHeight="1" x14ac:dyDescent="0.3">
      <c r="B18" s="159"/>
      <c r="C18" s="183" t="s">
        <v>85</v>
      </c>
      <c r="D18" s="159"/>
      <c r="E18" s="159"/>
      <c r="F18" s="159"/>
      <c r="G18" s="159"/>
      <c r="M18" s="155"/>
      <c r="N18" s="155"/>
      <c r="Q18" s="157"/>
    </row>
    <row r="19" spans="2:17" ht="14.4" customHeight="1" x14ac:dyDescent="0.3">
      <c r="N19" s="161"/>
      <c r="Q19" s="157"/>
    </row>
  </sheetData>
  <sheetProtection formatCells="0" formatColumns="0" formatRows="0" insertColumns="0" insertRows="0" insertHyperlinks="0" deleteColumns="0" deleteRows="0" sort="0" autoFilter="0" pivotTables="0"/>
  <mergeCells count="20">
    <mergeCell ref="K10:L10"/>
    <mergeCell ref="I5:J5"/>
    <mergeCell ref="I6:J6"/>
    <mergeCell ref="I7:J7"/>
    <mergeCell ref="I8:J8"/>
    <mergeCell ref="I9:J9"/>
    <mergeCell ref="I10:J10"/>
    <mergeCell ref="K5:L5"/>
    <mergeCell ref="K6:L6"/>
    <mergeCell ref="K7:L7"/>
    <mergeCell ref="K8:L8"/>
    <mergeCell ref="K9:L9"/>
    <mergeCell ref="K11:L11"/>
    <mergeCell ref="K12:L12"/>
    <mergeCell ref="K13:L13"/>
    <mergeCell ref="K14:L1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747612-DFFB-4B13-AFCE-21429DBE98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1B6326-9224-4DEE-B228-9A70BE81A5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01D1D2-B291-4AE7-8015-30D8AE9F9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Tenant Rent Roll</vt:lpstr>
      <vt:lpstr>LH Valuation</vt:lpstr>
      <vt:lpstr>LF Analysis</vt:lpstr>
      <vt:lpstr>Summary Sheet</vt:lpstr>
      <vt:lpstr>'LF Analysis'!Print_Area</vt:lpstr>
      <vt:lpstr>'LH Valuation'!Print_Area</vt:lpstr>
      <vt:lpstr>'Tenant Rent Roll'!Print_Area</vt:lpstr>
    </vt:vector>
  </TitlesOfParts>
  <Manager/>
  <Company>Mueller And Company,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Kurt Mueller</dc:creator>
  <cp:keywords/>
  <dc:description/>
  <cp:lastModifiedBy>Michael Martino</cp:lastModifiedBy>
  <cp:lastPrinted>2020-06-17T03:43:19Z</cp:lastPrinted>
  <dcterms:created xsi:type="dcterms:W3CDTF">1999-09-25T17:05:08Z</dcterms:created>
  <dcterms:modified xsi:type="dcterms:W3CDTF">2020-06-19T19:07:04Z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