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muel\Box\CARDS Vitals\15WE) Templates - Misc. Valuations\"/>
    </mc:Choice>
  </mc:AlternateContent>
  <xr:revisionPtr revIDLastSave="0" documentId="13_ncr:1_{74954077-A5B9-4765-9108-BB94C24B03A8}" xr6:coauthVersionLast="45" xr6:coauthVersionMax="45" xr10:uidLastSave="{00000000-0000-0000-0000-000000000000}"/>
  <bookViews>
    <workbookView xWindow="-108" yWindow="-108" windowWidth="23256" windowHeight="12576" tabRatio="732" xr2:uid="{00000000-000D-0000-FFFF-FFFF00000000}"/>
  </bookViews>
  <sheets>
    <sheet name="MVS Insurable RCN" sheetId="15" r:id="rId1"/>
    <sheet name="Misc. Sheet" sheetId="13" r:id="rId2"/>
  </sheets>
  <externalReferences>
    <externalReference r:id="rId3"/>
  </externalReferences>
  <definedNames>
    <definedName name="_Key1" hidden="1">'[1]4-1-01'!#REF!</definedName>
    <definedName name="_Order1" hidden="1">255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customWorkbookViews>
    <customWorkbookView name="Kurt - Personal View" guid="{3DA01770-93DB-4711-9E01-2ACD207AF101}" mergeInterval="0" personalView="1" maximized="1" windowWidth="1148" windowHeight="722" activeSheetId="1"/>
    <customWorkbookView name="User - Personal View" guid="{8AB633B9-8F3F-43EB-8FE1-224F736C2880}" mergeInterval="0" personalView="1" maximized="1" windowWidth="1020" windowHeight="596" activeSheetId="2"/>
    <customWorkbookView name="Chad - Personal View" guid="{5F6E15A6-A5E6-4863-AB9D-92A238B1BEBD}" mergeInterval="0" personalView="1" maximized="1" windowWidth="1148" windowHeight="72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5" l="1"/>
  <c r="I12" i="15" l="1"/>
  <c r="H12" i="15"/>
  <c r="F12" i="15"/>
  <c r="K10" i="15" l="1"/>
  <c r="E6" i="13" l="1"/>
  <c r="E7" i="13"/>
  <c r="E8" i="13"/>
  <c r="E9" i="13"/>
  <c r="E10" i="13"/>
  <c r="E11" i="13"/>
  <c r="E12" i="13"/>
  <c r="L30" i="13" l="1"/>
  <c r="L31" i="13"/>
  <c r="L32" i="13"/>
  <c r="L33" i="13"/>
  <c r="L34" i="13"/>
  <c r="L35" i="13"/>
  <c r="L36" i="13"/>
  <c r="L29" i="13"/>
  <c r="N30" i="13"/>
  <c r="N31" i="13"/>
  <c r="N32" i="13"/>
  <c r="N33" i="13"/>
  <c r="N34" i="13"/>
  <c r="N35" i="13"/>
  <c r="N36" i="13"/>
  <c r="N29" i="13"/>
  <c r="K30" i="13" l="1"/>
  <c r="K31" i="13"/>
  <c r="K32" i="13"/>
  <c r="K33" i="13"/>
  <c r="K34" i="13"/>
  <c r="K35" i="13"/>
  <c r="K36" i="13"/>
  <c r="K29" i="13"/>
  <c r="N37" i="13"/>
  <c r="F13" i="13" l="1"/>
  <c r="D13" i="13"/>
  <c r="C13" i="13"/>
  <c r="F49" i="15" l="1"/>
  <c r="H52" i="15"/>
  <c r="H37" i="15"/>
  <c r="G50" i="15"/>
  <c r="G21" i="15"/>
  <c r="G20" i="15"/>
  <c r="G19" i="15"/>
  <c r="H36" i="15" l="1"/>
  <c r="H35" i="15"/>
  <c r="H20" i="15"/>
  <c r="H21" i="15"/>
  <c r="F50" i="15"/>
  <c r="H50" i="15" s="1"/>
  <c r="H39" i="15"/>
  <c r="H24" i="15"/>
  <c r="F19" i="15"/>
  <c r="E5" i="13" l="1"/>
  <c r="E13" i="13" s="1"/>
  <c r="H55" i="13" l="1"/>
  <c r="L42" i="13" l="1"/>
  <c r="L22" i="13"/>
  <c r="N19" i="13"/>
  <c r="N22" i="13" s="1"/>
  <c r="N7" i="13"/>
  <c r="N6" i="13"/>
  <c r="H19" i="15" l="1"/>
  <c r="H23" i="15" s="1"/>
  <c r="O22" i="13"/>
  <c r="H49" i="15"/>
  <c r="H51" i="15" s="1"/>
  <c r="O7" i="13"/>
  <c r="E33" i="13"/>
  <c r="C24" i="13"/>
  <c r="C33" i="13" s="1"/>
  <c r="C23" i="13"/>
  <c r="C32" i="13" s="1"/>
  <c r="C22" i="13"/>
  <c r="C31" i="13" s="1"/>
  <c r="E34" i="13"/>
  <c r="N16" i="13"/>
  <c r="F34" i="15" s="1"/>
  <c r="L16" i="13"/>
  <c r="N10" i="13"/>
  <c r="E32" i="13"/>
  <c r="E31" i="13"/>
  <c r="L10" i="13"/>
  <c r="I63" i="15"/>
  <c r="I76" i="15" s="1"/>
  <c r="B77" i="15"/>
  <c r="B78" i="15"/>
  <c r="D60" i="15"/>
  <c r="H34" i="15" l="1"/>
  <c r="H38" i="15" s="1"/>
  <c r="I40" i="15" s="1"/>
  <c r="I45" i="15" s="1"/>
  <c r="L24" i="13"/>
  <c r="E52" i="13" s="1"/>
  <c r="N24" i="13"/>
  <c r="I25" i="15"/>
  <c r="I30" i="15" s="1"/>
  <c r="H30" i="15" s="1"/>
  <c r="I53" i="15"/>
  <c r="I58" i="15" s="1"/>
  <c r="H58" i="15" s="1"/>
  <c r="O16" i="13"/>
  <c r="G13" i="13"/>
  <c r="H70" i="15" s="1"/>
  <c r="H71" i="15" s="1"/>
  <c r="O10" i="13"/>
  <c r="H45" i="15" l="1"/>
  <c r="I60" i="15"/>
  <c r="O24" i="13"/>
  <c r="I72" i="15"/>
  <c r="I78" i="15" s="1"/>
  <c r="K58" i="15" l="1"/>
  <c r="M58" i="15" s="1"/>
  <c r="N58" i="15" s="1"/>
  <c r="D33" i="13" s="1"/>
  <c r="F33" i="13" s="1"/>
  <c r="H60" i="15"/>
  <c r="K30" i="15"/>
  <c r="M30" i="15" s="1"/>
  <c r="N30" i="15" s="1"/>
  <c r="D31" i="13" s="1"/>
  <c r="I75" i="15"/>
  <c r="K45" i="15"/>
  <c r="M45" i="15" s="1"/>
  <c r="N45" i="15" s="1"/>
  <c r="D32" i="13" s="1"/>
  <c r="F32" i="13" s="1"/>
  <c r="F31" i="13" l="1"/>
  <c r="F50" i="13" l="1"/>
  <c r="L44" i="13"/>
  <c r="L43" i="13"/>
  <c r="D15" i="13"/>
  <c r="L37" i="13"/>
  <c r="C66" i="15"/>
  <c r="I66" i="15" s="1"/>
  <c r="D42" i="13" l="1"/>
  <c r="E53" i="13"/>
  <c r="F53" i="13" s="1"/>
  <c r="G53" i="13" s="1"/>
  <c r="I77" i="15"/>
  <c r="D34" i="13"/>
  <c r="F42" i="13" l="1"/>
  <c r="F34" i="13"/>
  <c r="F35" i="13" s="1"/>
  <c r="D35" i="13"/>
  <c r="I80" i="15"/>
  <c r="I81" i="15" s="1"/>
  <c r="H42" i="13" l="1"/>
  <c r="E35" i="13"/>
  <c r="D43" i="13" l="1"/>
  <c r="D44" i="13" s="1"/>
  <c r="F43" i="13" l="1"/>
  <c r="F44" i="13" s="1"/>
  <c r="F48" i="13"/>
  <c r="F55" i="13" s="1"/>
  <c r="H43" i="13" l="1"/>
  <c r="F45" i="13"/>
  <c r="E44" i="13"/>
</calcChain>
</file>

<file path=xl/sharedStrings.xml><?xml version="1.0" encoding="utf-8"?>
<sst xmlns="http://schemas.openxmlformats.org/spreadsheetml/2006/main" count="177" uniqueCount="140">
  <si>
    <t>Land</t>
  </si>
  <si>
    <t>Taxes</t>
  </si>
  <si>
    <t>Good</t>
  </si>
  <si>
    <t>MARSHALL VALUATION SERVICE</t>
  </si>
  <si>
    <t>GENERAL DATA</t>
  </si>
  <si>
    <t>Occupancy:</t>
  </si>
  <si>
    <t>Building Class:</t>
  </si>
  <si>
    <t>Exterior Wall:</t>
  </si>
  <si>
    <t>GBA</t>
  </si>
  <si>
    <t>Marshall Reference:</t>
  </si>
  <si>
    <t>Base Cost / SF:</t>
  </si>
  <si>
    <t>Adjusted Base Cost / SF:</t>
  </si>
  <si>
    <t>Unadjusted Base Cost:</t>
  </si>
  <si>
    <t>Local Area Cost Multiplier:</t>
  </si>
  <si>
    <t>Current Cost  Multiplier:</t>
  </si>
  <si>
    <t>FURNITURE, FIXTURES, &amp; EQUIPMENT</t>
  </si>
  <si>
    <t>No Accurate Estimate Available - Excluded from Analysis</t>
  </si>
  <si>
    <t>SITE IMPROVEMENTS:</t>
  </si>
  <si>
    <t>ADDITIONAL SOFT COSTS:</t>
  </si>
  <si>
    <t>Professional Fees:</t>
  </si>
  <si>
    <t>Taxes During Construction:</t>
  </si>
  <si>
    <t>TOTAL ADDITIONAL SITE COSTS:</t>
  </si>
  <si>
    <t>TOTAL REPLACEMENT COST:</t>
  </si>
  <si>
    <t>BUILDINGS</t>
  </si>
  <si>
    <t>FF&amp;E (Excluded from this analysis)</t>
  </si>
  <si>
    <t>TOTAL:</t>
  </si>
  <si>
    <t>PER SF:</t>
  </si>
  <si>
    <t xml:space="preserve"> </t>
  </si>
  <si>
    <t>%</t>
  </si>
  <si>
    <t>SF</t>
  </si>
  <si>
    <t>$ / SF</t>
  </si>
  <si>
    <t>Total</t>
  </si>
  <si>
    <t>Annual</t>
  </si>
  <si>
    <t>Effective Age</t>
  </si>
  <si>
    <t xml:space="preserve">TOTAL BASE COST (GBA = </t>
  </si>
  <si>
    <t>TOTALS</t>
  </si>
  <si>
    <t>Showroom /</t>
  </si>
  <si>
    <t>Office</t>
  </si>
  <si>
    <t>Primary Site:</t>
  </si>
  <si>
    <t>Allocation</t>
  </si>
  <si>
    <t>Site Improvements</t>
  </si>
  <si>
    <t>TOTAL (Rounded):</t>
  </si>
  <si>
    <t>Improvement Component</t>
  </si>
  <si>
    <t>Year Built</t>
  </si>
  <si>
    <t>(Renovated)</t>
  </si>
  <si>
    <t>Economic Life</t>
  </si>
  <si>
    <t>Gross Land Area</t>
  </si>
  <si>
    <t>)</t>
  </si>
  <si>
    <t>Component</t>
  </si>
  <si>
    <t>Cost</t>
  </si>
  <si>
    <t>Return</t>
  </si>
  <si>
    <t>Annual Rent</t>
  </si>
  <si>
    <t xml:space="preserve">Land </t>
  </si>
  <si>
    <t>Improvements</t>
  </si>
  <si>
    <t>Miscellaneous:</t>
  </si>
  <si>
    <t>Cost Approach</t>
  </si>
  <si>
    <t>Income Approach</t>
  </si>
  <si>
    <t>Svc. (Repair) Garage (528)</t>
  </si>
  <si>
    <t>Showroom / Sales</t>
  </si>
  <si>
    <t>Mezzanine Office</t>
  </si>
  <si>
    <t>Adjusted Base Cost / SF:        (Footprint)</t>
  </si>
  <si>
    <t>SUBTOTAL BASE COST     (GBA)</t>
  </si>
  <si>
    <t>Footprint Floor Area:</t>
  </si>
  <si>
    <t>Bldg 1</t>
  </si>
  <si>
    <t>Bldg 2</t>
  </si>
  <si>
    <t>Bldg 3</t>
  </si>
  <si>
    <t>HARD REPLACEMENT COSTS</t>
  </si>
  <si>
    <t>.</t>
  </si>
  <si>
    <t>Auto Body Shop</t>
  </si>
  <si>
    <t>Service Center</t>
  </si>
  <si>
    <t>Attach. Mechanical Shed</t>
  </si>
  <si>
    <r>
      <t xml:space="preserve">    -   </t>
    </r>
    <r>
      <rPr>
        <u/>
        <sz val="10"/>
        <rFont val="Calibri"/>
        <family val="2"/>
        <scheme val="minor"/>
      </rPr>
      <t>Subtotal</t>
    </r>
  </si>
  <si>
    <t>Bldg. 1</t>
  </si>
  <si>
    <t>Bldg. 2</t>
  </si>
  <si>
    <t>Bldg. 1 - Showroom / Sales</t>
  </si>
  <si>
    <t>Adjusted Base Cost / SF:   (Footprint)</t>
  </si>
  <si>
    <t>Adjusted Base Cost / SF:       (Footprint)</t>
  </si>
  <si>
    <t>Showroom (303)</t>
  </si>
  <si>
    <t>Included</t>
  </si>
  <si>
    <t>Bldg. 3</t>
  </si>
  <si>
    <t>Bldg. 2 - Auto Body &amp; Detail Shop</t>
  </si>
  <si>
    <t>Weighting</t>
  </si>
  <si>
    <t>"C"</t>
  </si>
  <si>
    <t>Bldg. 3 - Parts &amp; Service Center</t>
  </si>
  <si>
    <t>Allocated</t>
  </si>
  <si>
    <t>Incurable</t>
  </si>
  <si>
    <t>Replacement</t>
  </si>
  <si>
    <t>Physical</t>
  </si>
  <si>
    <t>Cost Item</t>
  </si>
  <si>
    <t>Cost New</t>
  </si>
  <si>
    <t>Depreciation</t>
  </si>
  <si>
    <t>Land Area</t>
  </si>
  <si>
    <t>0000</t>
  </si>
  <si>
    <t>Account</t>
  </si>
  <si>
    <t>Number</t>
  </si>
  <si>
    <t>Total GBA</t>
  </si>
  <si>
    <t>Acres</t>
  </si>
  <si>
    <t>Soft Cost Allocations</t>
  </si>
  <si>
    <t>RCN</t>
  </si>
  <si>
    <t>Conclusions</t>
  </si>
  <si>
    <t>Sales Comparison Approach</t>
  </si>
  <si>
    <t>Mezzanine Storage</t>
  </si>
  <si>
    <t>Gross Building Area (SF):</t>
  </si>
  <si>
    <t>Footprint (SF):</t>
  </si>
  <si>
    <t>Quality:</t>
  </si>
  <si>
    <t>Office Mezzanine or Basement (SF):</t>
  </si>
  <si>
    <t>Stories:</t>
  </si>
  <si>
    <t xml:space="preserve">Base Cost / SF: </t>
  </si>
  <si>
    <t xml:space="preserve">Footprint Floor Area:  </t>
  </si>
  <si>
    <t>Add  Office Mezzanine:           (_________ Cost)</t>
  </si>
  <si>
    <t>Add  Display Canopy:</t>
  </si>
  <si>
    <t>Add  Service Canopy:</t>
  </si>
  <si>
    <t>Add  Fire Sprinkler:</t>
  </si>
  <si>
    <t>Add  Office Build-out:            (_________ Cost)</t>
  </si>
  <si>
    <t>Add  Storage Mezzanine:       (_________ Cost)</t>
  </si>
  <si>
    <t>Add  Fire Sprinkler:                 (Paint Booth only)</t>
  </si>
  <si>
    <t>Add  Attached Shed:</t>
  </si>
  <si>
    <t>Story Height Multplier:</t>
  </si>
  <si>
    <t>Floor Area Multplier:</t>
  </si>
  <si>
    <t>Add  Heat:</t>
  </si>
  <si>
    <t>Add  Office Build-out:         (_________ Cost)</t>
  </si>
  <si>
    <t>Add  Storage Basement:</t>
  </si>
  <si>
    <t>Allocated $ / SF</t>
  </si>
  <si>
    <t>Allocated Rent</t>
  </si>
  <si>
    <t>Building Component</t>
  </si>
  <si>
    <t>Land-to-Bldg. Ratio:</t>
  </si>
  <si>
    <t>Site Coverage Ratio:</t>
  </si>
  <si>
    <t>1 + Mezz.</t>
  </si>
  <si>
    <t>1 + Bsmt.</t>
  </si>
  <si>
    <t>Land RPT</t>
  </si>
  <si>
    <t>(12 Mos.)</t>
  </si>
  <si>
    <t>Parcel Number</t>
  </si>
  <si>
    <t>GBA (SF)</t>
  </si>
  <si>
    <t>Footprint (SF)</t>
  </si>
  <si>
    <t>Insurable Replacement Cost New</t>
  </si>
  <si>
    <t>MVS INSURABLE REPLACEMENT COST NEW</t>
  </si>
  <si>
    <t>Sec. 14, P. 31 (2/20)</t>
  </si>
  <si>
    <t>Subject Building Name:</t>
  </si>
  <si>
    <t>CMU / EIFS / Glass</t>
  </si>
  <si>
    <t>Steel-Frame / Metal Clad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</si>
</sst>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0.0%"/>
    <numFmt numFmtId="167" formatCode="0.0\ \t\o\ \1"/>
    <numFmt numFmtId="168" formatCode="#,##0.000"/>
    <numFmt numFmtId="169" formatCode="#,##0\ \S\F"/>
    <numFmt numFmtId="170" formatCode="#,##0\s\f"/>
    <numFmt numFmtId="171" formatCode="&quot;$&quot;0.00\/\s\f"/>
    <numFmt numFmtId="172" formatCode="#,##0\s\f\ \X"/>
    <numFmt numFmtId="173" formatCode="_(* #,##0_);_(* \(#,##0\);_(* &quot;-&quot;??_);_(@_)"/>
    <numFmt numFmtId="174" formatCode="&quot;$&quot;#,##0.00;[Red]&quot;$&quot;#,##0.00"/>
  </numFmts>
  <fonts count="5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b/>
      <sz val="1"/>
      <color indexed="8"/>
      <name val="Courier"/>
      <family val="3"/>
    </font>
    <font>
      <u/>
      <sz val="1"/>
      <color indexed="8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0"/>
      <name val="Tms Rmn"/>
    </font>
    <font>
      <sz val="8"/>
      <name val="Times New Roman"/>
      <family val="1"/>
    </font>
    <font>
      <sz val="9"/>
      <name val="Geneva"/>
    </font>
    <font>
      <sz val="12"/>
      <color indexed="8"/>
      <name val="Times New Roman"/>
      <family val="2"/>
    </font>
    <font>
      <sz val="10"/>
      <name val="Tahoma"/>
      <family val="2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u/>
      <sz val="10"/>
      <name val="Calibri"/>
      <family val="2"/>
      <scheme val="minor"/>
    </font>
    <font>
      <b/>
      <sz val="14"/>
      <name val="Arial"/>
      <family val="2"/>
    </font>
    <font>
      <b/>
      <u/>
      <sz val="11"/>
      <color theme="0"/>
      <name val="Calibri"/>
      <family val="2"/>
      <scheme val="minor"/>
    </font>
    <font>
      <b/>
      <sz val="14"/>
      <color indexed="8"/>
      <name val="Calibri"/>
      <family val="2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theme="0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46">
    <xf numFmtId="0" fontId="0" fillId="0" borderId="0"/>
    <xf numFmtId="0" fontId="25" fillId="0" borderId="0">
      <alignment horizontal="center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3" fontId="1" fillId="0" borderId="0" applyFont="0" applyFill="0" applyBorder="0" applyAlignment="0" applyProtection="0"/>
    <xf numFmtId="40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6" fillId="0" borderId="0" applyFont="0" applyFill="0" applyBorder="0" applyAlignment="0" applyProtection="0"/>
    <xf numFmtId="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3" fillId="0" borderId="0" applyFont="0" applyFill="0" applyBorder="0" applyAlignment="0" applyProtection="0"/>
    <xf numFmtId="8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5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0" borderId="0">
      <protection locked="0"/>
    </xf>
    <xf numFmtId="0" fontId="27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6" fillId="0" borderId="0">
      <protection locked="0"/>
    </xf>
    <xf numFmtId="0" fontId="29" fillId="0" borderId="0">
      <protection locked="0"/>
    </xf>
    <xf numFmtId="2" fontId="21" fillId="0" borderId="0" applyFon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1" fontId="30" fillId="22" borderId="6" applyNumberFormat="0" applyFont="0" applyBorder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23" fillId="23" borderId="8">
      <alignment horizontal="right"/>
    </xf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6" fillId="0" borderId="0"/>
    <xf numFmtId="0" fontId="31" fillId="0" borderId="0"/>
    <xf numFmtId="0" fontId="36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21" fillId="0" borderId="0"/>
    <xf numFmtId="0" fontId="32" fillId="0" borderId="0"/>
    <xf numFmtId="0" fontId="22" fillId="0" borderId="0"/>
    <xf numFmtId="0" fontId="33" fillId="0" borderId="0"/>
    <xf numFmtId="0" fontId="3" fillId="0" borderId="0"/>
    <xf numFmtId="0" fontId="1" fillId="0" borderId="0"/>
    <xf numFmtId="0" fontId="3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17" fillId="20" borderId="10" applyNumberFormat="0" applyAlignment="0" applyProtection="0"/>
    <xf numFmtId="0" fontId="17" fillId="20" borderId="10" applyNumberFormat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6" fontId="35" fillId="0" borderId="12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0" borderId="0"/>
    <xf numFmtId="0" fontId="50" fillId="0" borderId="0"/>
    <xf numFmtId="0" fontId="3" fillId="0" borderId="0"/>
  </cellStyleXfs>
  <cellXfs count="293">
    <xf numFmtId="0" fontId="0" fillId="0" borderId="0" xfId="0"/>
    <xf numFmtId="0" fontId="37" fillId="0" borderId="0" xfId="121" applyFont="1" applyAlignment="1">
      <alignment horizontal="right"/>
    </xf>
    <xf numFmtId="0" fontId="39" fillId="0" borderId="0" xfId="120" applyFont="1"/>
    <xf numFmtId="0" fontId="37" fillId="0" borderId="0" xfId="120" applyFont="1"/>
    <xf numFmtId="0" fontId="45" fillId="0" borderId="0" xfId="120" applyFont="1" applyAlignment="1">
      <alignment horizontal="centerContinuous"/>
    </xf>
    <xf numFmtId="0" fontId="39" fillId="0" borderId="0" xfId="120" applyFont="1" applyAlignment="1">
      <alignment horizontal="centerContinuous"/>
    </xf>
    <xf numFmtId="0" fontId="42" fillId="27" borderId="41" xfId="120" applyFont="1" applyFill="1" applyBorder="1"/>
    <xf numFmtId="0" fontId="43" fillId="27" borderId="42" xfId="120" applyFont="1" applyFill="1" applyBorder="1"/>
    <xf numFmtId="0" fontId="43" fillId="27" borderId="43" xfId="120" applyFont="1" applyFill="1" applyBorder="1"/>
    <xf numFmtId="0" fontId="37" fillId="0" borderId="6" xfId="120" applyFont="1" applyBorder="1"/>
    <xf numFmtId="0" fontId="39" fillId="0" borderId="0" xfId="120" applyFont="1" applyAlignment="1">
      <alignment horizontal="center"/>
    </xf>
    <xf numFmtId="0" fontId="37" fillId="26" borderId="34" xfId="120" applyFont="1" applyFill="1" applyBorder="1" applyAlignment="1">
      <alignment horizontal="center"/>
    </xf>
    <xf numFmtId="0" fontId="37" fillId="0" borderId="0" xfId="120" applyFont="1" applyAlignment="1">
      <alignment horizontal="center"/>
    </xf>
    <xf numFmtId="0" fontId="37" fillId="0" borderId="33" xfId="120" applyFont="1" applyBorder="1"/>
    <xf numFmtId="7" fontId="43" fillId="27" borderId="42" xfId="120" applyNumberFormat="1" applyFont="1" applyFill="1" applyBorder="1" applyAlignment="1">
      <alignment horizontal="center"/>
    </xf>
    <xf numFmtId="7" fontId="38" fillId="27" borderId="42" xfId="120" applyNumberFormat="1" applyFont="1" applyFill="1" applyBorder="1" applyAlignment="1">
      <alignment horizontal="center"/>
    </xf>
    <xf numFmtId="7" fontId="38" fillId="27" borderId="43" xfId="120" applyNumberFormat="1" applyFont="1" applyFill="1" applyBorder="1" applyAlignment="1">
      <alignment horizontal="center"/>
    </xf>
    <xf numFmtId="0" fontId="45" fillId="23" borderId="6" xfId="120" applyFont="1" applyFill="1" applyBorder="1"/>
    <xf numFmtId="7" fontId="39" fillId="23" borderId="0" xfId="120" applyNumberFormat="1" applyFont="1" applyFill="1" applyAlignment="1">
      <alignment horizontal="center"/>
    </xf>
    <xf numFmtId="7" fontId="37" fillId="23" borderId="0" xfId="120" applyNumberFormat="1" applyFont="1" applyFill="1" applyAlignment="1">
      <alignment horizontal="center"/>
    </xf>
    <xf numFmtId="7" fontId="37" fillId="23" borderId="34" xfId="120" applyNumberFormat="1" applyFont="1" applyFill="1" applyBorder="1" applyAlignment="1">
      <alignment horizontal="center"/>
    </xf>
    <xf numFmtId="0" fontId="40" fillId="0" borderId="6" xfId="120" applyFont="1" applyBorder="1"/>
    <xf numFmtId="7" fontId="37" fillId="0" borderId="0" xfId="120" applyNumberFormat="1" applyFont="1" applyAlignment="1">
      <alignment horizontal="left"/>
    </xf>
    <xf numFmtId="7" fontId="39" fillId="0" borderId="0" xfId="120" applyNumberFormat="1" applyFont="1" applyAlignment="1">
      <alignment horizontal="center"/>
    </xf>
    <xf numFmtId="7" fontId="37" fillId="0" borderId="0" xfId="120" applyNumberFormat="1" applyFont="1" applyAlignment="1">
      <alignment horizontal="center"/>
    </xf>
    <xf numFmtId="165" fontId="37" fillId="26" borderId="0" xfId="120" applyNumberFormat="1" applyFont="1" applyFill="1" applyAlignment="1">
      <alignment horizontal="right"/>
    </xf>
    <xf numFmtId="7" fontId="37" fillId="0" borderId="34" xfId="120" applyNumberFormat="1" applyFont="1" applyBorder="1" applyAlignment="1">
      <alignment horizontal="center"/>
    </xf>
    <xf numFmtId="165" fontId="37" fillId="0" borderId="0" xfId="120" applyNumberFormat="1" applyFont="1" applyAlignment="1">
      <alignment horizontal="right"/>
    </xf>
    <xf numFmtId="164" fontId="37" fillId="0" borderId="34" xfId="120" applyNumberFormat="1" applyFont="1" applyBorder="1" applyAlignment="1">
      <alignment horizontal="right"/>
    </xf>
    <xf numFmtId="168" fontId="37" fillId="26" borderId="34" xfId="120" applyNumberFormat="1" applyFont="1" applyFill="1" applyBorder="1" applyAlignment="1">
      <alignment horizontal="right"/>
    </xf>
    <xf numFmtId="168" fontId="37" fillId="0" borderId="34" xfId="120" applyNumberFormat="1" applyFont="1" applyBorder="1" applyAlignment="1">
      <alignment horizontal="right"/>
    </xf>
    <xf numFmtId="4" fontId="39" fillId="0" borderId="0" xfId="120" applyNumberFormat="1" applyFont="1" applyAlignment="1">
      <alignment horizontal="center"/>
    </xf>
    <xf numFmtId="4" fontId="37" fillId="0" borderId="0" xfId="120" applyNumberFormat="1" applyFont="1" applyAlignment="1">
      <alignment horizontal="center"/>
    </xf>
    <xf numFmtId="168" fontId="37" fillId="26" borderId="40" xfId="120" applyNumberFormat="1" applyFont="1" applyFill="1" applyBorder="1" applyAlignment="1">
      <alignment horizontal="right"/>
    </xf>
    <xf numFmtId="0" fontId="37" fillId="0" borderId="13" xfId="120" applyFont="1" applyBorder="1"/>
    <xf numFmtId="0" fontId="40" fillId="0" borderId="14" xfId="120" applyFont="1" applyBorder="1"/>
    <xf numFmtId="7" fontId="39" fillId="0" borderId="14" xfId="120" applyNumberFormat="1" applyFont="1" applyBorder="1" applyAlignment="1">
      <alignment horizontal="center"/>
    </xf>
    <xf numFmtId="7" fontId="37" fillId="0" borderId="14" xfId="120" applyNumberFormat="1" applyFont="1" applyBorder="1" applyAlignment="1">
      <alignment horizontal="center"/>
    </xf>
    <xf numFmtId="7" fontId="37" fillId="0" borderId="40" xfId="120" applyNumberFormat="1" applyFont="1" applyBorder="1" applyAlignment="1">
      <alignment horizontal="center"/>
    </xf>
    <xf numFmtId="165" fontId="37" fillId="0" borderId="46" xfId="120" applyNumberFormat="1" applyFont="1" applyBorder="1" applyAlignment="1">
      <alignment horizontal="right"/>
    </xf>
    <xf numFmtId="164" fontId="40" fillId="26" borderId="34" xfId="120" applyNumberFormat="1" applyFont="1" applyFill="1" applyBorder="1" applyAlignment="1">
      <alignment horizontal="right"/>
    </xf>
    <xf numFmtId="9" fontId="37" fillId="0" borderId="0" xfId="126" applyFont="1"/>
    <xf numFmtId="164" fontId="37" fillId="0" borderId="0" xfId="120" applyNumberFormat="1" applyFont="1"/>
    <xf numFmtId="7" fontId="37" fillId="26" borderId="34" xfId="120" applyNumberFormat="1" applyFont="1" applyFill="1" applyBorder="1" applyAlignment="1">
      <alignment horizontal="center"/>
    </xf>
    <xf numFmtId="164" fontId="37" fillId="26" borderId="34" xfId="120" applyNumberFormat="1" applyFont="1" applyFill="1" applyBorder="1" applyAlignment="1">
      <alignment horizontal="right"/>
    </xf>
    <xf numFmtId="0" fontId="39" fillId="26" borderId="0" xfId="120" applyFont="1" applyFill="1"/>
    <xf numFmtId="0" fontId="40" fillId="0" borderId="0" xfId="120" applyFont="1"/>
    <xf numFmtId="164" fontId="40" fillId="0" borderId="34" xfId="120" applyNumberFormat="1" applyFont="1" applyBorder="1" applyAlignment="1">
      <alignment horizontal="right"/>
    </xf>
    <xf numFmtId="169" fontId="40" fillId="0" borderId="0" xfId="120" applyNumberFormat="1" applyFont="1" applyAlignment="1">
      <alignment horizontal="center"/>
    </xf>
    <xf numFmtId="7" fontId="40" fillId="0" borderId="0" xfId="120" quotePrefix="1" applyNumberFormat="1" applyFont="1" applyAlignment="1">
      <alignment horizontal="center"/>
    </xf>
    <xf numFmtId="0" fontId="37" fillId="0" borderId="32" xfId="120" applyFont="1" applyBorder="1"/>
    <xf numFmtId="0" fontId="39" fillId="0" borderId="33" xfId="120" applyFont="1" applyBorder="1" applyAlignment="1">
      <alignment horizontal="center"/>
    </xf>
    <xf numFmtId="0" fontId="37" fillId="0" borderId="33" xfId="120" applyFont="1" applyBorder="1" applyAlignment="1">
      <alignment horizontal="center"/>
    </xf>
    <xf numFmtId="0" fontId="37" fillId="0" borderId="35" xfId="120" applyFont="1" applyBorder="1" applyAlignment="1">
      <alignment horizontal="center"/>
    </xf>
    <xf numFmtId="0" fontId="42" fillId="27" borderId="41" xfId="120" applyFont="1" applyFill="1" applyBorder="1" applyAlignment="1">
      <alignment horizontal="left"/>
    </xf>
    <xf numFmtId="5" fontId="43" fillId="27" borderId="42" xfId="120" applyNumberFormat="1" applyFont="1" applyFill="1" applyBorder="1" applyAlignment="1">
      <alignment horizontal="center"/>
    </xf>
    <xf numFmtId="5" fontId="38" fillId="27" borderId="42" xfId="120" applyNumberFormat="1" applyFont="1" applyFill="1" applyBorder="1" applyAlignment="1">
      <alignment horizontal="center"/>
    </xf>
    <xf numFmtId="5" fontId="38" fillId="27" borderId="43" xfId="120" applyNumberFormat="1" applyFont="1" applyFill="1" applyBorder="1" applyAlignment="1">
      <alignment horizontal="center"/>
    </xf>
    <xf numFmtId="0" fontId="39" fillId="0" borderId="6" xfId="120" applyFont="1" applyBorder="1"/>
    <xf numFmtId="172" fontId="37" fillId="0" borderId="0" xfId="120" applyNumberFormat="1" applyFont="1" applyAlignment="1">
      <alignment horizontal="center"/>
    </xf>
    <xf numFmtId="164" fontId="37" fillId="0" borderId="0" xfId="120" applyNumberFormat="1" applyFont="1" applyAlignment="1">
      <alignment horizontal="center"/>
    </xf>
    <xf numFmtId="171" fontId="37" fillId="0" borderId="0" xfId="120" applyNumberFormat="1" applyFont="1" applyAlignment="1">
      <alignment horizontal="center"/>
    </xf>
    <xf numFmtId="0" fontId="39" fillId="0" borderId="32" xfId="120" applyFont="1" applyBorder="1"/>
    <xf numFmtId="0" fontId="37" fillId="0" borderId="35" xfId="120" applyFont="1" applyBorder="1"/>
    <xf numFmtId="171" fontId="37" fillId="26" borderId="0" xfId="120" applyNumberFormat="1" applyFont="1" applyFill="1" applyAlignment="1">
      <alignment horizontal="center"/>
    </xf>
    <xf numFmtId="0" fontId="37" fillId="26" borderId="33" xfId="120" applyFont="1" applyFill="1" applyBorder="1"/>
    <xf numFmtId="5" fontId="37" fillId="0" borderId="0" xfId="120" applyNumberFormat="1" applyFont="1"/>
    <xf numFmtId="5" fontId="39" fillId="0" borderId="34" xfId="120" applyNumberFormat="1" applyFont="1" applyBorder="1"/>
    <xf numFmtId="5" fontId="37" fillId="0" borderId="14" xfId="120" applyNumberFormat="1" applyFont="1" applyBorder="1"/>
    <xf numFmtId="0" fontId="37" fillId="0" borderId="34" xfId="120" applyFont="1" applyBorder="1"/>
    <xf numFmtId="0" fontId="39" fillId="0" borderId="33" xfId="120" applyFont="1" applyBorder="1"/>
    <xf numFmtId="5" fontId="37" fillId="0" borderId="35" xfId="120" applyNumberFormat="1" applyFont="1" applyBorder="1"/>
    <xf numFmtId="0" fontId="46" fillId="27" borderId="42" xfId="120" applyFont="1" applyFill="1" applyBorder="1"/>
    <xf numFmtId="0" fontId="38" fillId="27" borderId="42" xfId="120" applyFont="1" applyFill="1" applyBorder="1"/>
    <xf numFmtId="0" fontId="38" fillId="27" borderId="43" xfId="120" applyFont="1" applyFill="1" applyBorder="1"/>
    <xf numFmtId="0" fontId="37" fillId="0" borderId="0" xfId="120" applyFont="1" applyAlignment="1">
      <alignment horizontal="right"/>
    </xf>
    <xf numFmtId="164" fontId="37" fillId="0" borderId="34" xfId="120" applyNumberFormat="1" applyFont="1" applyBorder="1"/>
    <xf numFmtId="5" fontId="47" fillId="0" borderId="0" xfId="120" applyNumberFormat="1" applyFont="1"/>
    <xf numFmtId="0" fontId="42" fillId="27" borderId="39" xfId="120" applyFont="1" applyFill="1" applyBorder="1"/>
    <xf numFmtId="5" fontId="42" fillId="27" borderId="39" xfId="120" applyNumberFormat="1" applyFont="1" applyFill="1" applyBorder="1"/>
    <xf numFmtId="0" fontId="42" fillId="27" borderId="39" xfId="120" applyFont="1" applyFill="1" applyBorder="1" applyAlignment="1">
      <alignment horizontal="right"/>
    </xf>
    <xf numFmtId="164" fontId="44" fillId="27" borderId="38" xfId="120" applyNumberFormat="1" applyFont="1" applyFill="1" applyBorder="1" applyAlignment="1">
      <alignment horizontal="right"/>
    </xf>
    <xf numFmtId="0" fontId="48" fillId="27" borderId="37" xfId="120" applyFont="1" applyFill="1" applyBorder="1"/>
    <xf numFmtId="0" fontId="42" fillId="27" borderId="23" xfId="120" applyFont="1" applyFill="1" applyBorder="1"/>
    <xf numFmtId="5" fontId="42" fillId="27" borderId="23" xfId="120" applyNumberFormat="1" applyFont="1" applyFill="1" applyBorder="1"/>
    <xf numFmtId="0" fontId="42" fillId="27" borderId="23" xfId="120" applyFont="1" applyFill="1" applyBorder="1" applyAlignment="1">
      <alignment horizontal="right"/>
    </xf>
    <xf numFmtId="165" fontId="42" fillId="27" borderId="36" xfId="120" applyNumberFormat="1" applyFont="1" applyFill="1" applyBorder="1" applyAlignment="1">
      <alignment horizontal="right"/>
    </xf>
    <xf numFmtId="0" fontId="37" fillId="0" borderId="0" xfId="119" applyFont="1"/>
    <xf numFmtId="0" fontId="37" fillId="0" borderId="0" xfId="119" applyFont="1" applyAlignment="1">
      <alignment horizontal="center"/>
    </xf>
    <xf numFmtId="0" fontId="37" fillId="0" borderId="0" xfId="0" applyFont="1" applyAlignment="1">
      <alignment horizontal="center" vertical="center" wrapText="1"/>
    </xf>
    <xf numFmtId="6" fontId="37" fillId="0" borderId="0" xfId="0" applyNumberFormat="1" applyFont="1" applyAlignment="1">
      <alignment horizontal="center" vertical="center" wrapText="1"/>
    </xf>
    <xf numFmtId="6" fontId="40" fillId="0" borderId="0" xfId="0" applyNumberFormat="1" applyFont="1" applyAlignment="1">
      <alignment horizontal="center" vertical="center" wrapText="1"/>
    </xf>
    <xf numFmtId="8" fontId="40" fillId="0" borderId="0" xfId="0" applyNumberFormat="1" applyFont="1" applyAlignment="1">
      <alignment horizontal="center" vertical="center" wrapText="1"/>
    </xf>
    <xf numFmtId="10" fontId="37" fillId="0" borderId="0" xfId="126" applyNumberFormat="1" applyFont="1"/>
    <xf numFmtId="6" fontId="37" fillId="0" borderId="0" xfId="119" applyNumberFormat="1" applyFont="1"/>
    <xf numFmtId="173" fontId="37" fillId="0" borderId="0" xfId="56" applyNumberFormat="1" applyFont="1"/>
    <xf numFmtId="44" fontId="37" fillId="0" borderId="0" xfId="61" applyFont="1"/>
    <xf numFmtId="6" fontId="37" fillId="0" borderId="27" xfId="0" applyNumberFormat="1" applyFont="1" applyBorder="1" applyAlignment="1">
      <alignment horizontal="center" vertical="center" wrapText="1"/>
    </xf>
    <xf numFmtId="8" fontId="40" fillId="0" borderId="30" xfId="0" applyNumberFormat="1" applyFont="1" applyBorder="1" applyAlignment="1">
      <alignment horizontal="center" vertical="center" wrapText="1"/>
    </xf>
    <xf numFmtId="0" fontId="37" fillId="26" borderId="0" xfId="119" applyFont="1" applyFill="1"/>
    <xf numFmtId="173" fontId="37" fillId="26" borderId="0" xfId="56" applyNumberFormat="1" applyFont="1" applyFill="1"/>
    <xf numFmtId="0" fontId="37" fillId="0" borderId="20" xfId="0" applyFont="1" applyBorder="1" applyAlignment="1">
      <alignment horizontal="left" vertical="center" wrapText="1"/>
    </xf>
    <xf numFmtId="0" fontId="37" fillId="26" borderId="20" xfId="0" applyFont="1" applyFill="1" applyBorder="1" applyAlignment="1">
      <alignment horizontal="center" vertical="center" wrapText="1"/>
    </xf>
    <xf numFmtId="0" fontId="37" fillId="26" borderId="21" xfId="0" applyFont="1" applyFill="1" applyBorder="1" applyAlignment="1">
      <alignment horizontal="center" vertical="center" wrapText="1"/>
    </xf>
    <xf numFmtId="173" fontId="37" fillId="0" borderId="0" xfId="119" applyNumberFormat="1" applyFont="1"/>
    <xf numFmtId="6" fontId="37" fillId="0" borderId="25" xfId="0" applyNumberFormat="1" applyFont="1" applyBorder="1" applyAlignment="1">
      <alignment horizontal="center" vertical="center" wrapText="1"/>
    </xf>
    <xf numFmtId="166" fontId="37" fillId="0" borderId="25" xfId="126" applyNumberFormat="1" applyFont="1" applyBorder="1" applyAlignment="1">
      <alignment horizontal="center" vertical="center" wrapText="1"/>
    </xf>
    <xf numFmtId="6" fontId="37" fillId="0" borderId="24" xfId="0" applyNumberFormat="1" applyFont="1" applyBorder="1" applyAlignment="1">
      <alignment horizontal="center" vertical="center" wrapText="1"/>
    </xf>
    <xf numFmtId="6" fontId="37" fillId="0" borderId="26" xfId="0" applyNumberFormat="1" applyFont="1" applyBorder="1" applyAlignment="1">
      <alignment horizontal="center" vertical="center" wrapText="1"/>
    </xf>
    <xf numFmtId="166" fontId="37" fillId="0" borderId="26" xfId="126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right" vertical="center" wrapText="1"/>
    </xf>
    <xf numFmtId="3" fontId="37" fillId="0" borderId="0" xfId="0" applyNumberFormat="1" applyFont="1" applyAlignment="1">
      <alignment horizontal="right" vertical="center" wrapText="1"/>
    </xf>
    <xf numFmtId="0" fontId="37" fillId="0" borderId="26" xfId="0" applyFont="1" applyBorder="1" applyAlignment="1">
      <alignment horizontal="left" vertical="center" wrapText="1"/>
    </xf>
    <xf numFmtId="166" fontId="37" fillId="0" borderId="28" xfId="126" applyNumberFormat="1" applyFont="1" applyBorder="1" applyAlignment="1">
      <alignment horizontal="center" vertical="center" wrapText="1"/>
    </xf>
    <xf numFmtId="0" fontId="40" fillId="0" borderId="20" xfId="0" applyFont="1" applyBorder="1" applyAlignment="1">
      <alignment horizontal="left" vertical="center" wrapText="1"/>
    </xf>
    <xf numFmtId="6" fontId="37" fillId="0" borderId="20" xfId="0" applyNumberFormat="1" applyFont="1" applyBorder="1" applyAlignment="1">
      <alignment horizontal="center" vertical="center" wrapText="1"/>
    </xf>
    <xf numFmtId="166" fontId="40" fillId="0" borderId="20" xfId="126" applyNumberFormat="1" applyFont="1" applyBorder="1" applyAlignment="1">
      <alignment horizontal="center" vertical="center" wrapText="1"/>
    </xf>
    <xf numFmtId="6" fontId="40" fillId="0" borderId="21" xfId="0" applyNumberFormat="1" applyFont="1" applyBorder="1" applyAlignment="1">
      <alignment horizontal="center" vertical="center" wrapText="1"/>
    </xf>
    <xf numFmtId="0" fontId="40" fillId="0" borderId="0" xfId="0" applyFont="1" applyAlignment="1">
      <alignment horizontal="left" vertical="center" wrapText="1"/>
    </xf>
    <xf numFmtId="166" fontId="40" fillId="0" borderId="0" xfId="126" applyNumberFormat="1" applyFont="1" applyAlignment="1">
      <alignment horizontal="center" vertical="center" wrapText="1"/>
    </xf>
    <xf numFmtId="0" fontId="37" fillId="0" borderId="0" xfId="0" applyFont="1" applyAlignment="1">
      <alignment horizontal="justify" vertical="center" wrapText="1"/>
    </xf>
    <xf numFmtId="10" fontId="37" fillId="0" borderId="0" xfId="0" applyNumberFormat="1" applyFont="1" applyAlignment="1">
      <alignment horizontal="center" vertical="center" wrapText="1"/>
    </xf>
    <xf numFmtId="6" fontId="40" fillId="0" borderId="29" xfId="0" applyNumberFormat="1" applyFont="1" applyBorder="1" applyAlignment="1">
      <alignment horizontal="center" vertical="center" wrapText="1"/>
    </xf>
    <xf numFmtId="174" fontId="40" fillId="0" borderId="21" xfId="0" applyNumberFormat="1" applyFont="1" applyBorder="1" applyAlignment="1">
      <alignment horizontal="center" vertical="center" wrapText="1"/>
    </xf>
    <xf numFmtId="165" fontId="37" fillId="0" borderId="0" xfId="119" applyNumberFormat="1" applyFont="1"/>
    <xf numFmtId="3" fontId="37" fillId="0" borderId="0" xfId="119" applyNumberFormat="1" applyFont="1"/>
    <xf numFmtId="0" fontId="37" fillId="26" borderId="0" xfId="0" applyFont="1" applyFill="1" applyAlignment="1">
      <alignment horizontal="justify" vertical="center" wrapText="1"/>
    </xf>
    <xf numFmtId="3" fontId="37" fillId="26" borderId="0" xfId="0" applyNumberFormat="1" applyFont="1" applyFill="1" applyAlignment="1">
      <alignment horizontal="right" vertical="center" wrapText="1"/>
    </xf>
    <xf numFmtId="0" fontId="37" fillId="0" borderId="29" xfId="120" applyFont="1" applyBorder="1" applyAlignment="1">
      <alignment horizontal="center"/>
    </xf>
    <xf numFmtId="3" fontId="37" fillId="0" borderId="0" xfId="120" applyNumberFormat="1" applyFont="1" applyAlignment="1">
      <alignment horizontal="center"/>
    </xf>
    <xf numFmtId="0" fontId="37" fillId="0" borderId="32" xfId="120" applyFont="1" applyBorder="1" applyAlignment="1">
      <alignment horizontal="center"/>
    </xf>
    <xf numFmtId="0" fontId="42" fillId="27" borderId="19" xfId="0" applyFont="1" applyFill="1" applyBorder="1" applyAlignment="1">
      <alignment horizontal="left" vertical="center" wrapText="1"/>
    </xf>
    <xf numFmtId="0" fontId="42" fillId="27" borderId="19" xfId="0" applyFont="1" applyFill="1" applyBorder="1" applyAlignment="1">
      <alignment horizontal="center" vertical="center" wrapText="1"/>
    </xf>
    <xf numFmtId="0" fontId="42" fillId="27" borderId="0" xfId="0" applyFont="1" applyFill="1" applyAlignment="1">
      <alignment horizontal="center" vertical="center" wrapText="1"/>
    </xf>
    <xf numFmtId="0" fontId="42" fillId="27" borderId="22" xfId="0" applyFont="1" applyFill="1" applyBorder="1" applyAlignment="1">
      <alignment horizontal="left" vertical="center" wrapText="1"/>
    </xf>
    <xf numFmtId="0" fontId="42" fillId="27" borderId="22" xfId="0" applyFont="1" applyFill="1" applyBorder="1" applyAlignment="1">
      <alignment horizontal="center" vertical="center" wrapText="1"/>
    </xf>
    <xf numFmtId="0" fontId="42" fillId="27" borderId="23" xfId="0" applyFont="1" applyFill="1" applyBorder="1" applyAlignment="1">
      <alignment horizontal="center" vertical="center" wrapText="1"/>
    </xf>
    <xf numFmtId="0" fontId="37" fillId="26" borderId="48" xfId="0" quotePrefix="1" applyFont="1" applyFill="1" applyBorder="1" applyAlignment="1">
      <alignment horizontal="center" vertical="center" wrapText="1"/>
    </xf>
    <xf numFmtId="0" fontId="37" fillId="26" borderId="28" xfId="0" quotePrefix="1" applyFont="1" applyFill="1" applyBorder="1" applyAlignment="1">
      <alignment horizontal="center" vertical="center" wrapText="1"/>
    </xf>
    <xf numFmtId="0" fontId="37" fillId="0" borderId="19" xfId="0" applyFont="1" applyBorder="1" applyAlignment="1">
      <alignment horizontal="left" vertical="center" wrapText="1"/>
    </xf>
    <xf numFmtId="0" fontId="37" fillId="26" borderId="19" xfId="0" applyFont="1" applyFill="1" applyBorder="1" applyAlignment="1">
      <alignment horizontal="center" vertical="center" wrapText="1"/>
    </xf>
    <xf numFmtId="0" fontId="37" fillId="26" borderId="0" xfId="0" applyFont="1" applyFill="1" applyBorder="1" applyAlignment="1">
      <alignment horizontal="center" vertical="center" wrapText="1"/>
    </xf>
    <xf numFmtId="0" fontId="37" fillId="26" borderId="50" xfId="0" quotePrefix="1" applyFont="1" applyFill="1" applyBorder="1" applyAlignment="1">
      <alignment horizontal="center" vertical="center" wrapText="1"/>
    </xf>
    <xf numFmtId="0" fontId="37" fillId="26" borderId="26" xfId="0" applyFont="1" applyFill="1" applyBorder="1" applyAlignment="1">
      <alignment horizontal="center" vertical="center" wrapText="1"/>
    </xf>
    <xf numFmtId="0" fontId="37" fillId="26" borderId="27" xfId="0" applyFont="1" applyFill="1" applyBorder="1" applyAlignment="1">
      <alignment horizontal="center" vertical="center" wrapText="1"/>
    </xf>
    <xf numFmtId="0" fontId="37" fillId="0" borderId="49" xfId="0" applyFont="1" applyBorder="1" applyAlignment="1">
      <alignment horizontal="left" vertical="center" wrapText="1"/>
    </xf>
    <xf numFmtId="0" fontId="42" fillId="27" borderId="0" xfId="119" applyFont="1" applyFill="1"/>
    <xf numFmtId="0" fontId="42" fillId="27" borderId="0" xfId="119" applyFont="1" applyFill="1" applyAlignment="1">
      <alignment horizontal="center"/>
    </xf>
    <xf numFmtId="0" fontId="42" fillId="27" borderId="14" xfId="119" applyFont="1" applyFill="1" applyBorder="1" applyAlignment="1">
      <alignment horizontal="center"/>
    </xf>
    <xf numFmtId="173" fontId="37" fillId="28" borderId="0" xfId="56" applyNumberFormat="1" applyFont="1" applyFill="1"/>
    <xf numFmtId="0" fontId="38" fillId="27" borderId="0" xfId="119" applyFont="1" applyFill="1"/>
    <xf numFmtId="0" fontId="42" fillId="27" borderId="0" xfId="119" applyFont="1" applyFill="1" applyAlignment="1">
      <alignment horizontal="right"/>
    </xf>
    <xf numFmtId="0" fontId="42" fillId="27" borderId="0" xfId="0" applyFont="1" applyFill="1" applyAlignment="1">
      <alignment horizontal="justify" vertical="center" wrapText="1"/>
    </xf>
    <xf numFmtId="2" fontId="37" fillId="0" borderId="0" xfId="0" applyNumberFormat="1" applyFont="1" applyBorder="1" applyAlignment="1">
      <alignment horizontal="right" vertical="center" wrapText="1"/>
    </xf>
    <xf numFmtId="3" fontId="37" fillId="0" borderId="0" xfId="0" applyNumberFormat="1" applyFont="1" applyBorder="1" applyAlignment="1">
      <alignment horizontal="right" vertical="center" wrapText="1"/>
    </xf>
    <xf numFmtId="0" fontId="37" fillId="0" borderId="0" xfId="119" applyFont="1" applyBorder="1"/>
    <xf numFmtId="43" fontId="37" fillId="0" borderId="0" xfId="119" applyNumberFormat="1" applyFont="1" applyBorder="1"/>
    <xf numFmtId="6" fontId="37" fillId="0" borderId="0" xfId="119" applyNumberFormat="1" applyFont="1" applyAlignment="1">
      <alignment horizontal="justify"/>
    </xf>
    <xf numFmtId="170" fontId="37" fillId="0" borderId="0" xfId="120" applyNumberFormat="1" applyFont="1" applyAlignment="1">
      <alignment horizontal="center"/>
    </xf>
    <xf numFmtId="0" fontId="42" fillId="27" borderId="51" xfId="120" applyFont="1" applyFill="1" applyBorder="1"/>
    <xf numFmtId="0" fontId="42" fillId="27" borderId="29" xfId="120" applyFont="1" applyFill="1" applyBorder="1"/>
    <xf numFmtId="0" fontId="42" fillId="27" borderId="52" xfId="120" applyFont="1" applyFill="1" applyBorder="1"/>
    <xf numFmtId="0" fontId="37" fillId="0" borderId="53" xfId="120" applyFont="1" applyBorder="1"/>
    <xf numFmtId="0" fontId="37" fillId="0" borderId="0" xfId="120" applyFont="1" applyBorder="1"/>
    <xf numFmtId="0" fontId="37" fillId="0" borderId="19" xfId="120" applyFont="1" applyBorder="1"/>
    <xf numFmtId="0" fontId="40" fillId="0" borderId="0" xfId="120" applyFont="1" applyBorder="1"/>
    <xf numFmtId="0" fontId="42" fillId="27" borderId="53" xfId="120" applyFont="1" applyFill="1" applyBorder="1" applyAlignment="1">
      <alignment horizontal="center"/>
    </xf>
    <xf numFmtId="0" fontId="42" fillId="27" borderId="0" xfId="120" applyFont="1" applyFill="1" applyBorder="1" applyAlignment="1">
      <alignment horizontal="center"/>
    </xf>
    <xf numFmtId="0" fontId="42" fillId="27" borderId="19" xfId="120" applyFont="1" applyFill="1" applyBorder="1" applyAlignment="1">
      <alignment horizontal="center"/>
    </xf>
    <xf numFmtId="9" fontId="37" fillId="0" borderId="53" xfId="126" applyFont="1" applyBorder="1" applyAlignment="1">
      <alignment horizontal="center"/>
    </xf>
    <xf numFmtId="9" fontId="37" fillId="0" borderId="0" xfId="126" applyFont="1" applyBorder="1" applyAlignment="1">
      <alignment horizontal="center"/>
    </xf>
    <xf numFmtId="164" fontId="37" fillId="0" borderId="0" xfId="120" applyNumberFormat="1" applyFont="1" applyBorder="1" applyAlignment="1">
      <alignment horizontal="center"/>
    </xf>
    <xf numFmtId="164" fontId="37" fillId="0" borderId="19" xfId="120" applyNumberFormat="1" applyFont="1" applyBorder="1" applyAlignment="1">
      <alignment horizontal="center"/>
    </xf>
    <xf numFmtId="0" fontId="37" fillId="0" borderId="53" xfId="120" applyFont="1" applyBorder="1" applyAlignment="1">
      <alignment horizontal="center"/>
    </xf>
    <xf numFmtId="0" fontId="37" fillId="0" borderId="0" xfId="120" applyFont="1" applyBorder="1" applyAlignment="1">
      <alignment horizontal="center"/>
    </xf>
    <xf numFmtId="0" fontId="37" fillId="0" borderId="19" xfId="120" applyFont="1" applyBorder="1" applyAlignment="1">
      <alignment horizontal="center"/>
    </xf>
    <xf numFmtId="0" fontId="37" fillId="0" borderId="54" xfId="120" applyFont="1" applyBorder="1" applyAlignment="1">
      <alignment horizontal="center"/>
    </xf>
    <xf numFmtId="0" fontId="37" fillId="0" borderId="55" xfId="120" applyFont="1" applyBorder="1" applyAlignment="1">
      <alignment horizontal="center"/>
    </xf>
    <xf numFmtId="6" fontId="42" fillId="27" borderId="0" xfId="0" applyNumberFormat="1" applyFont="1" applyFill="1" applyAlignment="1">
      <alignment horizontal="center" vertical="center" wrapText="1"/>
    </xf>
    <xf numFmtId="9" fontId="38" fillId="27" borderId="0" xfId="126" applyFont="1" applyFill="1" applyAlignment="1">
      <alignment horizontal="center"/>
    </xf>
    <xf numFmtId="6" fontId="38" fillId="27" borderId="0" xfId="0" applyNumberFormat="1" applyFont="1" applyFill="1" applyAlignment="1">
      <alignment horizontal="center" vertical="center" wrapText="1"/>
    </xf>
    <xf numFmtId="0" fontId="42" fillId="27" borderId="56" xfId="119" applyFont="1" applyFill="1" applyBorder="1" applyAlignment="1">
      <alignment horizontal="center"/>
    </xf>
    <xf numFmtId="0" fontId="42" fillId="27" borderId="56" xfId="119" applyFont="1" applyFill="1" applyBorder="1"/>
    <xf numFmtId="6" fontId="42" fillId="27" borderId="56" xfId="0" applyNumberFormat="1" applyFont="1" applyFill="1" applyBorder="1" applyAlignment="1">
      <alignment horizontal="center" vertical="center" wrapText="1"/>
    </xf>
    <xf numFmtId="9" fontId="38" fillId="27" borderId="56" xfId="126" applyFont="1" applyFill="1" applyBorder="1" applyAlignment="1">
      <alignment horizontal="center"/>
    </xf>
    <xf numFmtId="0" fontId="37" fillId="28" borderId="0" xfId="0" applyFont="1" applyFill="1" applyAlignment="1">
      <alignment horizontal="justify" vertical="center" wrapText="1"/>
    </xf>
    <xf numFmtId="3" fontId="37" fillId="28" borderId="0" xfId="0" applyNumberFormat="1" applyFont="1" applyFill="1" applyAlignment="1">
      <alignment horizontal="right" vertical="center" wrapText="1"/>
    </xf>
    <xf numFmtId="0" fontId="37" fillId="28" borderId="0" xfId="119" applyFont="1" applyFill="1"/>
    <xf numFmtId="0" fontId="37" fillId="28" borderId="14" xfId="119" applyFont="1" applyFill="1" applyBorder="1"/>
    <xf numFmtId="173" fontId="37" fillId="28" borderId="14" xfId="56" applyNumberFormat="1" applyFont="1" applyFill="1" applyBorder="1" applyAlignment="1">
      <alignment horizontal="right"/>
    </xf>
    <xf numFmtId="173" fontId="37" fillId="28" borderId="14" xfId="56" applyNumberFormat="1" applyFont="1" applyFill="1" applyBorder="1"/>
    <xf numFmtId="173" fontId="37" fillId="28" borderId="0" xfId="56" applyNumberFormat="1" applyFont="1" applyFill="1" applyAlignment="1">
      <alignment horizontal="right"/>
    </xf>
    <xf numFmtId="0" fontId="51" fillId="28" borderId="0" xfId="0" applyFont="1" applyFill="1" applyAlignment="1">
      <alignment horizontal="justify" vertical="center" wrapText="1"/>
    </xf>
    <xf numFmtId="0" fontId="37" fillId="28" borderId="0" xfId="0" applyFont="1" applyFill="1" applyAlignment="1">
      <alignment horizontal="right" vertical="center" wrapText="1"/>
    </xf>
    <xf numFmtId="173" fontId="37" fillId="28" borderId="0" xfId="56" quotePrefix="1" applyNumberFormat="1" applyFont="1" applyFill="1"/>
    <xf numFmtId="0" fontId="37" fillId="28" borderId="14" xfId="0" applyFont="1" applyFill="1" applyBorder="1" applyAlignment="1">
      <alignment horizontal="justify" vertical="center" wrapText="1"/>
    </xf>
    <xf numFmtId="3" fontId="37" fillId="28" borderId="14" xfId="0" applyNumberFormat="1" applyFont="1" applyFill="1" applyBorder="1" applyAlignment="1">
      <alignment horizontal="right" vertical="center" wrapText="1"/>
    </xf>
    <xf numFmtId="0" fontId="37" fillId="28" borderId="0" xfId="0" quotePrefix="1" applyFont="1" applyFill="1" applyAlignment="1">
      <alignment horizontal="justify" vertical="center" wrapText="1"/>
    </xf>
    <xf numFmtId="173" fontId="37" fillId="28" borderId="0" xfId="56" applyNumberFormat="1" applyFont="1" applyFill="1" applyAlignment="1">
      <alignment horizontal="right" vertical="center" wrapText="1"/>
    </xf>
    <xf numFmtId="0" fontId="40" fillId="28" borderId="0" xfId="119" applyFont="1" applyFill="1"/>
    <xf numFmtId="173" fontId="40" fillId="28" borderId="0" xfId="56" applyNumberFormat="1" applyFont="1" applyFill="1"/>
    <xf numFmtId="166" fontId="37" fillId="28" borderId="6" xfId="126" applyNumberFormat="1" applyFont="1" applyFill="1" applyBorder="1"/>
    <xf numFmtId="173" fontId="37" fillId="28" borderId="6" xfId="56" applyNumberFormat="1" applyFont="1" applyFill="1" applyBorder="1"/>
    <xf numFmtId="166" fontId="40" fillId="28" borderId="6" xfId="126" applyNumberFormat="1" applyFont="1" applyFill="1" applyBorder="1"/>
    <xf numFmtId="166" fontId="37" fillId="28" borderId="13" xfId="126" applyNumberFormat="1" applyFont="1" applyFill="1" applyBorder="1"/>
    <xf numFmtId="0" fontId="42" fillId="27" borderId="21" xfId="119" applyFont="1" applyFill="1" applyBorder="1"/>
    <xf numFmtId="173" fontId="42" fillId="27" borderId="21" xfId="56" applyNumberFormat="1" applyFont="1" applyFill="1" applyBorder="1"/>
    <xf numFmtId="173" fontId="42" fillId="27" borderId="57" xfId="56" applyNumberFormat="1" applyFont="1" applyFill="1" applyBorder="1"/>
    <xf numFmtId="0" fontId="42" fillId="27" borderId="0" xfId="119" applyFont="1" applyFill="1" applyBorder="1" applyAlignment="1">
      <alignment horizontal="center"/>
    </xf>
    <xf numFmtId="0" fontId="37" fillId="0" borderId="0" xfId="119" applyFont="1" applyBorder="1" applyAlignment="1">
      <alignment horizontal="center"/>
    </xf>
    <xf numFmtId="0" fontId="42" fillId="26" borderId="0" xfId="119" applyFont="1" applyFill="1" applyAlignment="1">
      <alignment horizontal="center"/>
    </xf>
    <xf numFmtId="0" fontId="42" fillId="26" borderId="0" xfId="119" applyFont="1" applyFill="1" applyBorder="1" applyAlignment="1">
      <alignment horizontal="center"/>
    </xf>
    <xf numFmtId="0" fontId="37" fillId="0" borderId="33" xfId="120" applyFont="1" applyBorder="1" applyAlignment="1">
      <alignment horizontal="left"/>
    </xf>
    <xf numFmtId="170" fontId="37" fillId="26" borderId="0" xfId="120" applyNumberFormat="1" applyFont="1" applyFill="1" applyBorder="1" applyAlignment="1">
      <alignment horizontal="center"/>
    </xf>
    <xf numFmtId="6" fontId="38" fillId="27" borderId="56" xfId="119" applyNumberFormat="1" applyFont="1" applyFill="1" applyBorder="1" applyAlignment="1">
      <alignment horizontal="center"/>
    </xf>
    <xf numFmtId="7" fontId="38" fillId="27" borderId="56" xfId="61" applyNumberFormat="1" applyFont="1" applyFill="1" applyBorder="1"/>
    <xf numFmtId="7" fontId="38" fillId="27" borderId="62" xfId="61" applyNumberFormat="1" applyFont="1" applyFill="1" applyBorder="1" applyAlignment="1">
      <alignment horizontal="center"/>
    </xf>
    <xf numFmtId="0" fontId="42" fillId="27" borderId="61" xfId="119" applyFont="1" applyFill="1" applyBorder="1" applyAlignment="1">
      <alignment horizontal="center"/>
    </xf>
    <xf numFmtId="0" fontId="42" fillId="27" borderId="63" xfId="0" applyFont="1" applyFill="1" applyBorder="1" applyAlignment="1">
      <alignment horizontal="center" vertical="center" wrapText="1"/>
    </xf>
    <xf numFmtId="8" fontId="37" fillId="0" borderId="64" xfId="119" applyNumberFormat="1" applyFont="1" applyBorder="1" applyAlignment="1">
      <alignment horizontal="center"/>
    </xf>
    <xf numFmtId="8" fontId="37" fillId="0" borderId="65" xfId="119" applyNumberFormat="1" applyFont="1" applyBorder="1" applyAlignment="1">
      <alignment horizontal="center"/>
    </xf>
    <xf numFmtId="166" fontId="42" fillId="27" borderId="66" xfId="126" applyNumberFormat="1" applyFont="1" applyFill="1" applyBorder="1"/>
    <xf numFmtId="0" fontId="37" fillId="28" borderId="0" xfId="0" applyFont="1" applyFill="1" applyAlignment="1">
      <alignment horizontal="left" vertical="center" wrapText="1"/>
    </xf>
    <xf numFmtId="2" fontId="37" fillId="28" borderId="0" xfId="0" applyNumberFormat="1" applyFont="1" applyFill="1" applyAlignment="1">
      <alignment horizontal="right" vertical="center" wrapText="1"/>
    </xf>
    <xf numFmtId="0" fontId="42" fillId="27" borderId="51" xfId="0" applyFont="1" applyFill="1" applyBorder="1" applyAlignment="1">
      <alignment horizontal="center" vertical="center" wrapText="1"/>
    </xf>
    <xf numFmtId="0" fontId="37" fillId="0" borderId="51" xfId="119" applyFont="1" applyBorder="1"/>
    <xf numFmtId="0" fontId="37" fillId="0" borderId="29" xfId="119" applyFont="1" applyBorder="1"/>
    <xf numFmtId="0" fontId="37" fillId="0" borderId="52" xfId="119" applyFont="1" applyBorder="1"/>
    <xf numFmtId="0" fontId="37" fillId="0" borderId="53" xfId="119" applyFont="1" applyBorder="1"/>
    <xf numFmtId="0" fontId="37" fillId="0" borderId="19" xfId="119" applyFont="1" applyBorder="1"/>
    <xf numFmtId="0" fontId="37" fillId="0" borderId="19" xfId="0" applyFont="1" applyBorder="1" applyAlignment="1">
      <alignment horizontal="right" vertical="center" wrapText="1"/>
    </xf>
    <xf numFmtId="0" fontId="37" fillId="0" borderId="54" xfId="119" applyFont="1" applyBorder="1"/>
    <xf numFmtId="0" fontId="37" fillId="0" borderId="33" xfId="119" applyFont="1" applyBorder="1"/>
    <xf numFmtId="173" fontId="37" fillId="0" borderId="33" xfId="56" applyNumberFormat="1" applyFont="1" applyBorder="1"/>
    <xf numFmtId="0" fontId="37" fillId="0" borderId="55" xfId="0" applyFont="1" applyBorder="1" applyAlignment="1">
      <alignment horizontal="right" vertical="center" wrapText="1"/>
    </xf>
    <xf numFmtId="8" fontId="40" fillId="0" borderId="0" xfId="0" applyNumberFormat="1" applyFont="1" applyBorder="1" applyAlignment="1">
      <alignment horizontal="center" vertical="center" wrapText="1"/>
    </xf>
    <xf numFmtId="8" fontId="37" fillId="0" borderId="0" xfId="119" applyNumberFormat="1" applyFont="1" applyBorder="1" applyAlignment="1">
      <alignment horizontal="center"/>
    </xf>
    <xf numFmtId="9" fontId="38" fillId="27" borderId="0" xfId="126" applyFont="1" applyFill="1" applyBorder="1" applyAlignment="1">
      <alignment horizontal="center"/>
    </xf>
    <xf numFmtId="0" fontId="40" fillId="0" borderId="0" xfId="119" applyFont="1" applyBorder="1"/>
    <xf numFmtId="173" fontId="40" fillId="0" borderId="0" xfId="56" applyNumberFormat="1" applyFont="1" applyBorder="1"/>
    <xf numFmtId="167" fontId="40" fillId="0" borderId="0" xfId="56" applyNumberFormat="1" applyFont="1" applyBorder="1"/>
    <xf numFmtId="166" fontId="40" fillId="0" borderId="0" xfId="126" applyNumberFormat="1" applyFont="1" applyBorder="1"/>
    <xf numFmtId="43" fontId="42" fillId="27" borderId="0" xfId="119" applyNumberFormat="1" applyFont="1" applyFill="1"/>
    <xf numFmtId="173" fontId="42" fillId="27" borderId="0" xfId="56" applyNumberFormat="1" applyFont="1" applyFill="1" applyAlignment="1">
      <alignment horizontal="right"/>
    </xf>
    <xf numFmtId="0" fontId="37" fillId="26" borderId="18" xfId="120" applyFont="1" applyFill="1" applyBorder="1" applyAlignment="1">
      <alignment horizontal="center"/>
    </xf>
    <xf numFmtId="0" fontId="40" fillId="0" borderId="31" xfId="119" applyFont="1" applyBorder="1" applyAlignment="1">
      <alignment horizontal="center"/>
    </xf>
    <xf numFmtId="6" fontId="40" fillId="0" borderId="46" xfId="119" applyNumberFormat="1" applyFont="1" applyBorder="1" applyAlignment="1">
      <alignment horizontal="center"/>
    </xf>
    <xf numFmtId="171" fontId="37" fillId="0" borderId="68" xfId="61" applyNumberFormat="1" applyFont="1" applyBorder="1" applyAlignment="1">
      <alignment horizontal="center"/>
    </xf>
    <xf numFmtId="0" fontId="37" fillId="0" borderId="65" xfId="119" applyFont="1" applyBorder="1" applyAlignment="1">
      <alignment horizontal="center"/>
    </xf>
    <xf numFmtId="164" fontId="37" fillId="26" borderId="0" xfId="0" applyNumberFormat="1" applyFont="1" applyFill="1" applyAlignment="1">
      <alignment horizontal="center" vertical="center" wrapText="1"/>
    </xf>
    <xf numFmtId="165" fontId="40" fillId="26" borderId="0" xfId="0" applyNumberFormat="1" applyFont="1" applyFill="1" applyAlignment="1">
      <alignment horizontal="center" vertical="center" wrapText="1"/>
    </xf>
    <xf numFmtId="0" fontId="37" fillId="26" borderId="67" xfId="119" applyFont="1" applyFill="1" applyBorder="1" applyAlignment="1">
      <alignment horizontal="center" vertical="center"/>
    </xf>
    <xf numFmtId="0" fontId="37" fillId="26" borderId="0" xfId="119" applyFont="1" applyFill="1" applyAlignment="1">
      <alignment horizontal="center" vertical="center"/>
    </xf>
    <xf numFmtId="0" fontId="37" fillId="26" borderId="14" xfId="119" applyFont="1" applyFill="1" applyBorder="1" applyAlignment="1">
      <alignment horizontal="center" vertical="center"/>
    </xf>
    <xf numFmtId="164" fontId="37" fillId="0" borderId="0" xfId="119" applyNumberFormat="1" applyFont="1" applyAlignment="1">
      <alignment horizontal="center" vertical="center"/>
    </xf>
    <xf numFmtId="165" fontId="40" fillId="0" borderId="0" xfId="119" applyNumberFormat="1" applyFont="1" applyAlignment="1">
      <alignment horizontal="center" vertical="center"/>
    </xf>
    <xf numFmtId="0" fontId="42" fillId="27" borderId="68" xfId="145" applyFont="1" applyFill="1" applyBorder="1" applyAlignment="1">
      <alignment horizontal="center"/>
    </xf>
    <xf numFmtId="0" fontId="42" fillId="27" borderId="64" xfId="145" applyFont="1" applyFill="1" applyBorder="1" applyAlignment="1">
      <alignment horizontal="center"/>
    </xf>
    <xf numFmtId="0" fontId="37" fillId="0" borderId="15" xfId="120" applyFont="1" applyBorder="1"/>
    <xf numFmtId="3" fontId="40" fillId="0" borderId="17" xfId="120" applyNumberFormat="1" applyFont="1" applyBorder="1" applyAlignment="1">
      <alignment horizontal="center"/>
    </xf>
    <xf numFmtId="0" fontId="53" fillId="27" borderId="29" xfId="120" applyFont="1" applyFill="1" applyBorder="1" applyAlignment="1">
      <alignment horizontal="center"/>
    </xf>
    <xf numFmtId="0" fontId="42" fillId="27" borderId="47" xfId="120" applyFont="1" applyFill="1" applyBorder="1"/>
    <xf numFmtId="0" fontId="55" fillId="27" borderId="39" xfId="120" applyFont="1" applyFill="1" applyBorder="1"/>
    <xf numFmtId="0" fontId="37" fillId="0" borderId="0" xfId="120" applyFont="1" applyAlignment="1">
      <alignment vertical="top"/>
    </xf>
    <xf numFmtId="0" fontId="37" fillId="0" borderId="44" xfId="120" applyFont="1" applyBorder="1" applyAlignment="1">
      <alignment horizontal="center" vertical="top" wrapText="1"/>
    </xf>
    <xf numFmtId="0" fontId="37" fillId="0" borderId="45" xfId="120" applyFont="1" applyBorder="1" applyAlignment="1">
      <alignment vertical="top" wrapText="1"/>
    </xf>
    <xf numFmtId="0" fontId="37" fillId="26" borderId="34" xfId="120" applyFont="1" applyFill="1" applyBorder="1" applyAlignment="1">
      <alignment horizontal="center" vertical="top" wrapText="1"/>
    </xf>
    <xf numFmtId="0" fontId="37" fillId="0" borderId="6" xfId="120" applyFont="1" applyBorder="1" applyAlignment="1">
      <alignment horizontal="center" vertical="top" wrapText="1"/>
    </xf>
    <xf numFmtId="0" fontId="37" fillId="0" borderId="0" xfId="120" applyFont="1" applyAlignment="1">
      <alignment vertical="top" wrapText="1"/>
    </xf>
    <xf numFmtId="0" fontId="37" fillId="26" borderId="16" xfId="120" applyFont="1" applyFill="1" applyBorder="1" applyAlignment="1">
      <alignment horizontal="center" vertical="top" wrapText="1"/>
    </xf>
    <xf numFmtId="0" fontId="37" fillId="0" borderId="16" xfId="120" applyFont="1" applyBorder="1" applyAlignment="1">
      <alignment horizontal="center" vertical="top" wrapText="1"/>
    </xf>
    <xf numFmtId="3" fontId="37" fillId="0" borderId="6" xfId="120" applyNumberFormat="1" applyFont="1" applyBorder="1" applyAlignment="1">
      <alignment horizontal="center" vertical="top" wrapText="1"/>
    </xf>
    <xf numFmtId="3" fontId="37" fillId="26" borderId="16" xfId="120" applyNumberFormat="1" applyFont="1" applyFill="1" applyBorder="1" applyAlignment="1">
      <alignment horizontal="center" vertical="top" wrapText="1"/>
    </xf>
    <xf numFmtId="3" fontId="37" fillId="0" borderId="59" xfId="120" applyNumberFormat="1" applyFont="1" applyBorder="1" applyAlignment="1">
      <alignment horizontal="center" vertical="top" wrapText="1"/>
    </xf>
    <xf numFmtId="0" fontId="37" fillId="0" borderId="60" xfId="120" applyFont="1" applyBorder="1" applyAlignment="1">
      <alignment vertical="top" wrapText="1"/>
    </xf>
    <xf numFmtId="3" fontId="37" fillId="26" borderId="58" xfId="120" applyNumberFormat="1" applyFont="1" applyFill="1" applyBorder="1" applyAlignment="1">
      <alignment horizontal="center" vertical="top" wrapText="1"/>
    </xf>
    <xf numFmtId="165" fontId="37" fillId="26" borderId="0" xfId="120" quotePrefix="1" applyNumberFormat="1" applyFont="1" applyFill="1" applyBorder="1" applyAlignment="1">
      <alignment horizontal="right"/>
    </xf>
    <xf numFmtId="165" fontId="37" fillId="0" borderId="0" xfId="120" applyNumberFormat="1" applyFont="1" applyBorder="1" applyAlignment="1">
      <alignment horizontal="right"/>
    </xf>
    <xf numFmtId="170" fontId="37" fillId="0" borderId="0" xfId="120" applyNumberFormat="1" applyFont="1" applyBorder="1" applyAlignment="1">
      <alignment horizontal="right"/>
    </xf>
    <xf numFmtId="165" fontId="37" fillId="0" borderId="67" xfId="120" applyNumberFormat="1" applyFont="1" applyBorder="1" applyAlignment="1">
      <alignment horizontal="right"/>
    </xf>
    <xf numFmtId="0" fontId="37" fillId="0" borderId="67" xfId="120" applyFont="1" applyBorder="1"/>
    <xf numFmtId="165" fontId="37" fillId="26" borderId="0" xfId="120" applyNumberFormat="1" applyFont="1" applyFill="1" applyBorder="1" applyAlignment="1">
      <alignment horizontal="right"/>
    </xf>
    <xf numFmtId="0" fontId="41" fillId="0" borderId="0" xfId="120" applyFont="1" applyAlignment="1">
      <alignment horizontal="center"/>
    </xf>
    <xf numFmtId="0" fontId="54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40" fillId="0" borderId="29" xfId="0" applyFont="1" applyBorder="1" applyAlignment="1">
      <alignment horizontal="justify" vertical="center" wrapText="1"/>
    </xf>
    <xf numFmtId="0" fontId="40" fillId="0" borderId="21" xfId="0" applyFont="1" applyBorder="1" applyAlignment="1">
      <alignment horizontal="justify" vertical="center" wrapText="1"/>
    </xf>
    <xf numFmtId="6" fontId="37" fillId="0" borderId="29" xfId="0" applyNumberFormat="1" applyFont="1" applyBorder="1" applyAlignment="1">
      <alignment horizontal="center" vertical="center" wrapText="1"/>
    </xf>
    <xf numFmtId="6" fontId="37" fillId="0" borderId="21" xfId="0" applyNumberFormat="1" applyFont="1" applyBorder="1" applyAlignment="1">
      <alignment horizontal="center" vertical="center" wrapText="1"/>
    </xf>
    <xf numFmtId="10" fontId="40" fillId="0" borderId="29" xfId="126" applyNumberFormat="1" applyFont="1" applyBorder="1" applyAlignment="1">
      <alignment horizontal="center" vertical="center" wrapText="1"/>
    </xf>
    <xf numFmtId="10" fontId="40" fillId="0" borderId="21" xfId="126" applyNumberFormat="1" applyFont="1" applyBorder="1" applyAlignment="1">
      <alignment horizontal="center" vertical="center" wrapText="1"/>
    </xf>
    <xf numFmtId="0" fontId="37" fillId="0" borderId="6" xfId="120" applyFont="1" applyBorder="1" applyAlignment="1">
      <alignment horizontal="center"/>
    </xf>
    <xf numFmtId="0" fontId="37" fillId="0" borderId="16" xfId="120" applyFont="1" applyBorder="1" applyAlignment="1">
      <alignment horizontal="center"/>
    </xf>
  </cellXfs>
  <cellStyles count="146">
    <cellStyle name="-" xfId="1" xr:uid="{00000000-0005-0000-0000-000000000000}"/>
    <cellStyle name="20% - Accent1" xfId="2" builtinId="30" customBuiltin="1"/>
    <cellStyle name="20% - Accent1 2" xfId="3" xr:uid="{00000000-0005-0000-0000-000002000000}"/>
    <cellStyle name="20% - Accent2" xfId="4" builtinId="34" customBuiltin="1"/>
    <cellStyle name="20% - Accent2 2" xfId="5" xr:uid="{00000000-0005-0000-0000-000004000000}"/>
    <cellStyle name="20% - Accent3" xfId="6" builtinId="38" customBuiltin="1"/>
    <cellStyle name="20% - Accent3 2" xfId="7" xr:uid="{00000000-0005-0000-0000-000006000000}"/>
    <cellStyle name="20% - Accent4" xfId="8" builtinId="42" customBuiltin="1"/>
    <cellStyle name="20% - Accent4 2" xfId="9" xr:uid="{00000000-0005-0000-0000-000008000000}"/>
    <cellStyle name="20% - Accent5" xfId="10" builtinId="46" customBuiltin="1"/>
    <cellStyle name="20% - Accent5 2" xfId="11" xr:uid="{00000000-0005-0000-0000-00000A000000}"/>
    <cellStyle name="20% - Accent6" xfId="12" builtinId="50" customBuiltin="1"/>
    <cellStyle name="20% - Accent6 2" xfId="13" xr:uid="{00000000-0005-0000-0000-00000C000000}"/>
    <cellStyle name="40% - Accent1" xfId="14" builtinId="31" customBuiltin="1"/>
    <cellStyle name="40% - Accent1 2" xfId="15" xr:uid="{00000000-0005-0000-0000-00000E000000}"/>
    <cellStyle name="40% - Accent2" xfId="16" builtinId="35" customBuiltin="1"/>
    <cellStyle name="40% - Accent2 2" xfId="17" xr:uid="{00000000-0005-0000-0000-000010000000}"/>
    <cellStyle name="40% - Accent3" xfId="18" builtinId="39" customBuiltin="1"/>
    <cellStyle name="40% - Accent3 2" xfId="19" xr:uid="{00000000-0005-0000-0000-000012000000}"/>
    <cellStyle name="40% - Accent4" xfId="20" builtinId="43" customBuiltin="1"/>
    <cellStyle name="40% - Accent4 2" xfId="21" xr:uid="{00000000-0005-0000-0000-000014000000}"/>
    <cellStyle name="40% - Accent5" xfId="22" builtinId="47" customBuiltin="1"/>
    <cellStyle name="40% - Accent5 2" xfId="23" xr:uid="{00000000-0005-0000-0000-000016000000}"/>
    <cellStyle name="40% - Accent6" xfId="24" builtinId="51" customBuiltin="1"/>
    <cellStyle name="40% - Accent6 2" xfId="25" xr:uid="{00000000-0005-0000-0000-000018000000}"/>
    <cellStyle name="60% - Accent1" xfId="26" builtinId="32" customBuiltin="1"/>
    <cellStyle name="60% - Accent1 2" xfId="27" xr:uid="{00000000-0005-0000-0000-00001A000000}"/>
    <cellStyle name="60% - Accent2" xfId="28" builtinId="36" customBuiltin="1"/>
    <cellStyle name="60% - Accent2 2" xfId="29" xr:uid="{00000000-0005-0000-0000-00001C000000}"/>
    <cellStyle name="60% - Accent3" xfId="30" builtinId="40" customBuiltin="1"/>
    <cellStyle name="60% - Accent3 2" xfId="31" xr:uid="{00000000-0005-0000-0000-00001E000000}"/>
    <cellStyle name="60% - Accent4" xfId="32" builtinId="44" customBuiltin="1"/>
    <cellStyle name="60% - Accent4 2" xfId="33" xr:uid="{00000000-0005-0000-0000-000020000000}"/>
    <cellStyle name="60% - Accent5" xfId="34" builtinId="48" customBuiltin="1"/>
    <cellStyle name="60% - Accent5 2" xfId="35" xr:uid="{00000000-0005-0000-0000-000022000000}"/>
    <cellStyle name="60% - Accent6" xfId="36" builtinId="52" customBuiltin="1"/>
    <cellStyle name="60% - Accent6 2" xfId="37" xr:uid="{00000000-0005-0000-0000-000024000000}"/>
    <cellStyle name="Accent1" xfId="38" builtinId="29" customBuiltin="1"/>
    <cellStyle name="Accent1 2" xfId="39" xr:uid="{00000000-0005-0000-0000-000026000000}"/>
    <cellStyle name="Accent2" xfId="40" builtinId="33" customBuiltin="1"/>
    <cellStyle name="Accent2 2" xfId="41" xr:uid="{00000000-0005-0000-0000-000028000000}"/>
    <cellStyle name="Accent3" xfId="42" builtinId="37" customBuiltin="1"/>
    <cellStyle name="Accent3 2" xfId="43" xr:uid="{00000000-0005-0000-0000-00002A000000}"/>
    <cellStyle name="Accent4" xfId="44" builtinId="41" customBuiltin="1"/>
    <cellStyle name="Accent4 2" xfId="45" xr:uid="{00000000-0005-0000-0000-00002C000000}"/>
    <cellStyle name="Accent5" xfId="46" builtinId="45" customBuiltin="1"/>
    <cellStyle name="Accent5 2" xfId="47" xr:uid="{00000000-0005-0000-0000-00002E000000}"/>
    <cellStyle name="Accent6" xfId="48" builtinId="49" customBuiltin="1"/>
    <cellStyle name="Accent6 2" xfId="49" xr:uid="{00000000-0005-0000-0000-000030000000}"/>
    <cellStyle name="Bad" xfId="50" builtinId="27" customBuiltin="1"/>
    <cellStyle name="Bad 2" xfId="51" xr:uid="{00000000-0005-0000-0000-000032000000}"/>
    <cellStyle name="Calculation" xfId="52" builtinId="22" customBuiltin="1"/>
    <cellStyle name="Calculation 2" xfId="53" xr:uid="{00000000-0005-0000-0000-000034000000}"/>
    <cellStyle name="Check Cell" xfId="54" builtinId="23" customBuiltin="1"/>
    <cellStyle name="Check Cell 2" xfId="55" xr:uid="{00000000-0005-0000-0000-000036000000}"/>
    <cellStyle name="Comma" xfId="56" builtinId="3"/>
    <cellStyle name="Comma 2" xfId="57" xr:uid="{00000000-0005-0000-0000-000038000000}"/>
    <cellStyle name="Comma 2 2" xfId="58" xr:uid="{00000000-0005-0000-0000-000039000000}"/>
    <cellStyle name="Comma 3" xfId="59" xr:uid="{00000000-0005-0000-0000-00003A000000}"/>
    <cellStyle name="Comma0" xfId="60" xr:uid="{00000000-0005-0000-0000-00003B000000}"/>
    <cellStyle name="Currency" xfId="61" builtinId="4"/>
    <cellStyle name="Currency 2" xfId="62" xr:uid="{00000000-0005-0000-0000-00003D000000}"/>
    <cellStyle name="Currency 2 2" xfId="63" xr:uid="{00000000-0005-0000-0000-00003E000000}"/>
    <cellStyle name="Currency 2 3" xfId="64" xr:uid="{00000000-0005-0000-0000-00003F000000}"/>
    <cellStyle name="Currency 3" xfId="65" xr:uid="{00000000-0005-0000-0000-000040000000}"/>
    <cellStyle name="Currency 4" xfId="66" xr:uid="{00000000-0005-0000-0000-000041000000}"/>
    <cellStyle name="Currency 5" xfId="67" xr:uid="{00000000-0005-0000-0000-000042000000}"/>
    <cellStyle name="Currency0" xfId="68" xr:uid="{00000000-0005-0000-0000-000043000000}"/>
    <cellStyle name="Date" xfId="69" xr:uid="{00000000-0005-0000-0000-000044000000}"/>
    <cellStyle name="Explanatory Text" xfId="70" builtinId="53" customBuiltin="1"/>
    <cellStyle name="Explanatory Text 2" xfId="71" xr:uid="{00000000-0005-0000-0000-000046000000}"/>
    <cellStyle name="F2" xfId="72" xr:uid="{00000000-0005-0000-0000-000047000000}"/>
    <cellStyle name="F3" xfId="73" xr:uid="{00000000-0005-0000-0000-000048000000}"/>
    <cellStyle name="F4" xfId="74" xr:uid="{00000000-0005-0000-0000-000049000000}"/>
    <cellStyle name="F5" xfId="75" xr:uid="{00000000-0005-0000-0000-00004A000000}"/>
    <cellStyle name="F6" xfId="76" xr:uid="{00000000-0005-0000-0000-00004B000000}"/>
    <cellStyle name="F7" xfId="77" xr:uid="{00000000-0005-0000-0000-00004C000000}"/>
    <cellStyle name="F8" xfId="78" xr:uid="{00000000-0005-0000-0000-00004D000000}"/>
    <cellStyle name="Fixed" xfId="79" xr:uid="{00000000-0005-0000-0000-00004E000000}"/>
    <cellStyle name="Good" xfId="80" builtinId="26" customBuiltin="1"/>
    <cellStyle name="Good 2" xfId="81" xr:uid="{00000000-0005-0000-0000-000050000000}"/>
    <cellStyle name="Heading 1" xfId="82" builtinId="16" customBuiltin="1"/>
    <cellStyle name="Heading 1 2" xfId="83" xr:uid="{00000000-0005-0000-0000-000052000000}"/>
    <cellStyle name="Heading 2" xfId="84" builtinId="17" customBuiltin="1"/>
    <cellStyle name="Heading 2 2" xfId="85" xr:uid="{00000000-0005-0000-0000-000054000000}"/>
    <cellStyle name="Heading 3" xfId="86" builtinId="18" customBuiltin="1"/>
    <cellStyle name="Heading 3 2" xfId="87" xr:uid="{00000000-0005-0000-0000-000056000000}"/>
    <cellStyle name="Heading 4" xfId="88" builtinId="19" customBuiltin="1"/>
    <cellStyle name="Heading 4 2" xfId="89" xr:uid="{00000000-0005-0000-0000-000058000000}"/>
    <cellStyle name="Input" xfId="90" builtinId="20" customBuiltin="1"/>
    <cellStyle name="Input 2" xfId="91" xr:uid="{00000000-0005-0000-0000-00005A000000}"/>
    <cellStyle name="Light Shade" xfId="92" xr:uid="{00000000-0005-0000-0000-00005B000000}"/>
    <cellStyle name="Linked Cell" xfId="93" builtinId="24" customBuiltin="1"/>
    <cellStyle name="Linked Cell 2" xfId="94" xr:uid="{00000000-0005-0000-0000-00005D000000}"/>
    <cellStyle name="LockedCellRight" xfId="95" xr:uid="{00000000-0005-0000-0000-00005E000000}"/>
    <cellStyle name="Neutral" xfId="96" builtinId="28" customBuiltin="1"/>
    <cellStyle name="Neutral 2" xfId="97" xr:uid="{00000000-0005-0000-0000-000060000000}"/>
    <cellStyle name="Normal" xfId="0" builtinId="0"/>
    <cellStyle name="Normal 10" xfId="98" xr:uid="{00000000-0005-0000-0000-000062000000}"/>
    <cellStyle name="Normal 11" xfId="99" xr:uid="{00000000-0005-0000-0000-000063000000}"/>
    <cellStyle name="Normal 12" xfId="100" xr:uid="{00000000-0005-0000-0000-000064000000}"/>
    <cellStyle name="Normal 13" xfId="101" xr:uid="{00000000-0005-0000-0000-000065000000}"/>
    <cellStyle name="Normal 14" xfId="102" xr:uid="{00000000-0005-0000-0000-000066000000}"/>
    <cellStyle name="Normal 15" xfId="143" xr:uid="{0B574D31-BF59-4347-9D64-7A587BE9C084}"/>
    <cellStyle name="Normal 16" xfId="144" xr:uid="{1FFF620E-11BB-46AE-97AE-4566E8D8643F}"/>
    <cellStyle name="Normal 2" xfId="103" xr:uid="{00000000-0005-0000-0000-000067000000}"/>
    <cellStyle name="Normal 2 2" xfId="104" xr:uid="{00000000-0005-0000-0000-000068000000}"/>
    <cellStyle name="Normal 2 3" xfId="105" xr:uid="{00000000-0005-0000-0000-000069000000}"/>
    <cellStyle name="Normal 3" xfId="106" xr:uid="{00000000-0005-0000-0000-00006A000000}"/>
    <cellStyle name="Normal 3 2" xfId="107" xr:uid="{00000000-0005-0000-0000-00006B000000}"/>
    <cellStyle name="Normal 4" xfId="108" xr:uid="{00000000-0005-0000-0000-00006C000000}"/>
    <cellStyle name="Normal 4 2" xfId="109" xr:uid="{00000000-0005-0000-0000-00006D000000}"/>
    <cellStyle name="Normal 5" xfId="110" xr:uid="{00000000-0005-0000-0000-00006E000000}"/>
    <cellStyle name="Normal 5 2" xfId="111" xr:uid="{00000000-0005-0000-0000-00006F000000}"/>
    <cellStyle name="Normal 5 2 2" xfId="112" xr:uid="{00000000-0005-0000-0000-000070000000}"/>
    <cellStyle name="Normal 6" xfId="113" xr:uid="{00000000-0005-0000-0000-000071000000}"/>
    <cellStyle name="Normal 6 2" xfId="114" xr:uid="{00000000-0005-0000-0000-000072000000}"/>
    <cellStyle name="Normal 6 2 2" xfId="115" xr:uid="{00000000-0005-0000-0000-000073000000}"/>
    <cellStyle name="Normal 7" xfId="116" xr:uid="{00000000-0005-0000-0000-000074000000}"/>
    <cellStyle name="Normal 8" xfId="117" xr:uid="{00000000-0005-0000-0000-000075000000}"/>
    <cellStyle name="Normal 9" xfId="118" xr:uid="{00000000-0005-0000-0000-000076000000}"/>
    <cellStyle name="Normal_09mc-102 - Gresham RV Ctr, Gresham, Jan-09" xfId="119" xr:uid="{00000000-0005-0000-0000-000079000000}"/>
    <cellStyle name="Normal_98MC-120 - DeMarini Warehouse, Hillsboro, Apr-98.xlw" xfId="120" xr:uid="{00000000-0005-0000-0000-00007A000000}"/>
    <cellStyle name="Normal_INCOME" xfId="145" xr:uid="{F6E013D0-AC60-412A-B428-7DCE189D4A44}"/>
    <cellStyle name="Normal_Income Approach" xfId="121" xr:uid="{00000000-0005-0000-0000-00007D000000}"/>
    <cellStyle name="Note" xfId="122" builtinId="10" customBuiltin="1"/>
    <cellStyle name="Note 2" xfId="123" xr:uid="{00000000-0005-0000-0000-000082000000}"/>
    <cellStyle name="Output" xfId="124" builtinId="21" customBuiltin="1"/>
    <cellStyle name="Output 2" xfId="125" xr:uid="{00000000-0005-0000-0000-000084000000}"/>
    <cellStyle name="Percent" xfId="126" builtinId="5"/>
    <cellStyle name="Percent 2" xfId="127" xr:uid="{00000000-0005-0000-0000-000086000000}"/>
    <cellStyle name="Percent 2 2" xfId="128" xr:uid="{00000000-0005-0000-0000-000087000000}"/>
    <cellStyle name="Percent 2 2 2" xfId="129" xr:uid="{00000000-0005-0000-0000-000088000000}"/>
    <cellStyle name="Percent 2 3" xfId="130" xr:uid="{00000000-0005-0000-0000-000089000000}"/>
    <cellStyle name="Percent 3" xfId="131" xr:uid="{00000000-0005-0000-0000-00008A000000}"/>
    <cellStyle name="Percent 3 2" xfId="132" xr:uid="{00000000-0005-0000-0000-00008B000000}"/>
    <cellStyle name="Percent 4" xfId="133" xr:uid="{00000000-0005-0000-0000-00008C000000}"/>
    <cellStyle name="Percent 5" xfId="134" xr:uid="{00000000-0005-0000-0000-00008D000000}"/>
    <cellStyle name="Spreadsheet" xfId="135" xr:uid="{00000000-0005-0000-0000-00008E000000}"/>
    <cellStyle name="Title" xfId="136" builtinId="15" customBuiltin="1"/>
    <cellStyle name="Title 2" xfId="137" xr:uid="{00000000-0005-0000-0000-000090000000}"/>
    <cellStyle name="Total" xfId="138" builtinId="25" customBuiltin="1"/>
    <cellStyle name="Total 2" xfId="139" xr:uid="{00000000-0005-0000-0000-000092000000}"/>
    <cellStyle name="Total Bold" xfId="140" xr:uid="{00000000-0005-0000-0000-000093000000}"/>
    <cellStyle name="Warning Text" xfId="141" builtinId="11" customBuiltin="1"/>
    <cellStyle name="Warning Text 2" xfId="142" xr:uid="{00000000-0005-0000-0000-000095000000}"/>
  </cellStyles>
  <dxfs count="0"/>
  <tableStyles count="0" defaultTableStyle="TableStyleMedium2" defaultPivotStyle="PivotStyleLight16"/>
  <colors>
    <mruColors>
      <color rgb="FF1E4959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3"/>
  <sheetViews>
    <sheetView showGridLines="0" tabSelected="1" zoomScale="90" zoomScaleNormal="90" workbookViewId="0">
      <selection activeCell="F4" sqref="F4"/>
    </sheetView>
  </sheetViews>
  <sheetFormatPr defaultColWidth="9.109375" defaultRowHeight="13.8"/>
  <cols>
    <col min="1" max="1" width="4.5546875" style="2" customWidth="1"/>
    <col min="2" max="2" width="11.33203125" style="2" customWidth="1"/>
    <col min="3" max="3" width="11.88671875" style="2" customWidth="1"/>
    <col min="4" max="4" width="21.88671875" style="2" customWidth="1"/>
    <col min="5" max="5" width="2" style="2" customWidth="1"/>
    <col min="6" max="6" width="24.109375" style="2" customWidth="1"/>
    <col min="7" max="7" width="6.88671875" style="2" customWidth="1"/>
    <col min="8" max="8" width="23.109375" style="2" customWidth="1"/>
    <col min="9" max="9" width="24.44140625" style="2" customWidth="1"/>
    <col min="10" max="10" width="2.88671875" style="2" customWidth="1"/>
    <col min="11" max="11" width="13.33203125" style="3" customWidth="1"/>
    <col min="12" max="12" width="7.109375" style="3" customWidth="1"/>
    <col min="13" max="13" width="12.109375" style="3" customWidth="1"/>
    <col min="14" max="14" width="17.44140625" style="3" customWidth="1"/>
    <col min="15" max="16384" width="9.109375" style="3"/>
  </cols>
  <sheetData>
    <row r="1" spans="1:13" ht="18">
      <c r="A1" s="282" t="s">
        <v>3</v>
      </c>
      <c r="B1" s="284"/>
      <c r="C1" s="284"/>
      <c r="D1" s="284"/>
      <c r="E1" s="284"/>
      <c r="F1" s="284"/>
      <c r="G1" s="284"/>
      <c r="H1" s="284"/>
      <c r="I1" s="284"/>
    </row>
    <row r="2" spans="1:13" ht="18">
      <c r="A2" s="282" t="s">
        <v>134</v>
      </c>
      <c r="B2" s="283"/>
      <c r="C2" s="283"/>
      <c r="D2" s="283"/>
      <c r="E2" s="283"/>
      <c r="F2" s="283"/>
      <c r="G2" s="283"/>
      <c r="H2" s="283"/>
      <c r="I2" s="283"/>
    </row>
    <row r="3" spans="1:13" ht="8.25" customHeight="1" thickBot="1">
      <c r="A3" s="4"/>
      <c r="B3" s="5"/>
      <c r="C3" s="5"/>
      <c r="D3" s="5"/>
      <c r="E3" s="5"/>
      <c r="F3" s="5"/>
      <c r="G3" s="5"/>
      <c r="H3" s="5"/>
      <c r="I3" s="5"/>
    </row>
    <row r="4" spans="1:13" ht="16.5" customHeight="1" thickBot="1">
      <c r="A4" s="6" t="s">
        <v>4</v>
      </c>
      <c r="B4" s="7"/>
      <c r="C4" s="7"/>
      <c r="D4" s="7"/>
      <c r="E4" s="7"/>
      <c r="F4" s="7"/>
      <c r="G4" s="7"/>
      <c r="H4" s="7"/>
      <c r="I4" s="8"/>
    </row>
    <row r="5" spans="1:13">
      <c r="A5" s="9"/>
      <c r="B5" s="263" t="s">
        <v>137</v>
      </c>
      <c r="C5" s="10"/>
      <c r="D5" s="128"/>
      <c r="E5" s="3"/>
      <c r="F5" s="264" t="s">
        <v>72</v>
      </c>
      <c r="G5" s="265"/>
      <c r="H5" s="266" t="s">
        <v>73</v>
      </c>
      <c r="I5" s="266" t="s">
        <v>79</v>
      </c>
    </row>
    <row r="6" spans="1:13" ht="14.4" thickBot="1">
      <c r="A6" s="9"/>
      <c r="B6" s="263" t="s">
        <v>5</v>
      </c>
      <c r="C6" s="10"/>
      <c r="D6" s="12"/>
      <c r="E6" s="3"/>
      <c r="F6" s="267" t="s">
        <v>77</v>
      </c>
      <c r="G6" s="268"/>
      <c r="H6" s="269" t="s">
        <v>57</v>
      </c>
      <c r="I6" s="269" t="s">
        <v>57</v>
      </c>
    </row>
    <row r="7" spans="1:13">
      <c r="A7" s="9"/>
      <c r="B7" s="263" t="s">
        <v>6</v>
      </c>
      <c r="C7" s="10"/>
      <c r="D7" s="12"/>
      <c r="E7" s="3"/>
      <c r="F7" s="267" t="s">
        <v>82</v>
      </c>
      <c r="G7" s="268"/>
      <c r="H7" s="267" t="s">
        <v>82</v>
      </c>
      <c r="I7" s="270" t="s">
        <v>82</v>
      </c>
      <c r="K7" s="256"/>
    </row>
    <row r="8" spans="1:13">
      <c r="A8" s="9"/>
      <c r="B8" s="263" t="s">
        <v>104</v>
      </c>
      <c r="C8" s="10"/>
      <c r="D8" s="12"/>
      <c r="E8" s="3"/>
      <c r="F8" s="267" t="s">
        <v>2</v>
      </c>
      <c r="G8" s="268"/>
      <c r="H8" s="267" t="s">
        <v>2</v>
      </c>
      <c r="I8" s="270" t="s">
        <v>2</v>
      </c>
      <c r="K8" s="257" t="s">
        <v>132</v>
      </c>
    </row>
    <row r="9" spans="1:13">
      <c r="A9" s="9"/>
      <c r="B9" s="263" t="s">
        <v>7</v>
      </c>
      <c r="C9" s="10"/>
      <c r="D9" s="12"/>
      <c r="E9" s="3"/>
      <c r="F9" s="291" t="s">
        <v>138</v>
      </c>
      <c r="G9" s="3"/>
      <c r="H9" s="292" t="s">
        <v>139</v>
      </c>
      <c r="I9" s="292" t="s">
        <v>139</v>
      </c>
      <c r="K9" s="258"/>
      <c r="M9" s="163"/>
    </row>
    <row r="10" spans="1:13">
      <c r="A10" s="9"/>
      <c r="B10" s="263" t="s">
        <v>102</v>
      </c>
      <c r="C10" s="10"/>
      <c r="D10" s="129"/>
      <c r="E10" s="3"/>
      <c r="F10" s="271">
        <v>7141</v>
      </c>
      <c r="G10" s="268"/>
      <c r="H10" s="272">
        <v>8801</v>
      </c>
      <c r="I10" s="272">
        <v>26033</v>
      </c>
      <c r="K10" s="259">
        <f>SUM(F10:I10)</f>
        <v>41975</v>
      </c>
      <c r="M10" s="165"/>
    </row>
    <row r="11" spans="1:13">
      <c r="A11" s="9"/>
      <c r="B11" s="263" t="s">
        <v>103</v>
      </c>
      <c r="C11" s="10"/>
      <c r="D11" s="129"/>
      <c r="E11" s="3"/>
      <c r="F11" s="273">
        <v>5875</v>
      </c>
      <c r="G11" s="274"/>
      <c r="H11" s="273">
        <v>8801</v>
      </c>
      <c r="I11" s="275">
        <v>22972</v>
      </c>
      <c r="K11" s="257" t="s">
        <v>133</v>
      </c>
      <c r="M11" s="165"/>
    </row>
    <row r="12" spans="1:13">
      <c r="A12" s="9"/>
      <c r="B12" s="263" t="s">
        <v>105</v>
      </c>
      <c r="C12" s="10"/>
      <c r="D12" s="129"/>
      <c r="E12" s="3"/>
      <c r="F12" s="271">
        <f>F10-F11</f>
        <v>1266</v>
      </c>
      <c r="G12" s="268"/>
      <c r="H12" s="271">
        <f>H10-H11</f>
        <v>0</v>
      </c>
      <c r="I12" s="272">
        <f>I10-I11</f>
        <v>3061</v>
      </c>
      <c r="K12" s="259">
        <f>SUM(F11:I11)</f>
        <v>37648</v>
      </c>
      <c r="M12" s="165"/>
    </row>
    <row r="13" spans="1:13">
      <c r="A13" s="9"/>
      <c r="B13" s="263" t="s">
        <v>106</v>
      </c>
      <c r="C13" s="10"/>
      <c r="D13" s="12"/>
      <c r="E13" s="3"/>
      <c r="F13" s="267" t="s">
        <v>127</v>
      </c>
      <c r="G13" s="268"/>
      <c r="H13" s="270" t="s">
        <v>127</v>
      </c>
      <c r="I13" s="270" t="s">
        <v>128</v>
      </c>
      <c r="M13" s="165"/>
    </row>
    <row r="14" spans="1:13">
      <c r="A14" s="9"/>
      <c r="B14" s="263" t="s">
        <v>9</v>
      </c>
      <c r="C14" s="10"/>
      <c r="D14" s="12"/>
      <c r="E14" s="3"/>
      <c r="F14" s="267" t="s">
        <v>136</v>
      </c>
      <c r="G14" s="268"/>
      <c r="H14" s="267" t="s">
        <v>136</v>
      </c>
      <c r="I14" s="270" t="s">
        <v>136</v>
      </c>
    </row>
    <row r="15" spans="1:13" ht="3" customHeight="1" thickBot="1">
      <c r="A15" s="9"/>
      <c r="B15" s="3"/>
      <c r="C15" s="10"/>
      <c r="D15" s="212"/>
      <c r="E15" s="63"/>
      <c r="F15" s="130"/>
      <c r="G15" s="13"/>
      <c r="H15" s="244"/>
      <c r="I15" s="11"/>
    </row>
    <row r="16" spans="1:13" ht="15.75" customHeight="1" thickBot="1">
      <c r="A16" s="6" t="s">
        <v>66</v>
      </c>
      <c r="B16" s="14"/>
      <c r="C16" s="14"/>
      <c r="D16" s="15"/>
      <c r="E16" s="15"/>
      <c r="F16" s="15"/>
      <c r="G16" s="15"/>
      <c r="H16" s="15"/>
      <c r="I16" s="16"/>
    </row>
    <row r="17" spans="1:14" ht="18" customHeight="1">
      <c r="A17" s="17" t="s">
        <v>74</v>
      </c>
      <c r="B17" s="18"/>
      <c r="C17" s="18"/>
      <c r="D17" s="19"/>
      <c r="E17" s="19"/>
      <c r="F17" s="19"/>
      <c r="G17" s="19"/>
      <c r="H17" s="19"/>
      <c r="I17" s="20"/>
    </row>
    <row r="18" spans="1:14">
      <c r="A18" s="21"/>
      <c r="B18" s="22" t="s">
        <v>10</v>
      </c>
      <c r="C18" s="23"/>
      <c r="D18" s="24"/>
      <c r="E18" s="24"/>
      <c r="F18" s="24"/>
      <c r="G18" s="24"/>
      <c r="H18" s="25">
        <v>134</v>
      </c>
      <c r="I18" s="26"/>
    </row>
    <row r="19" spans="1:14">
      <c r="A19" s="21"/>
      <c r="B19" s="22" t="s">
        <v>109</v>
      </c>
      <c r="C19" s="23"/>
      <c r="D19" s="24"/>
      <c r="E19" s="24"/>
      <c r="F19" s="213">
        <f>F12</f>
        <v>1266</v>
      </c>
      <c r="G19" s="24">
        <f>(30.25+54)/2</f>
        <v>42.125</v>
      </c>
      <c r="H19" s="25">
        <f>((G19)*F19)/F11</f>
        <v>9.0774893617021277</v>
      </c>
      <c r="I19" s="26"/>
    </row>
    <row r="20" spans="1:14">
      <c r="A20" s="21"/>
      <c r="B20" s="22" t="s">
        <v>110</v>
      </c>
      <c r="C20" s="23"/>
      <c r="D20" s="24"/>
      <c r="E20" s="24"/>
      <c r="F20" s="213">
        <v>0</v>
      </c>
      <c r="G20" s="24">
        <f>(30.25+54)/2</f>
        <v>42.125</v>
      </c>
      <c r="H20" s="25">
        <f>((G20)*F20)/F11</f>
        <v>0</v>
      </c>
      <c r="I20" s="26"/>
    </row>
    <row r="21" spans="1:14">
      <c r="A21" s="21"/>
      <c r="B21" s="22" t="s">
        <v>111</v>
      </c>
      <c r="C21" s="23"/>
      <c r="D21" s="24"/>
      <c r="E21" s="24"/>
      <c r="F21" s="213">
        <v>0</v>
      </c>
      <c r="G21" s="24">
        <f>(30.25+54)/2</f>
        <v>42.125</v>
      </c>
      <c r="H21" s="25">
        <f>((G21)*F21)/F11</f>
        <v>0</v>
      </c>
      <c r="I21" s="26"/>
    </row>
    <row r="22" spans="1:14">
      <c r="A22" s="21"/>
      <c r="B22" s="22" t="s">
        <v>112</v>
      </c>
      <c r="C22" s="23"/>
      <c r="D22" s="24"/>
      <c r="E22" s="24"/>
      <c r="F22" s="24"/>
      <c r="G22" s="24"/>
      <c r="H22" s="276">
        <v>0</v>
      </c>
      <c r="I22" s="26"/>
    </row>
    <row r="23" spans="1:14">
      <c r="A23" s="21"/>
      <c r="B23" s="22" t="s">
        <v>60</v>
      </c>
      <c r="C23" s="23"/>
      <c r="D23" s="24"/>
      <c r="E23" s="24"/>
      <c r="F23" s="24"/>
      <c r="G23" s="24"/>
      <c r="H23" s="279">
        <f>SUM(H18:H22)</f>
        <v>143.07748936170213</v>
      </c>
      <c r="I23" s="26"/>
    </row>
    <row r="24" spans="1:14">
      <c r="A24" s="9"/>
      <c r="B24" s="3" t="s">
        <v>62</v>
      </c>
      <c r="C24" s="23"/>
      <c r="D24" s="24"/>
      <c r="E24" s="24"/>
      <c r="F24" s="24"/>
      <c r="G24" s="24"/>
      <c r="H24" s="278">
        <f>F11</f>
        <v>5875</v>
      </c>
      <c r="I24" s="26"/>
    </row>
    <row r="25" spans="1:14" ht="14.4" thickBot="1">
      <c r="A25" s="9"/>
      <c r="B25" s="3" t="s">
        <v>12</v>
      </c>
      <c r="C25" s="23"/>
      <c r="D25" s="24"/>
      <c r="E25" s="24"/>
      <c r="F25" s="24"/>
      <c r="G25" s="24"/>
      <c r="H25" s="280"/>
      <c r="I25" s="28">
        <f>+H24*H23</f>
        <v>840580.25</v>
      </c>
    </row>
    <row r="26" spans="1:14" ht="14.4">
      <c r="A26" s="9"/>
      <c r="B26" s="3" t="s">
        <v>117</v>
      </c>
      <c r="C26" s="23"/>
      <c r="D26" s="24"/>
      <c r="E26" s="24"/>
      <c r="F26" s="24"/>
      <c r="G26" s="24"/>
      <c r="H26" s="3"/>
      <c r="I26" s="29">
        <v>1</v>
      </c>
      <c r="K26" s="159"/>
      <c r="L26" s="160"/>
      <c r="M26" s="260" t="s">
        <v>97</v>
      </c>
      <c r="N26" s="161"/>
    </row>
    <row r="27" spans="1:14">
      <c r="A27" s="9"/>
      <c r="B27" s="3" t="s">
        <v>118</v>
      </c>
      <c r="C27" s="23"/>
      <c r="D27" s="24"/>
      <c r="E27" s="24"/>
      <c r="F27" s="24"/>
      <c r="G27" s="24"/>
      <c r="H27" s="3"/>
      <c r="I27" s="30">
        <v>1</v>
      </c>
      <c r="K27" s="166" t="s">
        <v>28</v>
      </c>
      <c r="L27" s="167"/>
      <c r="M27" s="167" t="s">
        <v>39</v>
      </c>
      <c r="N27" s="168" t="s">
        <v>98</v>
      </c>
    </row>
    <row r="28" spans="1:14">
      <c r="A28" s="9"/>
      <c r="B28" s="3" t="s">
        <v>13</v>
      </c>
      <c r="C28" s="31"/>
      <c r="D28" s="32"/>
      <c r="E28" s="32"/>
      <c r="F28" s="32"/>
      <c r="G28" s="32"/>
      <c r="H28" s="3"/>
      <c r="I28" s="29">
        <v>1</v>
      </c>
      <c r="K28" s="162"/>
      <c r="L28" s="163"/>
      <c r="M28" s="163"/>
      <c r="N28" s="164"/>
    </row>
    <row r="29" spans="1:14">
      <c r="A29" s="9"/>
      <c r="B29" s="3" t="s">
        <v>14</v>
      </c>
      <c r="C29" s="31"/>
      <c r="D29" s="32"/>
      <c r="E29" s="32"/>
      <c r="F29" s="32"/>
      <c r="G29" s="32"/>
      <c r="H29" s="3"/>
      <c r="I29" s="33">
        <v>1</v>
      </c>
      <c r="K29" s="162"/>
      <c r="L29" s="163"/>
      <c r="M29" s="163"/>
      <c r="N29" s="164"/>
    </row>
    <row r="30" spans="1:14">
      <c r="A30" s="34"/>
      <c r="B30" s="35" t="s">
        <v>61</v>
      </c>
      <c r="C30" s="36"/>
      <c r="D30" s="37"/>
      <c r="E30" s="37"/>
      <c r="F30" s="37"/>
      <c r="G30" s="38"/>
      <c r="H30" s="39">
        <f>I30/$F$10</f>
        <v>117.63058395182748</v>
      </c>
      <c r="I30" s="40">
        <f>MROUND(I25*I26*I27*I28*I29,5000)</f>
        <v>840000</v>
      </c>
      <c r="K30" s="169">
        <f>I30/$I$60</f>
        <v>0.25531914893617019</v>
      </c>
      <c r="L30" s="170"/>
      <c r="M30" s="171">
        <f>K30*$I$72</f>
        <v>35234.042553191488</v>
      </c>
      <c r="N30" s="172">
        <f>ROUND(M30+I30,-3)</f>
        <v>875000</v>
      </c>
    </row>
    <row r="31" spans="1:14" ht="18" customHeight="1">
      <c r="A31" s="17" t="s">
        <v>80</v>
      </c>
      <c r="B31" s="18"/>
      <c r="C31" s="18"/>
      <c r="D31" s="19"/>
      <c r="E31" s="19"/>
      <c r="F31" s="19"/>
      <c r="G31" s="19"/>
      <c r="H31" s="19"/>
      <c r="I31" s="43"/>
      <c r="K31" s="173"/>
      <c r="L31" s="174"/>
      <c r="M31" s="174"/>
      <c r="N31" s="175"/>
    </row>
    <row r="32" spans="1:14">
      <c r="A32" s="21"/>
      <c r="B32" s="22" t="s">
        <v>10</v>
      </c>
      <c r="C32" s="23"/>
      <c r="D32" s="24"/>
      <c r="E32" s="24"/>
      <c r="F32" s="24"/>
      <c r="G32" s="24"/>
      <c r="H32" s="25">
        <v>79.5</v>
      </c>
      <c r="I32" s="43"/>
      <c r="K32" s="173"/>
      <c r="L32" s="174"/>
      <c r="M32" s="174"/>
      <c r="N32" s="175"/>
    </row>
    <row r="33" spans="1:14">
      <c r="A33" s="21"/>
      <c r="B33" s="22" t="s">
        <v>119</v>
      </c>
      <c r="C33" s="23"/>
      <c r="D33" s="24"/>
      <c r="E33" s="24"/>
      <c r="F33" s="24"/>
      <c r="G33" s="24"/>
      <c r="H33" s="25" t="s">
        <v>78</v>
      </c>
      <c r="I33" s="43"/>
      <c r="K33" s="173"/>
      <c r="L33" s="174"/>
      <c r="M33" s="174"/>
      <c r="N33" s="175"/>
    </row>
    <row r="34" spans="1:14">
      <c r="A34" s="21"/>
      <c r="B34" s="22" t="s">
        <v>113</v>
      </c>
      <c r="C34" s="23"/>
      <c r="D34" s="24"/>
      <c r="E34" s="24"/>
      <c r="F34" s="213">
        <f>'Misc. Sheet'!N16</f>
        <v>431</v>
      </c>
      <c r="G34" s="24">
        <v>32.25</v>
      </c>
      <c r="H34" s="25">
        <f>(G34*F34)/'MVS Insurable RCN'!H11</f>
        <v>1.579337575275537</v>
      </c>
      <c r="I34" s="43"/>
      <c r="K34" s="173"/>
      <c r="L34" s="174"/>
      <c r="M34" s="174"/>
      <c r="N34" s="175"/>
    </row>
    <row r="35" spans="1:14">
      <c r="A35" s="21"/>
      <c r="B35" s="22" t="s">
        <v>114</v>
      </c>
      <c r="C35" s="23"/>
      <c r="D35" s="24"/>
      <c r="E35" s="24"/>
      <c r="F35" s="213">
        <v>827</v>
      </c>
      <c r="G35" s="24">
        <v>21.75</v>
      </c>
      <c r="H35" s="25">
        <f>(G35*F35)/H11</f>
        <v>2.0437734348369503</v>
      </c>
      <c r="I35" s="43"/>
      <c r="K35" s="173"/>
      <c r="L35" s="174"/>
      <c r="M35" s="174"/>
      <c r="N35" s="175"/>
    </row>
    <row r="36" spans="1:14">
      <c r="A36" s="21"/>
      <c r="B36" s="22" t="s">
        <v>115</v>
      </c>
      <c r="C36" s="23"/>
      <c r="D36" s="24"/>
      <c r="E36" s="24"/>
      <c r="F36" s="213">
        <v>400</v>
      </c>
      <c r="G36" s="24">
        <v>15</v>
      </c>
      <c r="H36" s="25">
        <f>(G36*F36)/H11</f>
        <v>0.68174071128280878</v>
      </c>
      <c r="I36" s="43"/>
      <c r="K36" s="173"/>
      <c r="L36" s="174"/>
      <c r="M36" s="174"/>
      <c r="N36" s="175"/>
    </row>
    <row r="37" spans="1:14">
      <c r="A37" s="21"/>
      <c r="B37" s="22" t="s">
        <v>116</v>
      </c>
      <c r="C37" s="23"/>
      <c r="D37" s="24"/>
      <c r="E37" s="24"/>
      <c r="F37" s="213">
        <v>161</v>
      </c>
      <c r="G37" s="24">
        <v>25.5</v>
      </c>
      <c r="H37" s="281">
        <f>(G37*F37)/H11</f>
        <v>0.46648108169526192</v>
      </c>
      <c r="I37" s="43"/>
      <c r="K37" s="173"/>
      <c r="L37" s="174"/>
      <c r="M37" s="174"/>
      <c r="N37" s="175"/>
    </row>
    <row r="38" spans="1:14">
      <c r="A38" s="21"/>
      <c r="B38" s="22" t="s">
        <v>11</v>
      </c>
      <c r="C38" s="23"/>
      <c r="D38" s="24"/>
      <c r="E38" s="24"/>
      <c r="F38" s="24"/>
      <c r="G38" s="24"/>
      <c r="H38" s="279">
        <f>SUM(H32:H37)</f>
        <v>84.271332803090559</v>
      </c>
      <c r="I38" s="43"/>
      <c r="K38" s="173"/>
      <c r="L38" s="174"/>
      <c r="M38" s="174"/>
      <c r="N38" s="175"/>
    </row>
    <row r="39" spans="1:14">
      <c r="A39" s="9"/>
      <c r="B39" s="3" t="s">
        <v>62</v>
      </c>
      <c r="C39" s="23"/>
      <c r="D39" s="24"/>
      <c r="E39" s="24"/>
      <c r="F39" s="24"/>
      <c r="G39" s="24"/>
      <c r="H39" s="278">
        <f>H11</f>
        <v>8801</v>
      </c>
      <c r="I39" s="43"/>
      <c r="K39" s="173"/>
      <c r="L39" s="174"/>
      <c r="M39" s="174"/>
      <c r="N39" s="175"/>
    </row>
    <row r="40" spans="1:14">
      <c r="A40" s="9"/>
      <c r="B40" s="22" t="s">
        <v>76</v>
      </c>
      <c r="C40" s="23"/>
      <c r="D40" s="24"/>
      <c r="E40" s="24"/>
      <c r="F40" s="24"/>
      <c r="G40" s="24"/>
      <c r="H40" s="280"/>
      <c r="I40" s="44">
        <f>+H39*H38</f>
        <v>741672</v>
      </c>
      <c r="K40" s="173"/>
      <c r="L40" s="174"/>
      <c r="M40" s="174"/>
      <c r="N40" s="175"/>
    </row>
    <row r="41" spans="1:14">
      <c r="A41" s="9"/>
      <c r="B41" s="3" t="s">
        <v>117</v>
      </c>
      <c r="C41" s="23"/>
      <c r="D41" s="24"/>
      <c r="E41" s="24"/>
      <c r="F41" s="24"/>
      <c r="G41" s="24"/>
      <c r="H41" s="3"/>
      <c r="I41" s="29">
        <v>1</v>
      </c>
      <c r="K41" s="173"/>
      <c r="L41" s="174"/>
      <c r="M41" s="174"/>
      <c r="N41" s="175"/>
    </row>
    <row r="42" spans="1:14">
      <c r="A42" s="9"/>
      <c r="B42" s="3" t="s">
        <v>118</v>
      </c>
      <c r="C42" s="23"/>
      <c r="D42" s="24"/>
      <c r="E42" s="24"/>
      <c r="F42" s="24"/>
      <c r="G42" s="24"/>
      <c r="H42" s="3"/>
      <c r="I42" s="30">
        <v>1</v>
      </c>
      <c r="J42" s="45"/>
      <c r="K42" s="173"/>
      <c r="L42" s="174"/>
      <c r="M42" s="174"/>
      <c r="N42" s="175"/>
    </row>
    <row r="43" spans="1:14">
      <c r="A43" s="9"/>
      <c r="B43" s="3" t="s">
        <v>13</v>
      </c>
      <c r="C43" s="31"/>
      <c r="D43" s="32"/>
      <c r="E43" s="32"/>
      <c r="F43" s="32"/>
      <c r="G43" s="32"/>
      <c r="H43" s="3"/>
      <c r="I43" s="29">
        <v>1</v>
      </c>
      <c r="K43" s="173"/>
      <c r="L43" s="174"/>
      <c r="M43" s="174"/>
      <c r="N43" s="175"/>
    </row>
    <row r="44" spans="1:14">
      <c r="A44" s="9"/>
      <c r="B44" s="3" t="s">
        <v>14</v>
      </c>
      <c r="C44" s="31"/>
      <c r="D44" s="32"/>
      <c r="E44" s="32"/>
      <c r="F44" s="32"/>
      <c r="G44" s="32"/>
      <c r="H44" s="3"/>
      <c r="I44" s="33">
        <v>1</v>
      </c>
      <c r="K44" s="173"/>
      <c r="L44" s="174"/>
      <c r="M44" s="174"/>
      <c r="N44" s="175"/>
    </row>
    <row r="45" spans="1:14">
      <c r="A45" s="34"/>
      <c r="B45" s="35" t="s">
        <v>61</v>
      </c>
      <c r="C45" s="36"/>
      <c r="D45" s="37"/>
      <c r="E45" s="37"/>
      <c r="F45" s="37"/>
      <c r="G45" s="38"/>
      <c r="H45" s="39">
        <f>I45/$H$10</f>
        <v>84.081354391546412</v>
      </c>
      <c r="I45" s="40">
        <f>MROUND(I40*I41*I42*I43*I44,5000)</f>
        <v>740000</v>
      </c>
      <c r="K45" s="169">
        <f>I45/$I$60</f>
        <v>0.22492401215805471</v>
      </c>
      <c r="L45" s="170"/>
      <c r="M45" s="171">
        <f>K45*$I$72</f>
        <v>31039.513677811552</v>
      </c>
      <c r="N45" s="172">
        <f>ROUND(M45+I45,-3)</f>
        <v>771000</v>
      </c>
    </row>
    <row r="46" spans="1:14" ht="18" customHeight="1">
      <c r="A46" s="17" t="s">
        <v>83</v>
      </c>
      <c r="B46" s="18"/>
      <c r="C46" s="18"/>
      <c r="D46" s="19"/>
      <c r="E46" s="19"/>
      <c r="F46" s="19"/>
      <c r="G46" s="19"/>
      <c r="H46" s="19"/>
      <c r="I46" s="43"/>
      <c r="K46" s="173"/>
      <c r="L46" s="174"/>
      <c r="M46" s="174"/>
      <c r="N46" s="175"/>
    </row>
    <row r="47" spans="1:14">
      <c r="A47" s="21"/>
      <c r="B47" s="22" t="s">
        <v>107</v>
      </c>
      <c r="C47" s="23"/>
      <c r="D47" s="24"/>
      <c r="E47" s="24"/>
      <c r="F47" s="24"/>
      <c r="G47" s="24"/>
      <c r="H47" s="27">
        <v>66</v>
      </c>
      <c r="I47" s="43"/>
      <c r="K47" s="173"/>
      <c r="L47" s="174"/>
      <c r="M47" s="174"/>
      <c r="N47" s="175"/>
    </row>
    <row r="48" spans="1:14">
      <c r="A48" s="21"/>
      <c r="B48" s="22" t="s">
        <v>119</v>
      </c>
      <c r="C48" s="23"/>
      <c r="D48" s="24"/>
      <c r="E48" s="24"/>
      <c r="F48" s="24"/>
      <c r="G48" s="24"/>
      <c r="H48" s="27" t="s">
        <v>78</v>
      </c>
      <c r="I48" s="43"/>
      <c r="K48" s="173"/>
      <c r="L48" s="174"/>
      <c r="M48" s="174"/>
      <c r="N48" s="175"/>
    </row>
    <row r="49" spans="1:14">
      <c r="A49" s="21"/>
      <c r="B49" s="22" t="s">
        <v>120</v>
      </c>
      <c r="C49" s="23"/>
      <c r="D49" s="24"/>
      <c r="E49" s="24"/>
      <c r="F49" s="213">
        <f>'Misc. Sheet'!N22</f>
        <v>3898</v>
      </c>
      <c r="G49" s="24">
        <v>32.25</v>
      </c>
      <c r="H49" s="27">
        <f>(32.25*F49)/I11</f>
        <v>5.4723358871669863</v>
      </c>
      <c r="I49" s="43"/>
      <c r="K49" s="173"/>
      <c r="L49" s="174"/>
      <c r="M49" s="174"/>
      <c r="N49" s="175"/>
    </row>
    <row r="50" spans="1:14">
      <c r="A50" s="21"/>
      <c r="B50" s="22" t="s">
        <v>121</v>
      </c>
      <c r="C50" s="23"/>
      <c r="D50" s="24"/>
      <c r="E50" s="24"/>
      <c r="F50" s="213">
        <f>I12</f>
        <v>3061</v>
      </c>
      <c r="G50" s="24">
        <f>(32+57.5)/2</f>
        <v>44.75</v>
      </c>
      <c r="H50" s="277">
        <f>((G50)/2*F50)/I11</f>
        <v>2.9814502437750305</v>
      </c>
      <c r="I50" s="43"/>
      <c r="K50" s="173"/>
      <c r="L50" s="174"/>
      <c r="M50" s="174"/>
      <c r="N50" s="175"/>
    </row>
    <row r="51" spans="1:14">
      <c r="A51" s="21"/>
      <c r="B51" s="22" t="s">
        <v>11</v>
      </c>
      <c r="C51" s="23"/>
      <c r="D51" s="24"/>
      <c r="E51" s="24"/>
      <c r="F51" s="24"/>
      <c r="G51" s="24"/>
      <c r="H51" s="279">
        <f>SUM(H47:H50)</f>
        <v>74.453786130942021</v>
      </c>
      <c r="I51" s="43"/>
      <c r="K51" s="173"/>
      <c r="L51" s="174"/>
      <c r="M51" s="174"/>
      <c r="N51" s="175"/>
    </row>
    <row r="52" spans="1:14">
      <c r="A52" s="9"/>
      <c r="B52" s="3" t="s">
        <v>108</v>
      </c>
      <c r="C52" s="23"/>
      <c r="D52" s="24"/>
      <c r="E52" s="24"/>
      <c r="F52" s="24"/>
      <c r="G52" s="24"/>
      <c r="H52" s="278">
        <f>I11</f>
        <v>22972</v>
      </c>
      <c r="I52" s="43"/>
      <c r="K52" s="173"/>
      <c r="L52" s="174"/>
      <c r="M52" s="174"/>
      <c r="N52" s="175"/>
    </row>
    <row r="53" spans="1:14">
      <c r="A53" s="9"/>
      <c r="B53" s="22" t="s">
        <v>75</v>
      </c>
      <c r="C53" s="23"/>
      <c r="D53" s="24"/>
      <c r="E53" s="24"/>
      <c r="F53" s="24"/>
      <c r="G53" s="24"/>
      <c r="H53" s="280"/>
      <c r="I53" s="44">
        <f>+H52*H51</f>
        <v>1710352.375</v>
      </c>
      <c r="K53" s="173"/>
      <c r="L53" s="174"/>
      <c r="M53" s="174"/>
      <c r="N53" s="175"/>
    </row>
    <row r="54" spans="1:14">
      <c r="A54" s="9"/>
      <c r="B54" s="3" t="s">
        <v>117</v>
      </c>
      <c r="C54" s="23"/>
      <c r="D54" s="24"/>
      <c r="E54" s="24"/>
      <c r="F54" s="24"/>
      <c r="G54" s="24"/>
      <c r="H54" s="3"/>
      <c r="I54" s="29">
        <v>1</v>
      </c>
      <c r="K54" s="173"/>
      <c r="L54" s="174"/>
      <c r="M54" s="174"/>
      <c r="N54" s="175"/>
    </row>
    <row r="55" spans="1:14">
      <c r="A55" s="9"/>
      <c r="B55" s="3" t="s">
        <v>118</v>
      </c>
      <c r="C55" s="23"/>
      <c r="D55" s="24"/>
      <c r="E55" s="24"/>
      <c r="F55" s="24"/>
      <c r="G55" s="24"/>
      <c r="H55" s="3"/>
      <c r="I55" s="30">
        <v>1</v>
      </c>
      <c r="K55" s="173"/>
      <c r="L55" s="174"/>
      <c r="M55" s="174"/>
      <c r="N55" s="175"/>
    </row>
    <row r="56" spans="1:14">
      <c r="A56" s="9"/>
      <c r="B56" s="3" t="s">
        <v>13</v>
      </c>
      <c r="C56" s="31"/>
      <c r="D56" s="32"/>
      <c r="E56" s="32"/>
      <c r="F56" s="32"/>
      <c r="G56" s="32"/>
      <c r="H56" s="3"/>
      <c r="I56" s="29">
        <v>1</v>
      </c>
      <c r="K56" s="173"/>
      <c r="L56" s="174"/>
      <c r="M56" s="174"/>
      <c r="N56" s="175"/>
    </row>
    <row r="57" spans="1:14">
      <c r="A57" s="9"/>
      <c r="B57" s="3" t="s">
        <v>14</v>
      </c>
      <c r="C57" s="31"/>
      <c r="D57" s="32"/>
      <c r="E57" s="32"/>
      <c r="F57" s="32"/>
      <c r="G57" s="32"/>
      <c r="H57" s="3"/>
      <c r="I57" s="33">
        <v>1</v>
      </c>
      <c r="K57" s="173"/>
      <c r="L57" s="174"/>
      <c r="M57" s="174"/>
      <c r="N57" s="175"/>
    </row>
    <row r="58" spans="1:14">
      <c r="A58" s="34"/>
      <c r="B58" s="35" t="s">
        <v>61</v>
      </c>
      <c r="C58" s="36"/>
      <c r="D58" s="37"/>
      <c r="E58" s="37"/>
      <c r="F58" s="37"/>
      <c r="G58" s="38"/>
      <c r="H58" s="39">
        <f>I58/$H$10</f>
        <v>194.29610271560051</v>
      </c>
      <c r="I58" s="40">
        <f>MROUND(I53*I54*I55*I56*I57,5000)</f>
        <v>1710000</v>
      </c>
      <c r="K58" s="169">
        <f>I58/$I$60</f>
        <v>0.51975683890577506</v>
      </c>
      <c r="L58" s="170"/>
      <c r="M58" s="171">
        <f>K58*$I$72</f>
        <v>71726.443768996964</v>
      </c>
      <c r="N58" s="172">
        <f>ROUND(M58+I58,-3)</f>
        <v>1782000</v>
      </c>
    </row>
    <row r="59" spans="1:14">
      <c r="A59" s="9"/>
      <c r="B59" s="46"/>
      <c r="C59" s="23"/>
      <c r="D59" s="24"/>
      <c r="E59" s="24"/>
      <c r="F59" s="24"/>
      <c r="G59" s="24"/>
      <c r="H59" s="27"/>
      <c r="I59" s="47"/>
      <c r="K59" s="173"/>
      <c r="L59" s="174"/>
      <c r="M59" s="174"/>
      <c r="N59" s="175"/>
    </row>
    <row r="60" spans="1:14" ht="14.4" thickBot="1">
      <c r="A60" s="21" t="s">
        <v>34</v>
      </c>
      <c r="B60" s="3"/>
      <c r="C60" s="23"/>
      <c r="D60" s="48">
        <f>+K10</f>
        <v>41975</v>
      </c>
      <c r="E60" s="49" t="s">
        <v>47</v>
      </c>
      <c r="F60" s="24"/>
      <c r="G60" s="24"/>
      <c r="H60" s="39">
        <f>I60/K10</f>
        <v>78.379988088147712</v>
      </c>
      <c r="I60" s="47">
        <f>SUM(I30,I45,I58)</f>
        <v>3290000</v>
      </c>
      <c r="K60" s="176"/>
      <c r="L60" s="52"/>
      <c r="M60" s="52"/>
      <c r="N60" s="177"/>
    </row>
    <row r="61" spans="1:14" ht="6" hidden="1" customHeight="1" thickBot="1">
      <c r="A61" s="50"/>
      <c r="B61" s="51"/>
      <c r="C61" s="51"/>
      <c r="D61" s="52"/>
      <c r="E61" s="52"/>
      <c r="F61" s="52"/>
      <c r="G61" s="52"/>
      <c r="H61" s="52"/>
      <c r="I61" s="53"/>
      <c r="K61" s="176"/>
      <c r="L61" s="52"/>
      <c r="M61" s="52"/>
      <c r="N61" s="177"/>
    </row>
    <row r="62" spans="1:14" ht="16.5" hidden="1" customHeight="1" thickBot="1">
      <c r="A62" s="54" t="s">
        <v>15</v>
      </c>
      <c r="B62" s="55"/>
      <c r="C62" s="55"/>
      <c r="D62" s="56"/>
      <c r="E62" s="56"/>
      <c r="F62" s="56"/>
      <c r="G62" s="56"/>
      <c r="H62" s="56"/>
      <c r="I62" s="57"/>
    </row>
    <row r="63" spans="1:14" ht="20.399999999999999" hidden="1" customHeight="1">
      <c r="A63" s="58"/>
      <c r="B63" s="3" t="s">
        <v>16</v>
      </c>
      <c r="C63" s="59"/>
      <c r="D63" s="60"/>
      <c r="E63" s="61"/>
      <c r="F63" s="61"/>
      <c r="G63" s="61"/>
      <c r="H63" s="42"/>
      <c r="I63" s="28">
        <f>SUM(H62:H62)</f>
        <v>0</v>
      </c>
    </row>
    <row r="64" spans="1:14" ht="7.5" hidden="1" customHeight="1" thickBot="1">
      <c r="A64" s="62"/>
      <c r="B64" s="13"/>
      <c r="C64" s="13"/>
      <c r="D64" s="13"/>
      <c r="E64" s="13"/>
      <c r="F64" s="13"/>
      <c r="G64" s="13"/>
      <c r="H64" s="13"/>
      <c r="I64" s="63"/>
    </row>
    <row r="65" spans="1:14" ht="16.5" hidden="1" customHeight="1" thickBot="1">
      <c r="A65" s="54" t="s">
        <v>17</v>
      </c>
      <c r="B65" s="55"/>
      <c r="C65" s="55"/>
      <c r="D65" s="56"/>
      <c r="E65" s="56"/>
      <c r="F65" s="56"/>
      <c r="G65" s="56"/>
      <c r="H65" s="56"/>
      <c r="I65" s="57"/>
    </row>
    <row r="66" spans="1:14" ht="19.8" hidden="1" customHeight="1">
      <c r="A66" s="58"/>
      <c r="B66" s="3" t="s">
        <v>38</v>
      </c>
      <c r="C66" s="158">
        <f>'Misc. Sheet'!N37</f>
        <v>0</v>
      </c>
      <c r="D66" s="64">
        <v>8</v>
      </c>
      <c r="I66" s="47">
        <f>MROUND(C66*D66,1000)</f>
        <v>0</v>
      </c>
    </row>
    <row r="67" spans="1:14" ht="7.5" hidden="1" customHeight="1" thickBot="1">
      <c r="A67" s="62"/>
      <c r="B67" s="13"/>
      <c r="C67" s="13"/>
      <c r="D67" s="65"/>
      <c r="E67" s="13"/>
      <c r="F67" s="13"/>
      <c r="G67" s="13"/>
      <c r="H67" s="13"/>
      <c r="I67" s="63"/>
    </row>
    <row r="68" spans="1:14" ht="16.5" hidden="1" customHeight="1" thickBot="1">
      <c r="A68" s="6" t="s">
        <v>18</v>
      </c>
      <c r="B68" s="7"/>
      <c r="C68" s="7"/>
      <c r="D68" s="7"/>
      <c r="E68" s="7"/>
      <c r="F68" s="7"/>
      <c r="G68" s="7"/>
      <c r="H68" s="7"/>
      <c r="I68" s="8"/>
    </row>
    <row r="69" spans="1:14" ht="19.2" hidden="1" customHeight="1">
      <c r="A69" s="58"/>
      <c r="B69" s="3" t="s">
        <v>19</v>
      </c>
      <c r="C69" s="3"/>
      <c r="D69" s="3"/>
      <c r="E69" s="3"/>
      <c r="F69" s="3"/>
      <c r="G69" s="3"/>
      <c r="H69" s="66">
        <v>75000</v>
      </c>
      <c r="I69" s="67"/>
    </row>
    <row r="70" spans="1:14" hidden="1">
      <c r="A70" s="58"/>
      <c r="B70" s="3" t="s">
        <v>20</v>
      </c>
      <c r="C70" s="3"/>
      <c r="D70" s="3"/>
      <c r="E70" s="3"/>
      <c r="F70" s="3"/>
      <c r="G70" s="3"/>
      <c r="H70" s="66">
        <f>ROUND('Misc. Sheet'!G13,-3)</f>
        <v>40000</v>
      </c>
      <c r="I70" s="67"/>
    </row>
    <row r="71" spans="1:14" hidden="1">
      <c r="A71" s="9"/>
      <c r="B71" s="3" t="s">
        <v>54</v>
      </c>
      <c r="C71" s="3"/>
      <c r="D71" s="3"/>
      <c r="E71" s="3"/>
      <c r="F71" s="3"/>
      <c r="G71" s="3"/>
      <c r="H71" s="68">
        <f>ROUND(SUM(H69:H70)*0.2,-3)</f>
        <v>23000</v>
      </c>
      <c r="I71" s="69"/>
    </row>
    <row r="72" spans="1:14" hidden="1">
      <c r="A72" s="9"/>
      <c r="B72" s="3" t="s">
        <v>21</v>
      </c>
      <c r="H72" s="3"/>
      <c r="I72" s="47">
        <f>SUM(H69:H71)</f>
        <v>138000</v>
      </c>
    </row>
    <row r="73" spans="1:14" ht="4.5" hidden="1" customHeight="1" thickBot="1">
      <c r="A73" s="50"/>
      <c r="B73" s="13"/>
      <c r="C73" s="70"/>
      <c r="D73" s="70"/>
      <c r="E73" s="70"/>
      <c r="F73" s="70"/>
      <c r="G73" s="70"/>
      <c r="H73" s="13"/>
      <c r="I73" s="71"/>
    </row>
    <row r="74" spans="1:14" ht="16.2" hidden="1" thickBot="1">
      <c r="A74" s="54" t="s">
        <v>22</v>
      </c>
      <c r="B74" s="72"/>
      <c r="C74" s="73"/>
      <c r="D74" s="72"/>
      <c r="E74" s="72"/>
      <c r="F74" s="72"/>
      <c r="G74" s="72"/>
      <c r="H74" s="73"/>
      <c r="I74" s="74"/>
    </row>
    <row r="75" spans="1:14" hidden="1">
      <c r="A75" s="58"/>
      <c r="B75" s="3" t="s">
        <v>23</v>
      </c>
      <c r="C75" s="75"/>
      <c r="D75" s="66"/>
      <c r="E75" s="66"/>
      <c r="F75" s="66"/>
      <c r="G75" s="66"/>
      <c r="H75" s="3"/>
      <c r="I75" s="76">
        <f>I60</f>
        <v>3290000</v>
      </c>
    </row>
    <row r="76" spans="1:14" hidden="1">
      <c r="A76" s="58"/>
      <c r="B76" s="3" t="s">
        <v>24</v>
      </c>
      <c r="C76" s="75"/>
      <c r="D76" s="66"/>
      <c r="E76" s="66"/>
      <c r="F76" s="66"/>
      <c r="G76" s="66"/>
      <c r="H76" s="3"/>
      <c r="I76" s="76">
        <f>I63</f>
        <v>0</v>
      </c>
    </row>
    <row r="77" spans="1:14" hidden="1">
      <c r="A77" s="58"/>
      <c r="B77" s="3" t="str">
        <f>+A65</f>
        <v>SITE IMPROVEMENTS:</v>
      </c>
      <c r="C77" s="75"/>
      <c r="D77" s="66"/>
      <c r="E77" s="66"/>
      <c r="F77" s="66"/>
      <c r="G77" s="66"/>
      <c r="H77" s="3"/>
      <c r="I77" s="76">
        <f>I66</f>
        <v>0</v>
      </c>
      <c r="N77" s="42"/>
    </row>
    <row r="78" spans="1:14" hidden="1">
      <c r="A78" s="58"/>
      <c r="B78" s="3" t="str">
        <f>+A68</f>
        <v>ADDITIONAL SOFT COSTS:</v>
      </c>
      <c r="C78" s="75"/>
      <c r="D78" s="77"/>
      <c r="E78" s="77"/>
      <c r="F78" s="77"/>
      <c r="G78" s="77"/>
      <c r="H78" s="3"/>
      <c r="I78" s="76">
        <f>I72</f>
        <v>138000</v>
      </c>
    </row>
    <row r="79" spans="1:14" ht="6.75" hidden="1" customHeight="1" thickBot="1">
      <c r="A79" s="58"/>
      <c r="B79" s="3"/>
      <c r="C79" s="75"/>
      <c r="D79" s="77"/>
      <c r="E79" s="77"/>
      <c r="F79" s="77"/>
      <c r="G79" s="77"/>
      <c r="H79" s="3"/>
      <c r="I79" s="76"/>
    </row>
    <row r="80" spans="1:14" ht="21.75" customHeight="1" thickTop="1">
      <c r="A80" s="261"/>
      <c r="B80" s="262" t="s">
        <v>135</v>
      </c>
      <c r="C80" s="78"/>
      <c r="D80" s="79"/>
      <c r="E80" s="79"/>
      <c r="F80" s="79"/>
      <c r="G80" s="79"/>
      <c r="H80" s="80" t="s">
        <v>25</v>
      </c>
      <c r="I80" s="81">
        <f>SUM(I75:I79)</f>
        <v>3428000</v>
      </c>
      <c r="N80" s="42"/>
    </row>
    <row r="81" spans="1:10" ht="14.4" thickBot="1">
      <c r="A81" s="82"/>
      <c r="B81" s="83"/>
      <c r="C81" s="83"/>
      <c r="D81" s="84"/>
      <c r="E81" s="84"/>
      <c r="F81" s="84"/>
      <c r="G81" s="84"/>
      <c r="H81" s="85" t="s">
        <v>26</v>
      </c>
      <c r="I81" s="86">
        <f>I80/K10</f>
        <v>81.667659321024416</v>
      </c>
    </row>
    <row r="82" spans="1:10" ht="5.25" customHeight="1" thickTop="1">
      <c r="H82" s="2" t="s">
        <v>27</v>
      </c>
    </row>
    <row r="83" spans="1:10">
      <c r="A83" s="3"/>
      <c r="B83" s="3"/>
      <c r="C83" s="3"/>
      <c r="D83" s="3"/>
      <c r="E83" s="3"/>
      <c r="F83" s="3"/>
      <c r="G83" s="3"/>
      <c r="H83" s="3"/>
      <c r="I83" s="1"/>
      <c r="J83" s="3"/>
    </row>
  </sheetData>
  <mergeCells count="2">
    <mergeCell ref="A2:I2"/>
    <mergeCell ref="A1:I1"/>
  </mergeCells>
  <dataValidations count="11">
    <dataValidation type="list" allowBlank="1" showInputMessage="1" sqref="H7:I7 F7" xr:uid="{39EB17E2-2838-4AE3-A89F-C2888E6A3A32}">
      <formula1>"""A"", ""B"", ""C"", ""D"", ""S"""</formula1>
    </dataValidation>
    <dataValidation type="list" allowBlank="1" showInputMessage="1" showErrorMessage="1" sqref="A2:I2" xr:uid="{2989DCE7-5492-48D4-8A22-52010F602400}">
      <formula1>"Insurable Replacement Cost New, Insurable Value"</formula1>
    </dataValidation>
    <dataValidation type="list" allowBlank="1" showInputMessage="1" showErrorMessage="1" sqref="B80" xr:uid="{D8EAB23B-521E-47AF-92DB-6AAFC51EDEDB}">
      <formula1>"MVS INSURABLE REPLACEMENT COST NEW, MVS INSURABLE VALUE"</formula1>
    </dataValidation>
    <dataValidation type="list" allowBlank="1" showInputMessage="1" sqref="H6:I6" xr:uid="{BA0A4679-3EED-40CA-8565-F58184EC59D7}">
      <formula1>"Auto Service Centers (455), Svc. (Repair) Garages (528)"</formula1>
    </dataValidation>
    <dataValidation type="list" allowBlank="1" showInputMessage="1" sqref="H14:I14" xr:uid="{79FE24FC-CB42-46DE-B2B6-1B0DC1C3AE07}">
      <formula1>"Sec. 14, P. 31 (2/20), Sec. 14, P. 32 (2/20)"</formula1>
    </dataValidation>
    <dataValidation type="list" allowBlank="1" showInputMessage="1" sqref="F14" xr:uid="{FBFAA9A8-83D9-4506-85E2-A07C9A4FA90F}">
      <formula1>"Sec. 14, P. 30 (2/20), Sec. 14, P. 31 (2/20)"</formula1>
    </dataValidation>
    <dataValidation type="list" allowBlank="1" showInputMessage="1" sqref="F6" xr:uid="{D92AA29D-B56D-4B69-8643-B7E20D81C048}">
      <formula1>"Showrooms (303), Complete Auto Dealerships (455)"</formula1>
    </dataValidation>
    <dataValidation allowBlank="1" showInputMessage="1" sqref="H13:I13 F13" xr:uid="{2E91BA43-1858-4184-A161-095887AD0063}"/>
    <dataValidation type="list" allowBlank="1" showInputMessage="1" sqref="H8:I8 F8" xr:uid="{81D300E1-E448-433B-8F49-D3730479D58B}">
      <formula1>"Low Cost, Average, Good, Excellent"</formula1>
    </dataValidation>
    <dataValidation type="list" allowBlank="1" showInputMessage="1" sqref="F9" xr:uid="{23E77795-13B4-4FB5-B434-5CF07F70C9AF}">
      <formula1>"Wood, Wood/ Brick, Wood / Stone, Wood / EIFS, Steel-Frame / Metal Clad, Steel / Composite / Glass, CTU / Glass, CMU / EIFS / Glass"</formula1>
    </dataValidation>
    <dataValidation type="list" allowBlank="1" showInputMessage="1" sqref="H9:I9" xr:uid="{54B08DD8-94A3-4D52-91AD-BE8503784BA3}">
      <formula1>"Wood, Wood/ Brick, Wood / Stone, Wood / EIFS, Steel-Frame / Metal Clad, Steel / Glass, CTU / Glass, CMU, CMU / EIFS / Glass"</formula1>
    </dataValidation>
  </dataValidations>
  <printOptions horizontalCentered="1" verticalCentered="1"/>
  <pageMargins left="0.25" right="0.25" top="0" bottom="0" header="0.26" footer="0.27"/>
  <pageSetup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56"/>
  <sheetViews>
    <sheetView showGridLines="0" zoomScale="103" zoomScaleNormal="110" workbookViewId="0">
      <selection activeCell="B5" sqref="B5"/>
    </sheetView>
  </sheetViews>
  <sheetFormatPr defaultColWidth="6.88671875" defaultRowHeight="13.8"/>
  <cols>
    <col min="1" max="1" width="2.88671875" style="87" customWidth="1"/>
    <col min="2" max="2" width="13.109375" style="87" customWidth="1"/>
    <col min="3" max="3" width="30" style="87" customWidth="1"/>
    <col min="4" max="4" width="14.44140625" style="87" customWidth="1"/>
    <col min="5" max="5" width="14.5546875" style="87" customWidth="1"/>
    <col min="6" max="6" width="13.44140625" style="87" customWidth="1"/>
    <col min="7" max="8" width="13.5546875" style="87" customWidth="1"/>
    <col min="9" max="10" width="2.44140625" style="87" customWidth="1"/>
    <col min="11" max="11" width="19.88671875" style="87" customWidth="1"/>
    <col min="12" max="12" width="9.21875" style="95" customWidth="1"/>
    <col min="13" max="13" width="2" style="87" customWidth="1"/>
    <col min="14" max="14" width="11.44140625" style="87" customWidth="1"/>
    <col min="15" max="15" width="8.109375" style="87" customWidth="1"/>
    <col min="16" max="16" width="13.5546875" style="87" hidden="1" customWidth="1"/>
    <col min="17" max="16384" width="6.88671875" style="87"/>
  </cols>
  <sheetData>
    <row r="2" spans="2:15">
      <c r="B2" s="147"/>
      <c r="C2" s="147"/>
      <c r="D2" s="147"/>
      <c r="E2" s="147"/>
      <c r="F2" s="147"/>
      <c r="G2" s="147" t="s">
        <v>84</v>
      </c>
    </row>
    <row r="3" spans="2:15">
      <c r="B3" s="147" t="s">
        <v>93</v>
      </c>
      <c r="C3" s="147"/>
      <c r="D3" s="147"/>
      <c r="E3" s="147"/>
      <c r="F3" s="147" t="s">
        <v>32</v>
      </c>
      <c r="G3" s="208" t="s">
        <v>129</v>
      </c>
      <c r="I3" s="210"/>
      <c r="J3" s="209"/>
      <c r="K3" s="150"/>
      <c r="L3" s="147"/>
      <c r="M3" s="150"/>
      <c r="N3" s="147" t="s">
        <v>36</v>
      </c>
      <c r="O3" s="150"/>
    </row>
    <row r="4" spans="2:15">
      <c r="B4" s="147" t="s">
        <v>94</v>
      </c>
      <c r="C4" s="208" t="s">
        <v>0</v>
      </c>
      <c r="D4" s="148" t="s">
        <v>53</v>
      </c>
      <c r="E4" s="148" t="s">
        <v>31</v>
      </c>
      <c r="F4" s="148" t="s">
        <v>1</v>
      </c>
      <c r="G4" s="148" t="s">
        <v>130</v>
      </c>
      <c r="I4" s="211"/>
      <c r="J4" s="209"/>
      <c r="K4" s="152" t="s">
        <v>124</v>
      </c>
      <c r="L4" s="151" t="s">
        <v>8</v>
      </c>
      <c r="M4" s="150"/>
      <c r="N4" s="147" t="s">
        <v>37</v>
      </c>
      <c r="O4" s="147" t="s">
        <v>28</v>
      </c>
    </row>
    <row r="5" spans="2:15">
      <c r="B5" s="251"/>
      <c r="C5" s="249">
        <v>2000000</v>
      </c>
      <c r="D5" s="249">
        <v>3000000</v>
      </c>
      <c r="E5" s="249">
        <f>SUM(C5:D5)</f>
        <v>5000000</v>
      </c>
      <c r="F5" s="250">
        <v>100000</v>
      </c>
      <c r="I5" s="211"/>
      <c r="J5" s="209"/>
      <c r="K5" s="192" t="s">
        <v>63</v>
      </c>
      <c r="L5" s="186"/>
      <c r="M5" s="187"/>
      <c r="N5" s="149"/>
      <c r="O5" s="201"/>
    </row>
    <row r="6" spans="2:15">
      <c r="B6" s="252"/>
      <c r="C6" s="254"/>
      <c r="D6" s="254"/>
      <c r="E6" s="249">
        <f t="shared" ref="E6:E12" si="0">SUM(C6:D6)</f>
        <v>0</v>
      </c>
      <c r="F6" s="255"/>
      <c r="I6" s="92"/>
      <c r="J6" s="155"/>
      <c r="K6" s="185" t="s">
        <v>58</v>
      </c>
      <c r="L6" s="186">
        <v>5875</v>
      </c>
      <c r="M6" s="187"/>
      <c r="N6" s="149">
        <f>L6</f>
        <v>5875</v>
      </c>
      <c r="O6" s="201"/>
    </row>
    <row r="7" spans="2:15">
      <c r="B7" s="252"/>
      <c r="C7" s="249"/>
      <c r="D7" s="249"/>
      <c r="E7" s="249">
        <f t="shared" si="0"/>
        <v>0</v>
      </c>
      <c r="F7" s="250"/>
      <c r="I7" s="92"/>
      <c r="J7" s="93"/>
      <c r="K7" s="185" t="s">
        <v>59</v>
      </c>
      <c r="L7" s="186">
        <v>1266</v>
      </c>
      <c r="M7" s="187"/>
      <c r="N7" s="149">
        <f>L7</f>
        <v>1266</v>
      </c>
      <c r="O7" s="202">
        <f>L7-N7</f>
        <v>0</v>
      </c>
    </row>
    <row r="8" spans="2:15">
      <c r="B8" s="252"/>
      <c r="C8" s="249"/>
      <c r="D8" s="249"/>
      <c r="E8" s="249">
        <f t="shared" si="0"/>
        <v>0</v>
      </c>
      <c r="F8" s="250"/>
      <c r="I8" s="92"/>
      <c r="J8" s="93"/>
      <c r="K8" s="185"/>
      <c r="L8" s="186"/>
      <c r="M8" s="187"/>
      <c r="N8" s="149"/>
      <c r="O8" s="201"/>
    </row>
    <row r="9" spans="2:15">
      <c r="B9" s="252"/>
      <c r="C9" s="249"/>
      <c r="D9" s="249"/>
      <c r="E9" s="249">
        <f t="shared" si="0"/>
        <v>0</v>
      </c>
      <c r="F9" s="250"/>
      <c r="I9" s="92"/>
      <c r="J9" s="93"/>
      <c r="K9" s="188"/>
      <c r="L9" s="189"/>
      <c r="M9" s="188"/>
      <c r="N9" s="190"/>
      <c r="O9" s="201"/>
    </row>
    <row r="10" spans="2:15">
      <c r="B10" s="252"/>
      <c r="C10" s="249"/>
      <c r="D10" s="249"/>
      <c r="E10" s="249">
        <f t="shared" si="0"/>
        <v>0</v>
      </c>
      <c r="F10" s="250"/>
      <c r="I10" s="92"/>
      <c r="K10" s="185" t="s">
        <v>71</v>
      </c>
      <c r="L10" s="191">
        <f>SUM(L6:L9)</f>
        <v>7141</v>
      </c>
      <c r="M10" s="187"/>
      <c r="N10" s="149">
        <f>SUM(N6:N9)</f>
        <v>7141</v>
      </c>
      <c r="O10" s="201">
        <f>N10/L10</f>
        <v>1</v>
      </c>
    </row>
    <row r="11" spans="2:15">
      <c r="B11" s="252"/>
      <c r="C11" s="249"/>
      <c r="D11" s="249"/>
      <c r="E11" s="249">
        <f t="shared" si="0"/>
        <v>0</v>
      </c>
      <c r="F11" s="250"/>
      <c r="I11" s="92"/>
      <c r="K11" s="187"/>
      <c r="L11" s="191"/>
      <c r="M11" s="187"/>
      <c r="N11" s="149"/>
      <c r="O11" s="201"/>
    </row>
    <row r="12" spans="2:15">
      <c r="B12" s="253"/>
      <c r="C12" s="249"/>
      <c r="D12" s="249"/>
      <c r="E12" s="249">
        <f t="shared" si="0"/>
        <v>0</v>
      </c>
      <c r="F12" s="250"/>
      <c r="I12" s="92"/>
      <c r="K12" s="192" t="s">
        <v>64</v>
      </c>
      <c r="L12" s="193"/>
      <c r="M12" s="187"/>
      <c r="N12" s="149"/>
      <c r="O12" s="201"/>
    </row>
    <row r="13" spans="2:15">
      <c r="B13" s="245" t="s">
        <v>35</v>
      </c>
      <c r="C13" s="97">
        <f>SUM(C5:C12)</f>
        <v>2000000</v>
      </c>
      <c r="D13" s="97">
        <f>SUM(D5:D12)</f>
        <v>3000000</v>
      </c>
      <c r="E13" s="97">
        <f>SUM(E5:E12)</f>
        <v>5000000</v>
      </c>
      <c r="F13" s="98">
        <f>SUM(F5:F12)</f>
        <v>100000</v>
      </c>
      <c r="G13" s="246">
        <f>ROUND(C13/E13*F13,-2)</f>
        <v>40000</v>
      </c>
      <c r="I13" s="235"/>
      <c r="K13" s="185" t="s">
        <v>68</v>
      </c>
      <c r="L13" s="186">
        <v>8640</v>
      </c>
      <c r="M13" s="187"/>
      <c r="N13" s="149">
        <v>431</v>
      </c>
      <c r="O13" s="201"/>
    </row>
    <row r="14" spans="2:15" ht="19.2" customHeight="1" thickBot="1">
      <c r="K14" s="185" t="s">
        <v>70</v>
      </c>
      <c r="L14" s="186">
        <v>161</v>
      </c>
      <c r="M14" s="187"/>
      <c r="N14" s="194"/>
      <c r="O14" s="201"/>
    </row>
    <row r="15" spans="2:15">
      <c r="C15" s="89"/>
      <c r="D15" s="247" t="e">
        <f>C13/N37</f>
        <v>#DIV/0!</v>
      </c>
      <c r="I15" s="157"/>
      <c r="K15" s="195"/>
      <c r="L15" s="196"/>
      <c r="M15" s="188"/>
      <c r="N15" s="190"/>
      <c r="O15" s="201"/>
    </row>
    <row r="16" spans="2:15" ht="14.4" thickBot="1">
      <c r="D16" s="248" t="s">
        <v>91</v>
      </c>
      <c r="K16" s="185" t="s">
        <v>71</v>
      </c>
      <c r="L16" s="186">
        <f>SUM(L13:L15)</f>
        <v>8801</v>
      </c>
      <c r="M16" s="187"/>
      <c r="N16" s="149">
        <f>SUM(N13:N15)</f>
        <v>431</v>
      </c>
      <c r="O16" s="201">
        <f>N16/L16</f>
        <v>4.8971707760481764E-2</v>
      </c>
    </row>
    <row r="17" spans="3:16">
      <c r="K17" s="187"/>
      <c r="L17" s="191"/>
      <c r="M17" s="187"/>
      <c r="N17" s="149"/>
      <c r="O17" s="201"/>
    </row>
    <row r="18" spans="3:16">
      <c r="K18" s="192" t="s">
        <v>65</v>
      </c>
      <c r="L18" s="193"/>
      <c r="M18" s="187"/>
      <c r="N18" s="149"/>
      <c r="O18" s="201"/>
    </row>
    <row r="19" spans="3:16">
      <c r="K19" s="185" t="s">
        <v>69</v>
      </c>
      <c r="L19" s="186">
        <v>22972</v>
      </c>
      <c r="M19" s="187"/>
      <c r="N19" s="149">
        <f>1450+1327+941+180</f>
        <v>3898</v>
      </c>
      <c r="O19" s="201"/>
    </row>
    <row r="20" spans="3:16">
      <c r="C20" s="131"/>
      <c r="D20" s="132" t="s">
        <v>43</v>
      </c>
      <c r="E20" s="132"/>
      <c r="F20" s="133" t="s">
        <v>31</v>
      </c>
      <c r="K20" s="197" t="s">
        <v>101</v>
      </c>
      <c r="L20" s="198">
        <v>3061</v>
      </c>
      <c r="M20" s="187"/>
      <c r="N20" s="149"/>
      <c r="O20" s="203"/>
    </row>
    <row r="21" spans="3:16" ht="14.4" thickBot="1">
      <c r="C21" s="134" t="s">
        <v>42</v>
      </c>
      <c r="D21" s="135" t="s">
        <v>44</v>
      </c>
      <c r="E21" s="135" t="s">
        <v>33</v>
      </c>
      <c r="F21" s="136" t="s">
        <v>45</v>
      </c>
      <c r="K21" s="195"/>
      <c r="L21" s="196"/>
      <c r="M21" s="188"/>
      <c r="N21" s="190"/>
      <c r="O21" s="204"/>
    </row>
    <row r="22" spans="3:16" ht="14.4" thickTop="1">
      <c r="C22" s="139" t="str">
        <f>'MVS Insurable RCN'!A17</f>
        <v>Bldg. 1 - Showroom / Sales</v>
      </c>
      <c r="D22" s="137" t="s">
        <v>92</v>
      </c>
      <c r="E22" s="140">
        <v>15</v>
      </c>
      <c r="F22" s="141">
        <v>50</v>
      </c>
      <c r="K22" s="185" t="s">
        <v>71</v>
      </c>
      <c r="L22" s="149">
        <f>SUM(L19:L21)</f>
        <v>26033</v>
      </c>
      <c r="M22" s="187"/>
      <c r="N22" s="149">
        <f>SUM(N19:N21)</f>
        <v>3898</v>
      </c>
      <c r="O22" s="201">
        <f>N22/L22</f>
        <v>0.14973303115276765</v>
      </c>
    </row>
    <row r="23" spans="3:16">
      <c r="C23" s="112" t="str">
        <f>'MVS Insurable RCN'!A31</f>
        <v>Bldg. 2 - Auto Body &amp; Detail Shop</v>
      </c>
      <c r="D23" s="138" t="s">
        <v>92</v>
      </c>
      <c r="E23" s="143">
        <v>15</v>
      </c>
      <c r="F23" s="144">
        <v>50</v>
      </c>
      <c r="K23" s="199"/>
      <c r="L23" s="200"/>
      <c r="M23" s="199"/>
      <c r="N23" s="200"/>
      <c r="O23" s="203"/>
    </row>
    <row r="24" spans="3:16" ht="15.6" customHeight="1" thickBot="1">
      <c r="C24" s="112" t="str">
        <f>'MVS Insurable RCN'!A46</f>
        <v>Bldg. 3 - Parts &amp; Service Center</v>
      </c>
      <c r="D24" s="138" t="s">
        <v>92</v>
      </c>
      <c r="E24" s="143">
        <v>15</v>
      </c>
      <c r="F24" s="144">
        <v>50</v>
      </c>
      <c r="K24" s="205" t="s">
        <v>95</v>
      </c>
      <c r="L24" s="206">
        <f>SUM(L10,L16,L22)</f>
        <v>41975</v>
      </c>
      <c r="M24" s="205"/>
      <c r="N24" s="207">
        <f>SUM(N10,N16,N22)</f>
        <v>11470</v>
      </c>
      <c r="O24" s="221">
        <f>N24/L24</f>
        <v>0.27325789160214414</v>
      </c>
    </row>
    <row r="25" spans="3:16" ht="15" thickTop="1" thickBot="1">
      <c r="C25" s="101" t="s">
        <v>40</v>
      </c>
      <c r="D25" s="142" t="s">
        <v>92</v>
      </c>
      <c r="E25" s="102">
        <v>7.5</v>
      </c>
      <c r="F25" s="103">
        <v>20</v>
      </c>
      <c r="K25" s="126"/>
      <c r="L25" s="127"/>
      <c r="M25" s="99"/>
      <c r="N25" s="99"/>
    </row>
    <row r="26" spans="3:16" ht="14.4" thickTop="1">
      <c r="K26" s="126"/>
      <c r="L26" s="127"/>
      <c r="M26" s="99"/>
      <c r="N26" s="100"/>
    </row>
    <row r="27" spans="3:16">
      <c r="L27" s="87"/>
    </row>
    <row r="28" spans="3:16">
      <c r="C28" s="131"/>
      <c r="D28" s="132" t="s">
        <v>84</v>
      </c>
      <c r="E28" s="132" t="s">
        <v>85</v>
      </c>
      <c r="F28" s="133"/>
      <c r="K28" s="152" t="s">
        <v>131</v>
      </c>
      <c r="L28" s="151" t="s">
        <v>96</v>
      </c>
      <c r="M28" s="150"/>
      <c r="N28" s="151" t="s">
        <v>29</v>
      </c>
    </row>
    <row r="29" spans="3:16">
      <c r="C29" s="131"/>
      <c r="D29" s="132" t="s">
        <v>86</v>
      </c>
      <c r="E29" s="132" t="s">
        <v>87</v>
      </c>
      <c r="F29" s="133" t="s">
        <v>31</v>
      </c>
      <c r="K29" s="222">
        <f>B5</f>
        <v>0</v>
      </c>
      <c r="L29" s="223">
        <f>N29/43560</f>
        <v>0</v>
      </c>
      <c r="M29" s="193"/>
      <c r="N29" s="186">
        <f>P5</f>
        <v>0</v>
      </c>
    </row>
    <row r="30" spans="3:16" ht="14.4" thickBot="1">
      <c r="C30" s="134" t="s">
        <v>88</v>
      </c>
      <c r="D30" s="132" t="s">
        <v>89</v>
      </c>
      <c r="E30" s="132" t="s">
        <v>90</v>
      </c>
      <c r="F30" s="133" t="s">
        <v>90</v>
      </c>
      <c r="K30" s="222">
        <f t="shared" ref="K30:K36" si="1">B6</f>
        <v>0</v>
      </c>
      <c r="L30" s="223">
        <f t="shared" ref="L30:L36" si="2">N30/43560</f>
        <v>0</v>
      </c>
      <c r="M30" s="193"/>
      <c r="N30" s="186">
        <f t="shared" ref="N30:N36" si="3">P6</f>
        <v>0</v>
      </c>
      <c r="P30" s="104"/>
    </row>
    <row r="31" spans="3:16" ht="14.4" thickTop="1">
      <c r="C31" s="139" t="str">
        <f>C22</f>
        <v>Bldg. 1 - Showroom / Sales</v>
      </c>
      <c r="D31" s="105">
        <f>'MVS Insurable RCN'!N30</f>
        <v>875000</v>
      </c>
      <c r="E31" s="106">
        <f>E22/F22</f>
        <v>0.3</v>
      </c>
      <c r="F31" s="107">
        <f>ROUND(D31*E31,-3)</f>
        <v>263000</v>
      </c>
      <c r="K31" s="222">
        <f t="shared" si="1"/>
        <v>0</v>
      </c>
      <c r="L31" s="223">
        <f t="shared" si="2"/>
        <v>0</v>
      </c>
      <c r="M31" s="193"/>
      <c r="N31" s="186">
        <f t="shared" si="3"/>
        <v>0</v>
      </c>
      <c r="P31" s="104"/>
    </row>
    <row r="32" spans="3:16" ht="13.8" customHeight="1">
      <c r="C32" s="112" t="str">
        <f>C23</f>
        <v>Bldg. 2 - Auto Body &amp; Detail Shop</v>
      </c>
      <c r="D32" s="108">
        <f>'MVS Insurable RCN'!N45</f>
        <v>771000</v>
      </c>
      <c r="E32" s="109">
        <f>E23/F23</f>
        <v>0.3</v>
      </c>
      <c r="F32" s="97">
        <f>ROUND(D32*E32,-3)</f>
        <v>231000</v>
      </c>
      <c r="K32" s="222">
        <f t="shared" si="1"/>
        <v>0</v>
      </c>
      <c r="L32" s="223">
        <f t="shared" si="2"/>
        <v>0</v>
      </c>
      <c r="M32" s="193"/>
      <c r="N32" s="186">
        <f t="shared" si="3"/>
        <v>0</v>
      </c>
      <c r="O32" s="110"/>
      <c r="P32" s="104"/>
    </row>
    <row r="33" spans="3:15" ht="13.8" customHeight="1">
      <c r="C33" s="112" t="str">
        <f>C24</f>
        <v>Bldg. 3 - Parts &amp; Service Center</v>
      </c>
      <c r="D33" s="108">
        <f>'MVS Insurable RCN'!N58</f>
        <v>1782000</v>
      </c>
      <c r="E33" s="109">
        <f>E24/F24</f>
        <v>0.3</v>
      </c>
      <c r="F33" s="97">
        <f>ROUND(D33*E33,-3)</f>
        <v>535000</v>
      </c>
      <c r="K33" s="222">
        <f t="shared" si="1"/>
        <v>0</v>
      </c>
      <c r="L33" s="223">
        <f t="shared" si="2"/>
        <v>0</v>
      </c>
      <c r="M33" s="193"/>
      <c r="N33" s="186">
        <f t="shared" si="3"/>
        <v>0</v>
      </c>
      <c r="O33" s="110"/>
    </row>
    <row r="34" spans="3:15">
      <c r="C34" s="145" t="s">
        <v>40</v>
      </c>
      <c r="D34" s="108">
        <f>'MVS Insurable RCN'!I66</f>
        <v>0</v>
      </c>
      <c r="E34" s="113">
        <f>E25/F25</f>
        <v>0.375</v>
      </c>
      <c r="F34" s="97">
        <f>ROUND(D34*E34,-3)</f>
        <v>0</v>
      </c>
      <c r="H34" s="87" t="s">
        <v>67</v>
      </c>
      <c r="K34" s="222">
        <f t="shared" si="1"/>
        <v>0</v>
      </c>
      <c r="L34" s="223">
        <f t="shared" si="2"/>
        <v>0</v>
      </c>
      <c r="M34" s="193"/>
      <c r="N34" s="186">
        <f t="shared" si="3"/>
        <v>0</v>
      </c>
      <c r="O34" s="110"/>
    </row>
    <row r="35" spans="3:15" ht="14.4" thickBot="1">
      <c r="C35" s="114" t="s">
        <v>41</v>
      </c>
      <c r="D35" s="115">
        <f>SUM(D31:D34)</f>
        <v>3428000</v>
      </c>
      <c r="E35" s="116">
        <f>F35/D35</f>
        <v>0.30046674445740956</v>
      </c>
      <c r="F35" s="117">
        <f>MROUND(SUM(F31:F34),5000)</f>
        <v>1030000</v>
      </c>
      <c r="K35" s="222">
        <f t="shared" si="1"/>
        <v>0</v>
      </c>
      <c r="L35" s="223">
        <f t="shared" si="2"/>
        <v>0</v>
      </c>
      <c r="M35" s="193"/>
      <c r="N35" s="186">
        <f t="shared" si="3"/>
        <v>0</v>
      </c>
      <c r="O35" s="110"/>
    </row>
    <row r="36" spans="3:15" ht="14.4" thickTop="1">
      <c r="K36" s="222">
        <f t="shared" si="1"/>
        <v>0</v>
      </c>
      <c r="L36" s="223">
        <f t="shared" si="2"/>
        <v>0</v>
      </c>
      <c r="M36" s="193"/>
      <c r="N36" s="186">
        <f t="shared" si="3"/>
        <v>0</v>
      </c>
      <c r="O36" s="110"/>
    </row>
    <row r="37" spans="3:15">
      <c r="C37" s="118"/>
      <c r="D37" s="90"/>
      <c r="E37" s="119"/>
      <c r="F37" s="91"/>
      <c r="K37" s="146" t="s">
        <v>46</v>
      </c>
      <c r="L37" s="242">
        <f>N37/43560</f>
        <v>0</v>
      </c>
      <c r="M37" s="146"/>
      <c r="N37" s="243">
        <f>SUM(N29:N36)</f>
        <v>0</v>
      </c>
      <c r="O37" s="110"/>
    </row>
    <row r="38" spans="3:15">
      <c r="C38" s="118"/>
      <c r="D38" s="90"/>
      <c r="E38" s="119"/>
      <c r="F38" s="91"/>
      <c r="O38" s="110"/>
    </row>
    <row r="39" spans="3:15" ht="14.4" thickBot="1">
      <c r="N39" s="111"/>
      <c r="O39" s="110"/>
    </row>
    <row r="40" spans="3:15" ht="14.4" thickBot="1">
      <c r="C40" s="133"/>
      <c r="D40" s="133"/>
      <c r="E40" s="133"/>
      <c r="F40" s="133"/>
      <c r="H40" s="224" t="s">
        <v>123</v>
      </c>
      <c r="N40" s="154"/>
      <c r="O40" s="153"/>
    </row>
    <row r="41" spans="3:15" ht="14.4" thickBot="1">
      <c r="C41" s="136" t="s">
        <v>48</v>
      </c>
      <c r="D41" s="136" t="s">
        <v>49</v>
      </c>
      <c r="E41" s="136" t="s">
        <v>50</v>
      </c>
      <c r="F41" s="136" t="s">
        <v>51</v>
      </c>
      <c r="H41" s="218" t="s">
        <v>30</v>
      </c>
      <c r="J41" s="225"/>
      <c r="K41" s="226"/>
      <c r="L41" s="226"/>
      <c r="M41" s="227"/>
      <c r="N41" s="155"/>
      <c r="O41" s="156"/>
    </row>
    <row r="42" spans="3:15" ht="24" customHeight="1" thickTop="1">
      <c r="C42" s="120" t="s">
        <v>52</v>
      </c>
      <c r="D42" s="90" t="e">
        <f>#REF!</f>
        <v>#REF!</v>
      </c>
      <c r="E42" s="121">
        <v>0.08</v>
      </c>
      <c r="F42" s="90" t="e">
        <f>D42*E42</f>
        <v>#REF!</v>
      </c>
      <c r="H42" s="219" t="e">
        <f>F42/L24</f>
        <v>#REF!</v>
      </c>
      <c r="I42" s="236"/>
      <c r="J42" s="228"/>
      <c r="K42" s="238" t="s">
        <v>103</v>
      </c>
      <c r="L42" s="239">
        <f>SUM(L6,L13,L14,L19)</f>
        <v>37648</v>
      </c>
      <c r="M42" s="229"/>
      <c r="N42" s="95"/>
    </row>
    <row r="43" spans="3:15" ht="14.4" thickBot="1">
      <c r="C43" s="120" t="s">
        <v>53</v>
      </c>
      <c r="D43" s="90" t="e">
        <f>#REF!</f>
        <v>#REF!</v>
      </c>
      <c r="E43" s="121">
        <v>0.08</v>
      </c>
      <c r="F43" s="90" t="e">
        <f>D43*E43</f>
        <v>#REF!</v>
      </c>
      <c r="H43" s="220" t="e">
        <f>F43/L24</f>
        <v>#REF!</v>
      </c>
      <c r="I43" s="236"/>
      <c r="J43" s="228"/>
      <c r="K43" s="238" t="s">
        <v>125</v>
      </c>
      <c r="L43" s="240">
        <f>$N$37/L24</f>
        <v>0</v>
      </c>
      <c r="M43" s="229"/>
      <c r="N43" s="95"/>
    </row>
    <row r="44" spans="3:15">
      <c r="C44" s="285"/>
      <c r="D44" s="287" t="e">
        <f>ROUND(SUM(D42:D43),-3)</f>
        <v>#REF!</v>
      </c>
      <c r="E44" s="289" t="e">
        <f>F44/D44</f>
        <v>#REF!</v>
      </c>
      <c r="F44" s="122" t="e">
        <f>SUM(F42:F43)</f>
        <v>#REF!</v>
      </c>
      <c r="H44" s="94"/>
      <c r="I44" s="94"/>
      <c r="J44" s="228"/>
      <c r="K44" s="238" t="s">
        <v>126</v>
      </c>
      <c r="L44" s="241" t="e">
        <f>L42/N37</f>
        <v>#DIV/0!</v>
      </c>
      <c r="M44" s="230"/>
    </row>
    <row r="45" spans="3:15" ht="14.4" thickBot="1">
      <c r="C45" s="286"/>
      <c r="D45" s="288"/>
      <c r="E45" s="290"/>
      <c r="F45" s="123" t="e">
        <f>F44/L24</f>
        <v>#REF!</v>
      </c>
      <c r="J45" s="231"/>
      <c r="K45" s="232"/>
      <c r="L45" s="233"/>
      <c r="M45" s="234"/>
    </row>
    <row r="46" spans="3:15" ht="14.4" thickTop="1">
      <c r="H46" s="88"/>
      <c r="I46" s="88"/>
      <c r="L46" s="87"/>
    </row>
    <row r="47" spans="3:15" ht="20.399999999999999" customHeight="1">
      <c r="C47" s="150"/>
      <c r="D47" s="150"/>
      <c r="E47" s="150"/>
      <c r="F47" s="181" t="s">
        <v>99</v>
      </c>
      <c r="G47" s="182"/>
      <c r="H47" s="181" t="s">
        <v>81</v>
      </c>
      <c r="I47" s="208"/>
      <c r="L47" s="87"/>
    </row>
    <row r="48" spans="3:15">
      <c r="C48" s="146" t="s">
        <v>55</v>
      </c>
      <c r="D48" s="150"/>
      <c r="E48" s="150"/>
      <c r="F48" s="178" t="e">
        <f>#REF!</f>
        <v>#REF!</v>
      </c>
      <c r="G48" s="150"/>
      <c r="H48" s="179">
        <v>0.4</v>
      </c>
      <c r="I48" s="179"/>
      <c r="J48" s="88"/>
      <c r="L48" s="87"/>
      <c r="N48" s="124"/>
    </row>
    <row r="49" spans="3:16">
      <c r="C49" s="146"/>
      <c r="D49" s="150"/>
      <c r="E49" s="150"/>
      <c r="F49" s="146"/>
      <c r="G49" s="150"/>
      <c r="H49" s="179"/>
      <c r="I49" s="179"/>
      <c r="L49" s="87"/>
      <c r="N49" s="124"/>
    </row>
    <row r="50" spans="3:16">
      <c r="C50" s="146" t="s">
        <v>56</v>
      </c>
      <c r="D50" s="150"/>
      <c r="E50" s="150"/>
      <c r="F50" s="178" t="e">
        <f>#REF!</f>
        <v>#REF!</v>
      </c>
      <c r="G50" s="150"/>
      <c r="H50" s="179">
        <v>0</v>
      </c>
      <c r="I50" s="179"/>
      <c r="L50" s="87"/>
      <c r="N50" s="124"/>
    </row>
    <row r="51" spans="3:16">
      <c r="C51" s="146"/>
      <c r="D51" s="217" t="s">
        <v>122</v>
      </c>
      <c r="E51" s="150"/>
      <c r="F51" s="146"/>
      <c r="G51" s="150"/>
      <c r="H51" s="179"/>
      <c r="I51" s="179"/>
    </row>
    <row r="52" spans="3:16">
      <c r="C52" s="146" t="s">
        <v>100</v>
      </c>
      <c r="D52" s="216">
        <v>101</v>
      </c>
      <c r="E52" s="180">
        <f>ROUND(D52*L24,-4)</f>
        <v>4240000</v>
      </c>
      <c r="F52" s="146"/>
      <c r="G52" s="150"/>
      <c r="H52" s="179"/>
      <c r="I52" s="179"/>
    </row>
    <row r="53" spans="3:16">
      <c r="C53" s="150"/>
      <c r="D53" s="150"/>
      <c r="E53" s="214" t="e">
        <f>#REF!</f>
        <v>#REF!</v>
      </c>
      <c r="F53" s="183" t="e">
        <f>MROUND(SUM(E52:E53),10000)</f>
        <v>#REF!</v>
      </c>
      <c r="G53" s="215" t="e">
        <f>F53/L24</f>
        <v>#REF!</v>
      </c>
      <c r="H53" s="184">
        <v>0.6</v>
      </c>
      <c r="I53" s="237"/>
      <c r="N53" s="125"/>
      <c r="P53" s="96"/>
    </row>
    <row r="54" spans="3:16">
      <c r="C54" s="150"/>
      <c r="D54" s="150"/>
      <c r="E54" s="150"/>
      <c r="F54" s="150"/>
      <c r="G54" s="150"/>
      <c r="H54" s="179"/>
      <c r="I54" s="179"/>
      <c r="N54" s="125"/>
      <c r="P54" s="96"/>
    </row>
    <row r="55" spans="3:16">
      <c r="C55" s="150"/>
      <c r="D55" s="150"/>
      <c r="E55" s="150"/>
      <c r="F55" s="178" t="e">
        <f>MROUND((F48*H48+F50*H50+F53*H53),50000)</f>
        <v>#REF!</v>
      </c>
      <c r="G55" s="150"/>
      <c r="H55" s="179">
        <f>SUM(H48:H53)</f>
        <v>1</v>
      </c>
      <c r="I55" s="179"/>
    </row>
    <row r="56" spans="3:16">
      <c r="H56" s="41"/>
      <c r="I56" s="41"/>
    </row>
  </sheetData>
  <mergeCells count="3">
    <mergeCell ref="C44:C45"/>
    <mergeCell ref="D44:D45"/>
    <mergeCell ref="E44:E45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E06CCA-3FB3-47C3-A883-BE1C49C3B1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97B8D0-8761-4990-A27E-CEE2A03C87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165FA6-2AAD-4ACF-9C4E-6A52CA36708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MVS Insurable RCN</vt:lpstr>
      <vt:lpstr>Misc.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kmuel</cp:lastModifiedBy>
  <cp:lastPrinted>2019-02-26T22:37:37Z</cp:lastPrinted>
  <dcterms:created xsi:type="dcterms:W3CDTF">2008-08-17T19:33:57Z</dcterms:created>
  <dcterms:modified xsi:type="dcterms:W3CDTF">2020-11-16T01:35:16Z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5d0628e6d8ca4be4b656885175b6ac05">
    <vt:lpwstr>k071d902e2ef948b684f_X_k7be4158fad294f1bbf6_A_1_F_10</vt:lpwstr>
  </property>
  <property fmtid="{D5CDD505-2E9C-101B-9397-08002B2CF9AE}" pid="902" name="g8a0234c2fb714fc6bfeb4ae5c3c20303">
    <vt:lpwstr>k071d902e2ef948b684f_X_k7be4158fad294f1bbf6_A_2_F_10</vt:lpwstr>
  </property>
  <property fmtid="{D5CDD505-2E9C-101B-9397-08002B2CF9AE}" pid="903" name="gb1995cb8463348a48cab3662c0dd6c8b">
    <vt:lpwstr>k071d902e2ef948b684f_X_k7be4158fad294f1bbf6_A_3_F_10</vt:lpwstr>
  </property>
  <property fmtid="{D5CDD505-2E9C-101B-9397-08002B2CF9AE}" pid="904" name="ga5179e0723e1450c8827188ca9823201">
    <vt:lpwstr>k071d902e2ef948b684f_X_k7be4158fad294f1bbf6_A_4_F_10</vt:lpwstr>
  </property>
  <property fmtid="{D5CDD505-2E9C-101B-9397-08002B2CF9AE}" pid="905" name="g1bdac3e5fd254bf18d4625f9d9cbfefe">
    <vt:lpwstr>k071d902e2ef948b684f_X_k7be4158fad294f1bbf6_A_5_F_10</vt:lpwstr>
  </property>
  <property fmtid="{D5CDD505-2E9C-101B-9397-08002B2CF9AE}" pid="906" name="gf5ca465be5bd4264b3b17dd89b11df98">
    <vt:lpwstr>k071d902e2ef948b684f_X_k7be4158fad294f1bbf6_A_6_F_10</vt:lpwstr>
  </property>
  <property fmtid="{D5CDD505-2E9C-101B-9397-08002B2CF9AE}" pid="907" name="g8e9f2b3ab7a949f2a979119d1af84c4e">
    <vt:lpwstr>k071d902e2ef948b684f_X_k7be4158fad294f1bbf6_A_7_F_10</vt:lpwstr>
  </property>
  <property fmtid="{D5CDD505-2E9C-101B-9397-08002B2CF9AE}" pid="908" name="g0046bc446bbb446b9c6fb6b7b67aa848">
    <vt:lpwstr>k071d902e2ef948b684f_X_k7be4158fad294f1bbf6_A_8_F_10</vt:lpwstr>
  </property>
  <property fmtid="{D5CDD505-2E9C-101B-9397-08002B2CF9AE}" pid="909" name="gc2d313a4ce9140089fba701f5886b840">
    <vt:lpwstr>k071d902e2ef948b684f_X_k7be4158fad294f1bbf6_A_9_F_10</vt:lpwstr>
  </property>
  <property fmtid="{D5CDD505-2E9C-101B-9397-08002B2CF9AE}" pid="910" name="gcfbf93f19ba742f3b3039edec65f3694">
    <vt:lpwstr>k071d902e2ef948b684f_X_k7be4158fad294f1bbf6_A_10_F_10</vt:lpwstr>
  </property>
  <property fmtid="{D5CDD505-2E9C-101B-9397-08002B2CF9AE}" pid="911" name="ContentTypeId">
    <vt:lpwstr>0x010100CF5F8BD6FB4F524198FB3326D5055444</vt:lpwstr>
  </property>
</Properties>
</file>